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vietkey\Documents\Zalo Received Files\"/>
    </mc:Choice>
  </mc:AlternateContent>
  <bookViews>
    <workbookView xWindow="-105" yWindow="-105" windowWidth="23250" windowHeight="13890" tabRatio="664" firstSheet="1" activeTab="1"/>
  </bookViews>
  <sheets>
    <sheet name="Kangatang" sheetId="31" state="veryHidden" r:id="rId1"/>
    <sheet name="DSOAT-T1.2025" sheetId="102" r:id="rId2"/>
    <sheet name="Thuế TNCN T12" sheetId="134" state="hidden" r:id="rId3"/>
    <sheet name="bảng lương T12.2023" sheetId="132" state="hidden" r:id="rId4"/>
    <sheet name="BẢNG LƯƠNG" sheetId="148" state="hidden" r:id="rId5"/>
    <sheet name="338888-CTV" sheetId="130" state="hidden" r:id="rId6"/>
    <sheet name="338888_T12" sheetId="131" state="hidden" r:id="rId7"/>
    <sheet name="Sheet23" sheetId="137" state="hidden" r:id="rId8"/>
    <sheet name="Bảng lương t12" sheetId="307" state="hidden" r:id="rId9"/>
    <sheet name="Thuế TNCN _T1" sheetId="312" r:id="rId10"/>
    <sheet name="Bảng lương t1.2025" sheetId="311" r:id="rId11"/>
    <sheet name="338888_CTV T1.2025" sheetId="299" r:id="rId12"/>
    <sheet name="338888_TV_T11" sheetId="278" state="hidden" r:id="rId13"/>
    <sheet name="338888_CTV_T11" sheetId="279" state="hidden" r:id="rId14"/>
    <sheet name="338888_TV_T10" sheetId="264" state="hidden" r:id="rId15"/>
    <sheet name="338888_CTV_T10" sheetId="265" state="hidden" r:id="rId16"/>
    <sheet name="338888_CTV_T9" sheetId="232" state="hidden" r:id="rId17"/>
    <sheet name="Bảng lương T5.2024" sheetId="188" state="hidden" r:id="rId18"/>
    <sheet name="338888_TV" sheetId="179" state="hidden" r:id="rId19"/>
    <sheet name="338888_CTV" sheetId="180" state="hidden" r:id="rId20"/>
    <sheet name="BHXH, BHYT, PHÍ" sheetId="177" state="hidden" r:id="rId21"/>
    <sheet name="tỷ lệ dt" sheetId="178" state="hidden" r:id="rId22"/>
    <sheet name="HT" sheetId="176" state="hidden" r:id="rId23"/>
    <sheet name="THUẾ T4" sheetId="175" state="hidden" r:id="rId24"/>
    <sheet name="ĐNTT T4" sheetId="174" state="hidden" r:id="rId25"/>
    <sheet name="Bảng lương T4.2024" sheetId="173" state="hidden" r:id="rId26"/>
    <sheet name="338888-TV" sheetId="149" state="hidden" r:id="rId27"/>
    <sheet name="338888-CTV-T4" sheetId="162" state="hidden" r:id="rId28"/>
    <sheet name="Sheet1" sheetId="160" state="hidden" r:id="rId29"/>
    <sheet name="792" sheetId="163" state="hidden" r:id="rId30"/>
    <sheet name="795" sheetId="164" state="hidden" r:id="rId31"/>
    <sheet name="841" sheetId="165" state="hidden" r:id="rId32"/>
    <sheet name="840" sheetId="166" state="hidden" r:id="rId33"/>
    <sheet name="839" sheetId="167" state="hidden" r:id="rId34"/>
    <sheet name="817" sheetId="168" state="hidden" r:id="rId35"/>
    <sheet name="894" sheetId="169" state="hidden" r:id="rId36"/>
    <sheet name="893" sheetId="170" state="hidden" r:id="rId37"/>
    <sheet name="929" sheetId="171" state="hidden" r:id="rId38"/>
    <sheet name="928" sheetId="172" state="hidden" r:id="rId39"/>
    <sheet name="972" sheetId="182" state="hidden" r:id="rId40"/>
    <sheet name="975" sheetId="183" state="hidden" r:id="rId41"/>
    <sheet name="976" sheetId="184" state="hidden" r:id="rId42"/>
    <sheet name="994" sheetId="185" state="hidden" r:id="rId43"/>
    <sheet name="THUẾ T5" sheetId="190" state="hidden" r:id="rId44"/>
    <sheet name="ĐNTT T5" sheetId="189" state="hidden" r:id="rId45"/>
    <sheet name="1091" sheetId="186" state="hidden" r:id="rId46"/>
    <sheet name="1144" sheetId="187" state="hidden" r:id="rId47"/>
    <sheet name="tỷ lệ" sheetId="192" state="hidden" r:id="rId48"/>
    <sheet name="lương p1p3" sheetId="193" state="hidden" r:id="rId49"/>
    <sheet name="lương đơn giá" sheetId="194" state="hidden" r:id="rId50"/>
    <sheet name="Sheet2" sheetId="195" state="hidden" r:id="rId51"/>
    <sheet name="1223" sheetId="199" state="hidden" r:id="rId52"/>
    <sheet name="1214" sheetId="200" state="hidden" r:id="rId53"/>
    <sheet name="1295" sheetId="201" state="hidden" r:id="rId54"/>
    <sheet name="1355" sheetId="202" state="hidden" r:id="rId55"/>
    <sheet name="1381" sheetId="203" state="hidden" r:id="rId56"/>
    <sheet name="1383" sheetId="204" state="hidden" r:id="rId57"/>
    <sheet name="1407" sheetId="205" state="hidden" r:id="rId58"/>
    <sheet name="Sheet3" sheetId="211" state="hidden" r:id="rId59"/>
    <sheet name="1474" sheetId="214" state="hidden" r:id="rId60"/>
    <sheet name="1520" sheetId="215" state="hidden" r:id="rId61"/>
    <sheet name="1527" sheetId="216" state="hidden" r:id="rId62"/>
    <sheet name="1549" sheetId="217" state="hidden" r:id="rId63"/>
    <sheet name="1737" sheetId="218" state="hidden" r:id="rId64"/>
    <sheet name="1735" sheetId="219" state="hidden" r:id="rId65"/>
    <sheet name="1752" sheetId="220" state="hidden" r:id="rId66"/>
    <sheet name="1762" sheetId="221" state="hidden" r:id="rId67"/>
    <sheet name="1764" sheetId="222" state="hidden" r:id="rId68"/>
    <sheet name="1763" sheetId="223" state="hidden" r:id="rId69"/>
    <sheet name="1794" sheetId="224" state="hidden" r:id="rId70"/>
    <sheet name="Sheet4" sheetId="247" state="hidden" r:id="rId71"/>
    <sheet name="2107" sheetId="248" state="hidden" r:id="rId72"/>
    <sheet name="2121" sheetId="249" state="hidden" r:id="rId73"/>
    <sheet name="2149" sheetId="250" state="hidden" r:id="rId74"/>
    <sheet name="2198" sheetId="251" state="hidden" r:id="rId75"/>
    <sheet name="2218" sheetId="252" state="hidden" r:id="rId76"/>
    <sheet name="2245" sheetId="253" state="hidden" r:id="rId77"/>
    <sheet name="2304" sheetId="254" state="hidden" r:id="rId78"/>
    <sheet name="2309" sheetId="255" state="hidden" r:id="rId79"/>
    <sheet name="2328" sheetId="266" state="hidden" r:id="rId80"/>
    <sheet name="2406" sheetId="267" state="hidden" r:id="rId81"/>
    <sheet name="2460" sheetId="268" state="hidden" r:id="rId82"/>
    <sheet name="2521" sheetId="269" state="hidden" r:id="rId83"/>
    <sheet name="2566" sheetId="270" state="hidden" r:id="rId84"/>
    <sheet name="2567" sheetId="271" state="hidden" r:id="rId85"/>
    <sheet name="2761" sheetId="289" state="hidden" r:id="rId86"/>
    <sheet name="2659" sheetId="280" state="hidden" r:id="rId87"/>
    <sheet name="2721" sheetId="281" state="hidden" r:id="rId88"/>
    <sheet name="2722" sheetId="282" state="hidden" r:id="rId89"/>
    <sheet name="2790" sheetId="283" state="hidden" r:id="rId90"/>
    <sheet name="2791" sheetId="284" state="hidden" r:id="rId91"/>
    <sheet name="2815" sheetId="285" state="hidden" r:id="rId92"/>
    <sheet name="2814" sheetId="286" state="hidden" r:id="rId93"/>
    <sheet name="2830" sheetId="287" state="hidden" r:id="rId94"/>
    <sheet name="2831" sheetId="288" state="hidden" r:id="rId95"/>
    <sheet name="2832" sheetId="290" state="hidden" r:id="rId96"/>
    <sheet name="338888_COKY_1.2025" sheetId="308" r:id="rId97"/>
    <sheet name="P1P3" sheetId="314" r:id="rId98"/>
    <sheet name="DON GIA" sheetId="313" r:id="rId99"/>
    <sheet name="HT " sheetId="296" r:id="rId100"/>
    <sheet name="Sheet8" sheetId="297" state="hidden" r:id="rId101"/>
    <sheet name="64" sheetId="309" r:id="rId102"/>
    <sheet name="210" sheetId="310" r:id="rId103"/>
    <sheet name="Sheet7" sheetId="315" r:id="rId104"/>
  </sheets>
  <externalReferences>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s>
  <definedNames>
    <definedName name="_xlnm._FilterDatabase" localSheetId="46" hidden="1">'1144'!$A$73:$H$132</definedName>
    <definedName name="_xlnm._FilterDatabase" localSheetId="52" hidden="1">'1214'!$A$7:$I$49</definedName>
    <definedName name="_xlnm._FilterDatabase" localSheetId="56" hidden="1">'1383'!$A$63:$F$113</definedName>
    <definedName name="_xlnm._FilterDatabase" localSheetId="74" hidden="1">'2198'!$A$6:$H$60</definedName>
    <definedName name="_xlnm._FilterDatabase" localSheetId="79" hidden="1">'2328'!$A$7:$F$7</definedName>
    <definedName name="_xlnm._FilterDatabase" localSheetId="82" hidden="1">'2521'!$A$8:$I$72</definedName>
    <definedName name="_xlnm._FilterDatabase" localSheetId="84" hidden="1">'2567'!$A$71:$F$119</definedName>
    <definedName name="_xlnm._FilterDatabase" localSheetId="19" hidden="1">'338888_CTV'!$A$9:$AC$61</definedName>
    <definedName name="_xlnm._FilterDatabase" localSheetId="11" hidden="1">'338888_CTV T1.2025'!$A$9:$K$53</definedName>
    <definedName name="_xlnm._FilterDatabase" localSheetId="15" hidden="1">'338888_CTV_T10'!$A$9:$L$95</definedName>
    <definedName name="_xlnm._FilterDatabase" localSheetId="13" hidden="1">'338888_CTV_T11'!$A$14:$AH$57</definedName>
    <definedName name="_xlnm._FilterDatabase" localSheetId="16" hidden="1">'338888_CTV_T9'!$A$9:$O$74</definedName>
    <definedName name="_xlnm._FilterDatabase" localSheetId="6" hidden="1">'338888_T12'!$A$9:$S$39</definedName>
    <definedName name="_xlnm._FilterDatabase" localSheetId="5" hidden="1">'338888-CTV'!$A$10:$U$54</definedName>
    <definedName name="_xlnm._FilterDatabase" localSheetId="27" hidden="1">'338888-CTV-T4'!$A$9:$AR$84</definedName>
    <definedName name="_xlnm._FilterDatabase" localSheetId="29" hidden="1">'792'!$A$3:$E$70</definedName>
    <definedName name="_xlnm._FilterDatabase" localSheetId="30" hidden="1">'795'!$A$4:$G$4</definedName>
    <definedName name="_xlnm._FilterDatabase" localSheetId="39" hidden="1">'972'!$A$130:$F$191</definedName>
    <definedName name="_xlnm._FilterDatabase" localSheetId="40" hidden="1">'975'!$A$4:$G$4</definedName>
    <definedName name="_xlnm._FilterDatabase" localSheetId="41" hidden="1">'976'!$A$120:$H$167</definedName>
    <definedName name="_xlnm._FilterDatabase" localSheetId="42" hidden="1">'994'!$A$140:$H$179</definedName>
    <definedName name="_xlnm._FilterDatabase" localSheetId="4" hidden="1">'BẢNG LƯƠNG'!$A$9:$AB$88</definedName>
    <definedName name="_xlnm._FilterDatabase" localSheetId="10" hidden="1">'Bảng lương t1.2025'!$A$9:$T$90</definedName>
    <definedName name="_xlnm._FilterDatabase" localSheetId="3" hidden="1">'bảng lương T12.2023'!$A$9:$AB$88</definedName>
    <definedName name="_xlnm._FilterDatabase" localSheetId="25" hidden="1">'Bảng lương T4.2024'!$A$9:$AE$85</definedName>
    <definedName name="_xlnm._FilterDatabase" localSheetId="17" hidden="1">'Bảng lương T5.2024'!$A$9:$AK$86</definedName>
    <definedName name="_xlnm._FilterDatabase" localSheetId="1" hidden="1">'DSOAT-T1.2025'!$A$7:$CY$150</definedName>
    <definedName name="_xlnm._FilterDatabase" localSheetId="22" hidden="1">HT!$A$2:$M$375</definedName>
    <definedName name="_xlnm._FilterDatabase" localSheetId="50" hidden="1">Sheet2!$A$35:$R$143</definedName>
    <definedName name="_xlnm._FilterDatabase" localSheetId="9" hidden="1">'Thuế TNCN _T1'!$A$8:$AI$87</definedName>
    <definedName name="_xlnm._FilterDatabase" localSheetId="2" hidden="1">'Thuế TNCN T12'!$G$6:$K$86</definedName>
    <definedName name="ca_trua">'[1]Thông tin'!$B$3</definedName>
    <definedName name="DG_PTTB_CN">'[2]DG PTTB'!$F$3</definedName>
    <definedName name="DG_SIMD25_CN">'[2]DG PTTB'!$F$4</definedName>
    <definedName name="DG_SIMT25_CN">'[2]DG PTTB'!$F$5</definedName>
    <definedName name="Dgia">'[3]Thông tin chung'!$B$5</definedName>
    <definedName name="dgia_ca_trua">'[1]Thông tin'!$B$4</definedName>
    <definedName name="don_gia" localSheetId="9">#REF!</definedName>
    <definedName name="don_gia">#REF!</definedName>
    <definedName name="KHUYEN_KHICH" localSheetId="9">#REF!</definedName>
    <definedName name="KHUYEN_KHICH">#REF!</definedName>
    <definedName name="luong_BH">'[1]Bảo hiểm'!$D$2</definedName>
    <definedName name="ngay_cong" localSheetId="9">'[1]Xử lý số liệu_Cá nhân'!#REF!</definedName>
    <definedName name="ngay_cong">'[1]Xử lý số liệu_Cá nhân'!#REF!</definedName>
    <definedName name="ngay_cong_chuan">'[4]Thông tin chung'!$B$8</definedName>
    <definedName name="nhap_lieu">'[5]Nhập liệu'!$A$4:$Q$167</definedName>
    <definedName name="PHAN_PHOI" localSheetId="9">#REF!</definedName>
    <definedName name="PHAN_PHOI">#REF!</definedName>
    <definedName name="_xlnm.Print_Area" localSheetId="19">'338888_CTV'!$A:$AB</definedName>
    <definedName name="_xlnm.Print_Area" localSheetId="11">'338888_CTV T1.2025'!$A:$J</definedName>
    <definedName name="_xlnm.Print_Area" localSheetId="13">'338888_CTV_T11'!$A:$G</definedName>
    <definedName name="_xlnm.Print_Area" localSheetId="16">'338888_CTV_T9'!$A:$K</definedName>
    <definedName name="_xlnm.Print_Area" localSheetId="14">'338888_TV_T10'!$A:$G</definedName>
    <definedName name="_xlnm.Print_Area" localSheetId="27">'338888-CTV-T4'!$A:$AE</definedName>
    <definedName name="_xlnm.Print_Area" localSheetId="17">'Bảng lương T5.2024'!$B:$AD</definedName>
    <definedName name="_xlnm.Print_Area" localSheetId="7">Sheet23!$D:$U</definedName>
    <definedName name="_xlnm.Print_Area" localSheetId="9">'Thuế TNCN _T1'!$A$1:$K$90</definedName>
    <definedName name="Print_Area_MI">[6]ESTI.!$A$1:$U$52</definedName>
    <definedName name="_xlnm.Print_Titles" localSheetId="1">'DSOAT-T1.2025'!$6:$9</definedName>
    <definedName name="_xlnm.Print_Titles" localSheetId="9">'Thuế TNCN _T1'!$6:$8</definedName>
    <definedName name="RT" localSheetId="9">#REF!</definedName>
    <definedName name="RT">#REF!</definedName>
    <definedName name="sd">'[7]Nhập liệu'!$Z$5</definedName>
    <definedName name="SORT" localSheetId="9">#REF!</definedName>
    <definedName name="SORT">#REF!</definedName>
    <definedName name="SP" localSheetId="9">#REF!</definedName>
    <definedName name="SP">#REF!</definedName>
    <definedName name="ten_dvi">'[8]Thong tin'!$B$1</definedName>
    <definedName name="Thang">'[4]Thông tin chung'!$B$7</definedName>
    <definedName name="THK" localSheetId="9">#REF!</definedName>
    <definedName name="THK">#REF!</definedName>
    <definedName name="TIEN_001">'[9]an 05'!$E$42</definedName>
    <definedName name="tpu" localSheetId="9">#REF!</definedName>
    <definedName name="tpu">#REF!</definedName>
    <definedName name="txa" localSheetId="9">#REF!</definedName>
    <definedName name="txa">#REF!</definedName>
    <definedName name="ty_le" localSheetId="9">#REF!</definedName>
    <definedName name="ty_le">#REF!</definedName>
    <definedName name="ZYX" localSheetId="9">#REF!</definedName>
    <definedName name="ZYX">#REF!</definedName>
    <definedName name="ZZZ" localSheetId="9">#REF!</definedName>
    <definedName name="ZZZ">#REF!</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1" i="102" l="1"/>
  <c r="E12" i="102" l="1"/>
  <c r="E13" i="102"/>
  <c r="E14" i="102"/>
  <c r="E15" i="102"/>
  <c r="E16" i="102"/>
  <c r="E17" i="102"/>
  <c r="E18" i="102"/>
  <c r="E19" i="102"/>
  <c r="E20" i="102"/>
  <c r="E21" i="102"/>
  <c r="E22" i="102"/>
  <c r="E23" i="102"/>
  <c r="E24" i="102"/>
  <c r="E25" i="102"/>
  <c r="E26" i="102"/>
  <c r="E27" i="102"/>
  <c r="E28" i="102"/>
  <c r="E29" i="102"/>
  <c r="E30" i="102"/>
  <c r="E31" i="102"/>
  <c r="E32" i="102"/>
  <c r="E33" i="102"/>
  <c r="E34" i="102"/>
  <c r="E35" i="102"/>
  <c r="E36" i="102"/>
  <c r="E37" i="102"/>
  <c r="E38" i="102"/>
  <c r="E39" i="102"/>
  <c r="E40" i="102"/>
  <c r="E41" i="102"/>
  <c r="E42" i="102"/>
  <c r="E43" i="102"/>
  <c r="E44" i="102"/>
  <c r="E45" i="102"/>
  <c r="E46" i="102"/>
  <c r="E47" i="102"/>
  <c r="E48" i="102"/>
  <c r="E49" i="102"/>
  <c r="E50" i="102"/>
  <c r="E51" i="102"/>
  <c r="E52" i="102"/>
  <c r="E53" i="102"/>
  <c r="E54" i="102"/>
  <c r="E55" i="102"/>
  <c r="E56" i="102"/>
  <c r="E57" i="102"/>
  <c r="E58" i="102"/>
  <c r="E59" i="102"/>
  <c r="E60" i="102"/>
  <c r="E61" i="102"/>
  <c r="E62" i="102"/>
  <c r="E63" i="102"/>
  <c r="E64" i="102"/>
  <c r="E65" i="102"/>
  <c r="E66" i="102"/>
  <c r="E67" i="102"/>
  <c r="E68" i="102"/>
  <c r="E69" i="102"/>
  <c r="E70" i="102"/>
  <c r="E71" i="102"/>
  <c r="E72" i="102"/>
  <c r="E73" i="102"/>
  <c r="E74" i="102"/>
  <c r="E75" i="102"/>
  <c r="E76" i="102"/>
  <c r="E77" i="102"/>
  <c r="E78" i="102"/>
  <c r="E79" i="102"/>
  <c r="E80" i="102"/>
  <c r="E81" i="102"/>
  <c r="E82" i="102"/>
  <c r="E83" i="102"/>
  <c r="E84" i="102"/>
  <c r="E85" i="102"/>
  <c r="E86" i="102"/>
  <c r="E87" i="102"/>
  <c r="E88" i="102"/>
  <c r="E11" i="102"/>
  <c r="G74" i="102"/>
  <c r="J88" i="102" l="1"/>
  <c r="J55" i="102"/>
  <c r="J53" i="102"/>
  <c r="J45" i="102"/>
  <c r="J3" i="315" l="1"/>
  <c r="J4" i="315"/>
  <c r="J5" i="315"/>
  <c r="J6" i="315"/>
  <c r="J7" i="315"/>
  <c r="J8" i="315"/>
  <c r="J9" i="315"/>
  <c r="J10" i="315"/>
  <c r="J11" i="315"/>
  <c r="J12" i="315"/>
  <c r="J13" i="315"/>
  <c r="J14" i="315"/>
  <c r="J15" i="315"/>
  <c r="J16" i="315"/>
  <c r="J17" i="315"/>
  <c r="J18" i="315"/>
  <c r="J19" i="315"/>
  <c r="J20" i="315"/>
  <c r="J21" i="315"/>
  <c r="J22" i="315"/>
  <c r="J23" i="315"/>
  <c r="J24" i="315"/>
  <c r="J25" i="315"/>
  <c r="J26" i="315"/>
  <c r="J27" i="315"/>
  <c r="J28" i="315"/>
  <c r="J29" i="315"/>
  <c r="J30" i="315"/>
  <c r="J31" i="315"/>
  <c r="J32" i="315"/>
  <c r="J33" i="315"/>
  <c r="J34" i="315"/>
  <c r="J35" i="315"/>
  <c r="J36" i="315"/>
  <c r="J37" i="315"/>
  <c r="J38" i="315"/>
  <c r="J39" i="315"/>
  <c r="J40" i="315"/>
  <c r="J41" i="315"/>
  <c r="J42" i="315"/>
  <c r="J43" i="315"/>
  <c r="J44" i="315"/>
  <c r="J45" i="315"/>
  <c r="J46" i="315"/>
  <c r="J47" i="315"/>
  <c r="J48" i="315"/>
  <c r="J49" i="315"/>
  <c r="J50" i="315"/>
  <c r="J51" i="315"/>
  <c r="J52" i="315"/>
  <c r="J53" i="315"/>
  <c r="J54" i="315"/>
  <c r="J55" i="315"/>
  <c r="J56" i="315"/>
  <c r="J57" i="315"/>
  <c r="J58" i="315"/>
  <c r="J59" i="315"/>
  <c r="J60" i="315"/>
  <c r="J61" i="315"/>
  <c r="J62" i="315"/>
  <c r="J63" i="315"/>
  <c r="J64" i="315"/>
  <c r="J65" i="315"/>
  <c r="J66" i="315"/>
  <c r="J67" i="315"/>
  <c r="J68" i="315"/>
  <c r="J69" i="315"/>
  <c r="J70" i="315"/>
  <c r="J71" i="315"/>
  <c r="J72" i="315"/>
  <c r="J73" i="315"/>
  <c r="J74" i="315"/>
  <c r="J75" i="315"/>
  <c r="J76" i="315"/>
  <c r="J77" i="315"/>
  <c r="J78" i="315"/>
  <c r="J79" i="315"/>
  <c r="J80" i="315"/>
  <c r="J81" i="315"/>
  <c r="J82" i="315"/>
  <c r="J83" i="315"/>
  <c r="J84" i="315"/>
  <c r="J85" i="315"/>
  <c r="J86" i="315"/>
  <c r="J87" i="315"/>
  <c r="J88" i="315"/>
  <c r="J89" i="315"/>
  <c r="J90" i="315"/>
  <c r="J91" i="315"/>
  <c r="J92" i="315"/>
  <c r="J93" i="315"/>
  <c r="J94" i="315"/>
  <c r="J95" i="315"/>
  <c r="J96" i="315"/>
  <c r="J97" i="315"/>
  <c r="J98" i="315"/>
  <c r="J99" i="315"/>
  <c r="J100" i="315"/>
  <c r="J101" i="315"/>
  <c r="J102" i="315"/>
  <c r="J103" i="315"/>
  <c r="J104" i="315"/>
  <c r="J105" i="315"/>
  <c r="J106" i="315"/>
  <c r="J107" i="315"/>
  <c r="J108" i="315"/>
  <c r="J109" i="315"/>
  <c r="J110" i="315"/>
  <c r="J111" i="315"/>
  <c r="J112" i="315"/>
  <c r="J113" i="315"/>
  <c r="J114" i="315"/>
  <c r="J115" i="315"/>
  <c r="J116" i="315"/>
  <c r="J117" i="315"/>
  <c r="J118" i="315"/>
  <c r="J119" i="315"/>
  <c r="J120" i="315"/>
  <c r="J121" i="315"/>
  <c r="J122" i="315"/>
  <c r="J123" i="315"/>
  <c r="J124" i="315"/>
  <c r="J125" i="315"/>
  <c r="J126" i="315"/>
  <c r="J127" i="315"/>
  <c r="J128" i="315"/>
  <c r="J129" i="315"/>
  <c r="J130" i="315"/>
  <c r="J131" i="315"/>
  <c r="J132" i="315"/>
  <c r="J133" i="315"/>
  <c r="J134" i="315"/>
  <c r="J135" i="315"/>
  <c r="J136" i="315"/>
  <c r="J137" i="315"/>
  <c r="J138" i="315"/>
  <c r="J139" i="315"/>
  <c r="J140" i="315"/>
  <c r="J141" i="315"/>
  <c r="J142" i="315"/>
  <c r="J143" i="315"/>
  <c r="J144" i="315"/>
  <c r="J145" i="315"/>
  <c r="J146" i="315"/>
  <c r="J147" i="315"/>
  <c r="J148" i="315"/>
  <c r="J149" i="315"/>
  <c r="J150" i="315"/>
  <c r="J151" i="315"/>
  <c r="J152" i="315"/>
  <c r="J153" i="315"/>
  <c r="J154" i="315"/>
  <c r="J155" i="315"/>
  <c r="J156" i="315"/>
  <c r="J157" i="315"/>
  <c r="J158" i="315"/>
  <c r="J159" i="315"/>
  <c r="J160" i="315"/>
  <c r="J161" i="315"/>
  <c r="J162" i="315"/>
  <c r="J2" i="315"/>
  <c r="I3" i="296"/>
  <c r="I4" i="296"/>
  <c r="I5" i="296"/>
  <c r="I6" i="296"/>
  <c r="I7" i="296"/>
  <c r="I8" i="296"/>
  <c r="I9" i="296"/>
  <c r="I10" i="296"/>
  <c r="I11" i="296"/>
  <c r="I12" i="296"/>
  <c r="I13" i="296"/>
  <c r="I14" i="296"/>
  <c r="I15" i="296"/>
  <c r="I16" i="296"/>
  <c r="I17" i="296"/>
  <c r="I18" i="296"/>
  <c r="I19" i="296"/>
  <c r="I20" i="296"/>
  <c r="I21" i="296"/>
  <c r="I22" i="296"/>
  <c r="I23" i="296"/>
  <c r="I24" i="296"/>
  <c r="I25" i="296"/>
  <c r="I26" i="296"/>
  <c r="I27" i="296"/>
  <c r="I28" i="296"/>
  <c r="I29" i="296"/>
  <c r="I30" i="296"/>
  <c r="I31" i="296"/>
  <c r="I32" i="296"/>
  <c r="I33" i="296"/>
  <c r="I34" i="296"/>
  <c r="I35" i="296"/>
  <c r="I36" i="296"/>
  <c r="I37" i="296"/>
  <c r="I38" i="296"/>
  <c r="I39" i="296"/>
  <c r="I40" i="296"/>
  <c r="I41" i="296"/>
  <c r="I42" i="296"/>
  <c r="I43" i="296"/>
  <c r="I44" i="296"/>
  <c r="I45" i="296"/>
  <c r="I46" i="296"/>
  <c r="I47" i="296"/>
  <c r="I48" i="296"/>
  <c r="I49" i="296"/>
  <c r="I50" i="296"/>
  <c r="I51" i="296"/>
  <c r="I52" i="296"/>
  <c r="I53" i="296"/>
  <c r="I54" i="296"/>
  <c r="I55" i="296"/>
  <c r="I56" i="296"/>
  <c r="I57" i="296"/>
  <c r="I58" i="296"/>
  <c r="I59" i="296"/>
  <c r="I60" i="296"/>
  <c r="I61" i="296"/>
  <c r="I62" i="296"/>
  <c r="I63" i="296"/>
  <c r="I64" i="296"/>
  <c r="I65" i="296"/>
  <c r="I66" i="296"/>
  <c r="I67" i="296"/>
  <c r="I68" i="296"/>
  <c r="I69" i="296"/>
  <c r="I70" i="296"/>
  <c r="I71" i="296"/>
  <c r="I72" i="296"/>
  <c r="I73" i="296"/>
  <c r="I74" i="296"/>
  <c r="I75" i="296"/>
  <c r="I76" i="296"/>
  <c r="I77" i="296"/>
  <c r="I78" i="296"/>
  <c r="I79" i="296"/>
  <c r="I80" i="296"/>
  <c r="I81" i="296"/>
  <c r="I82" i="296"/>
  <c r="I83" i="296"/>
  <c r="I84" i="296"/>
  <c r="I85" i="296"/>
  <c r="I86" i="296"/>
  <c r="I87" i="296"/>
  <c r="I88" i="296"/>
  <c r="I89" i="296"/>
  <c r="I90" i="296"/>
  <c r="I91" i="296"/>
  <c r="I92" i="296"/>
  <c r="I93" i="296"/>
  <c r="I94" i="296"/>
  <c r="I95" i="296"/>
  <c r="I96" i="296"/>
  <c r="I97" i="296"/>
  <c r="I98" i="296"/>
  <c r="I99" i="296"/>
  <c r="I100" i="296"/>
  <c r="I101" i="296"/>
  <c r="I102" i="296"/>
  <c r="I103" i="296"/>
  <c r="I104" i="296"/>
  <c r="I105" i="296"/>
  <c r="I106" i="296"/>
  <c r="I107" i="296"/>
  <c r="I108" i="296"/>
  <c r="I109" i="296"/>
  <c r="I110" i="296"/>
  <c r="I111" i="296"/>
  <c r="I112" i="296"/>
  <c r="I113" i="296"/>
  <c r="I114" i="296"/>
  <c r="I115" i="296"/>
  <c r="I116" i="296"/>
  <c r="I117" i="296"/>
  <c r="I118" i="296"/>
  <c r="I119" i="296"/>
  <c r="I120" i="296"/>
  <c r="I121" i="296"/>
  <c r="I122" i="296"/>
  <c r="I123" i="296"/>
  <c r="I124" i="296"/>
  <c r="I125" i="296"/>
  <c r="I126" i="296"/>
  <c r="I127" i="296"/>
  <c r="I128" i="296"/>
  <c r="I129" i="296"/>
  <c r="I130" i="296"/>
  <c r="I131" i="296"/>
  <c r="I132" i="296"/>
  <c r="I133" i="296"/>
  <c r="I134" i="296"/>
  <c r="I135" i="296"/>
  <c r="I136" i="296"/>
  <c r="I137" i="296"/>
  <c r="I138" i="296"/>
  <c r="I139" i="296"/>
  <c r="I140" i="296"/>
  <c r="I141" i="296"/>
  <c r="I142" i="296"/>
  <c r="I143" i="296"/>
  <c r="I144" i="296"/>
  <c r="I145" i="296"/>
  <c r="I146" i="296"/>
  <c r="I147" i="296"/>
  <c r="I148" i="296"/>
  <c r="I149" i="296"/>
  <c r="I150" i="296"/>
  <c r="I151" i="296"/>
  <c r="I152" i="296"/>
  <c r="I153" i="296"/>
  <c r="I154" i="296"/>
  <c r="I155" i="296"/>
  <c r="I156" i="296"/>
  <c r="I157" i="296"/>
  <c r="I158" i="296"/>
  <c r="I159" i="296"/>
  <c r="I160" i="296"/>
  <c r="I161" i="296"/>
  <c r="I162" i="296"/>
  <c r="I163" i="296"/>
  <c r="I164" i="296"/>
  <c r="I165" i="296"/>
  <c r="I166" i="296"/>
  <c r="I167" i="296"/>
  <c r="I168" i="296"/>
  <c r="I169" i="296"/>
  <c r="I170" i="296"/>
  <c r="I171" i="296"/>
  <c r="I172" i="296"/>
  <c r="I173" i="296"/>
  <c r="I174" i="296"/>
  <c r="I175" i="296"/>
  <c r="I176" i="296"/>
  <c r="I177" i="296"/>
  <c r="I178" i="296"/>
  <c r="I179" i="296"/>
  <c r="I180" i="296"/>
  <c r="I181" i="296"/>
  <c r="I182" i="296"/>
  <c r="I183" i="296"/>
  <c r="I184" i="296"/>
  <c r="I185" i="296"/>
  <c r="I186" i="296"/>
  <c r="I187" i="296"/>
  <c r="I188" i="296"/>
  <c r="I189" i="296"/>
  <c r="I190" i="296"/>
  <c r="I191" i="296"/>
  <c r="I192" i="296"/>
  <c r="I193" i="296"/>
  <c r="I194" i="296"/>
  <c r="I195" i="296"/>
  <c r="I196" i="296"/>
  <c r="I197" i="296"/>
  <c r="I198" i="296"/>
  <c r="I199" i="296"/>
  <c r="I200" i="296"/>
  <c r="I201" i="296"/>
  <c r="I202" i="296"/>
  <c r="I203" i="296"/>
  <c r="I204" i="296"/>
  <c r="I205" i="296"/>
  <c r="I206" i="296"/>
  <c r="I207" i="296"/>
  <c r="I208" i="296"/>
  <c r="I209" i="296"/>
  <c r="I210" i="296"/>
  <c r="I211" i="296"/>
  <c r="I212" i="296"/>
  <c r="I213" i="296"/>
  <c r="I214" i="296"/>
  <c r="I215" i="296"/>
  <c r="I216" i="296"/>
  <c r="I217" i="296"/>
  <c r="I218" i="296"/>
  <c r="I219" i="296"/>
  <c r="I220" i="296"/>
  <c r="I221" i="296"/>
  <c r="I222" i="296"/>
  <c r="I223" i="296"/>
  <c r="I224" i="296"/>
  <c r="I225" i="296"/>
  <c r="I226" i="296"/>
  <c r="I227" i="296"/>
  <c r="I228" i="296"/>
  <c r="I229" i="296"/>
  <c r="I230" i="296"/>
  <c r="I231" i="296"/>
  <c r="I232" i="296"/>
  <c r="I233" i="296"/>
  <c r="I234" i="296"/>
  <c r="I235" i="296"/>
  <c r="I236" i="296"/>
  <c r="I237" i="296"/>
  <c r="I238" i="296"/>
  <c r="AF19" i="314"/>
  <c r="AE19" i="314"/>
  <c r="AD19" i="314"/>
  <c r="AC19" i="314"/>
  <c r="AB19" i="314"/>
  <c r="AA19" i="314"/>
  <c r="Z19" i="314"/>
  <c r="Y19" i="314"/>
  <c r="X19" i="314"/>
  <c r="W19" i="314"/>
  <c r="V19" i="314"/>
  <c r="U19" i="314"/>
  <c r="T19" i="314"/>
  <c r="S19" i="314"/>
  <c r="R19" i="314"/>
  <c r="Q19" i="314"/>
  <c r="P19" i="314"/>
  <c r="O19" i="314"/>
  <c r="N19" i="314"/>
  <c r="M19" i="314"/>
  <c r="L19" i="314"/>
  <c r="K19" i="314"/>
  <c r="J19" i="314"/>
  <c r="I19" i="314"/>
  <c r="H19" i="314"/>
  <c r="G19" i="314"/>
  <c r="F19" i="314"/>
  <c r="E19" i="314"/>
  <c r="D19" i="314"/>
  <c r="C19" i="314"/>
  <c r="AG17" i="314"/>
  <c r="AF17" i="314"/>
  <c r="AE17" i="314"/>
  <c r="AD17" i="314"/>
  <c r="AC17" i="314"/>
  <c r="AB17" i="314"/>
  <c r="AA17" i="314"/>
  <c r="Z17" i="314"/>
  <c r="Y17" i="314"/>
  <c r="X17" i="314"/>
  <c r="W17" i="314"/>
  <c r="V17" i="314"/>
  <c r="U17" i="314"/>
  <c r="T17" i="314"/>
  <c r="S17" i="314"/>
  <c r="R17" i="314"/>
  <c r="Q17" i="314"/>
  <c r="P17" i="314"/>
  <c r="O17" i="314"/>
  <c r="N17" i="314"/>
  <c r="M17" i="314"/>
  <c r="L17" i="314"/>
  <c r="K17" i="314"/>
  <c r="J17" i="314"/>
  <c r="I17" i="314"/>
  <c r="H17" i="314"/>
  <c r="G17" i="314"/>
  <c r="G33" i="314" s="1"/>
  <c r="F17" i="314"/>
  <c r="E17" i="314"/>
  <c r="D17" i="314"/>
  <c r="C17" i="314"/>
  <c r="AG16" i="314"/>
  <c r="AF16" i="314"/>
  <c r="AE16" i="314"/>
  <c r="AD16" i="314"/>
  <c r="AC16" i="314"/>
  <c r="AB16" i="314"/>
  <c r="AA16" i="314"/>
  <c r="Z16" i="314"/>
  <c r="Y16" i="314"/>
  <c r="X16" i="314"/>
  <c r="W16" i="314"/>
  <c r="V16" i="314"/>
  <c r="U16" i="314"/>
  <c r="T16" i="314"/>
  <c r="S16" i="314"/>
  <c r="R16" i="314"/>
  <c r="Q16" i="314"/>
  <c r="P16" i="314"/>
  <c r="O16" i="314"/>
  <c r="N16" i="314"/>
  <c r="M16" i="314"/>
  <c r="L16" i="314"/>
  <c r="K16" i="314"/>
  <c r="J16" i="314"/>
  <c r="I16" i="314"/>
  <c r="H16" i="314"/>
  <c r="G16" i="314"/>
  <c r="F16" i="314"/>
  <c r="E16" i="314"/>
  <c r="D16" i="314"/>
  <c r="C16" i="314"/>
  <c r="AG15" i="314"/>
  <c r="AF15" i="314"/>
  <c r="AE15" i="314"/>
  <c r="AD15" i="314"/>
  <c r="AC15" i="314"/>
  <c r="AB15" i="314"/>
  <c r="AA15" i="314"/>
  <c r="Z15" i="314"/>
  <c r="Y15" i="314"/>
  <c r="X15" i="314"/>
  <c r="W15" i="314"/>
  <c r="V15" i="314"/>
  <c r="U15" i="314"/>
  <c r="T15" i="314"/>
  <c r="S15" i="314"/>
  <c r="R15" i="314"/>
  <c r="Q15" i="314"/>
  <c r="P15" i="314"/>
  <c r="O15" i="314"/>
  <c r="N15" i="314"/>
  <c r="M15" i="314"/>
  <c r="L15" i="314"/>
  <c r="K15" i="314"/>
  <c r="J15" i="314"/>
  <c r="I15" i="314"/>
  <c r="H15" i="314"/>
  <c r="G15" i="314"/>
  <c r="F15" i="314"/>
  <c r="E15" i="314"/>
  <c r="D15" i="314"/>
  <c r="C15" i="314"/>
  <c r="AG14" i="314"/>
  <c r="AF14" i="314"/>
  <c r="AE14" i="314"/>
  <c r="AD14" i="314"/>
  <c r="AC14" i="314"/>
  <c r="AB14" i="314"/>
  <c r="AA14" i="314"/>
  <c r="Z14" i="314"/>
  <c r="Y14" i="314"/>
  <c r="X14" i="314"/>
  <c r="W14" i="314"/>
  <c r="V14" i="314"/>
  <c r="U14" i="314"/>
  <c r="T14" i="314"/>
  <c r="S14" i="314"/>
  <c r="R14" i="314"/>
  <c r="Q14" i="314"/>
  <c r="P14" i="314"/>
  <c r="O14" i="314"/>
  <c r="N14" i="314"/>
  <c r="M14" i="314"/>
  <c r="L14" i="314"/>
  <c r="K14" i="314"/>
  <c r="J14" i="314"/>
  <c r="I14" i="314"/>
  <c r="H14" i="314"/>
  <c r="G14" i="314"/>
  <c r="F14" i="314"/>
  <c r="E14" i="314"/>
  <c r="D14" i="314"/>
  <c r="C14" i="314"/>
  <c r="AG13" i="314"/>
  <c r="AF13" i="314"/>
  <c r="AE13" i="314"/>
  <c r="AD13" i="314"/>
  <c r="AC13" i="314"/>
  <c r="AB13" i="314"/>
  <c r="AA13" i="314"/>
  <c r="Z13" i="314"/>
  <c r="Y13" i="314"/>
  <c r="X13" i="314"/>
  <c r="W13" i="314"/>
  <c r="V13" i="314"/>
  <c r="U13" i="314"/>
  <c r="T13" i="314"/>
  <c r="S13" i="314"/>
  <c r="R13" i="314"/>
  <c r="Q13" i="314"/>
  <c r="P13" i="314"/>
  <c r="O13" i="314"/>
  <c r="N13" i="314"/>
  <c r="M13" i="314"/>
  <c r="L13" i="314"/>
  <c r="K13" i="314"/>
  <c r="J13" i="314"/>
  <c r="I13" i="314"/>
  <c r="H13" i="314"/>
  <c r="G13" i="314"/>
  <c r="G29" i="314" s="1"/>
  <c r="F13" i="314"/>
  <c r="E13" i="314"/>
  <c r="D13" i="314"/>
  <c r="C13" i="314"/>
  <c r="AG12" i="314"/>
  <c r="AF12" i="314"/>
  <c r="AE12" i="314"/>
  <c r="AD12" i="314"/>
  <c r="AC12" i="314"/>
  <c r="AB12" i="314"/>
  <c r="AA12" i="314"/>
  <c r="Z12" i="314"/>
  <c r="Y12" i="314"/>
  <c r="X12" i="314"/>
  <c r="W12" i="314"/>
  <c r="V12" i="314"/>
  <c r="U12" i="314"/>
  <c r="T12" i="314"/>
  <c r="S12" i="314"/>
  <c r="R12" i="314"/>
  <c r="Q12" i="314"/>
  <c r="P12" i="314"/>
  <c r="O12" i="314"/>
  <c r="N12" i="314"/>
  <c r="M12" i="314"/>
  <c r="L12" i="314"/>
  <c r="K12" i="314"/>
  <c r="J12" i="314"/>
  <c r="I12" i="314"/>
  <c r="H12" i="314"/>
  <c r="G12" i="314"/>
  <c r="F12" i="314"/>
  <c r="E12" i="314"/>
  <c r="D12" i="314"/>
  <c r="C12" i="314"/>
  <c r="AG11" i="314"/>
  <c r="AF11" i="314"/>
  <c r="AE11" i="314"/>
  <c r="AD11" i="314"/>
  <c r="AC11" i="314"/>
  <c r="AB11" i="314"/>
  <c r="AA11" i="314"/>
  <c r="Z11" i="314"/>
  <c r="Y11" i="314"/>
  <c r="X11" i="314"/>
  <c r="W11" i="314"/>
  <c r="V11" i="314"/>
  <c r="U11" i="314"/>
  <c r="T11" i="314"/>
  <c r="S11" i="314"/>
  <c r="R11" i="314"/>
  <c r="Q11" i="314"/>
  <c r="P11" i="314"/>
  <c r="O11" i="314"/>
  <c r="N11" i="314"/>
  <c r="M11" i="314"/>
  <c r="L11" i="314"/>
  <c r="K11" i="314"/>
  <c r="J11" i="314"/>
  <c r="I11" i="314"/>
  <c r="H11" i="314"/>
  <c r="G11" i="314"/>
  <c r="F11" i="314"/>
  <c r="E11" i="314"/>
  <c r="D11" i="314"/>
  <c r="C11" i="314"/>
  <c r="AG10" i="314"/>
  <c r="AF10" i="314"/>
  <c r="AE10" i="314"/>
  <c r="AD10" i="314"/>
  <c r="AC10" i="314"/>
  <c r="AB10" i="314"/>
  <c r="AA10" i="314"/>
  <c r="Z10" i="314"/>
  <c r="Y10" i="314"/>
  <c r="X10" i="314"/>
  <c r="W10" i="314"/>
  <c r="V10" i="314"/>
  <c r="U10" i="314"/>
  <c r="T10" i="314"/>
  <c r="S10" i="314"/>
  <c r="R10" i="314"/>
  <c r="Q10" i="314"/>
  <c r="P10" i="314"/>
  <c r="O10" i="314"/>
  <c r="N10" i="314"/>
  <c r="L10" i="314"/>
  <c r="K10" i="314"/>
  <c r="J10" i="314"/>
  <c r="I10" i="314"/>
  <c r="H10" i="314"/>
  <c r="G10" i="314"/>
  <c r="G26" i="314" s="1"/>
  <c r="F10" i="314"/>
  <c r="E10" i="314"/>
  <c r="D10" i="314"/>
  <c r="C10" i="314"/>
  <c r="AG9" i="314"/>
  <c r="AF9" i="314"/>
  <c r="AE9" i="314"/>
  <c r="AD9" i="314"/>
  <c r="AC9" i="314"/>
  <c r="AB9" i="314"/>
  <c r="AA9" i="314"/>
  <c r="Z9" i="314"/>
  <c r="Y9" i="314"/>
  <c r="X9" i="314"/>
  <c r="W9" i="314"/>
  <c r="V9" i="314"/>
  <c r="U9" i="314"/>
  <c r="T9" i="314"/>
  <c r="S9" i="314"/>
  <c r="R9" i="314"/>
  <c r="Q9" i="314"/>
  <c r="P9" i="314"/>
  <c r="O9" i="314"/>
  <c r="N9" i="314"/>
  <c r="M9" i="314"/>
  <c r="L9" i="314"/>
  <c r="K9" i="314"/>
  <c r="J9" i="314"/>
  <c r="I9" i="314"/>
  <c r="H9" i="314"/>
  <c r="G9" i="314"/>
  <c r="F9" i="314"/>
  <c r="E9" i="314"/>
  <c r="D9" i="314"/>
  <c r="C9" i="314"/>
  <c r="AG8" i="314"/>
  <c r="AF8" i="314"/>
  <c r="AE8" i="314"/>
  <c r="AD8" i="314"/>
  <c r="AC8" i="314"/>
  <c r="AB8" i="314"/>
  <c r="AA8" i="314"/>
  <c r="Z8" i="314"/>
  <c r="Y8" i="314"/>
  <c r="X8" i="314"/>
  <c r="W8" i="314"/>
  <c r="V8" i="314"/>
  <c r="U8" i="314"/>
  <c r="T8" i="314"/>
  <c r="S8" i="314"/>
  <c r="R8" i="314"/>
  <c r="Q8" i="314"/>
  <c r="P8" i="314"/>
  <c r="O8" i="314"/>
  <c r="N8" i="314"/>
  <c r="M8" i="314"/>
  <c r="L8" i="314"/>
  <c r="K8" i="314"/>
  <c r="J8" i="314"/>
  <c r="I8" i="314"/>
  <c r="H8" i="314"/>
  <c r="G8" i="314"/>
  <c r="F8" i="314"/>
  <c r="E8" i="314"/>
  <c r="D8" i="314"/>
  <c r="C8" i="314"/>
  <c r="AG7" i="314"/>
  <c r="AG18" i="314" s="1"/>
  <c r="AF7" i="314"/>
  <c r="AF18" i="314" s="1"/>
  <c r="AE7" i="314"/>
  <c r="AE18" i="314" s="1"/>
  <c r="AD7" i="314"/>
  <c r="AD18" i="314" s="1"/>
  <c r="AC7" i="314"/>
  <c r="AC18" i="314" s="1"/>
  <c r="AC20" i="314" s="1"/>
  <c r="AB7" i="314"/>
  <c r="AB18" i="314" s="1"/>
  <c r="AB20" i="314" s="1"/>
  <c r="AA7" i="314"/>
  <c r="AA18" i="314" s="1"/>
  <c r="AA20" i="314" s="1"/>
  <c r="Z7" i="314"/>
  <c r="Z18" i="314" s="1"/>
  <c r="Z20" i="314" s="1"/>
  <c r="Y7" i="314"/>
  <c r="Y18" i="314" s="1"/>
  <c r="Y20" i="314" s="1"/>
  <c r="X7" i="314"/>
  <c r="X18" i="314" s="1"/>
  <c r="X20" i="314" s="1"/>
  <c r="W7" i="314"/>
  <c r="W18" i="314" s="1"/>
  <c r="W20" i="314" s="1"/>
  <c r="V7" i="314"/>
  <c r="V18" i="314" s="1"/>
  <c r="U7" i="314"/>
  <c r="U18" i="314" s="1"/>
  <c r="T7" i="314"/>
  <c r="T18" i="314" s="1"/>
  <c r="S7" i="314"/>
  <c r="S18" i="314" s="1"/>
  <c r="R7" i="314"/>
  <c r="Q7" i="314"/>
  <c r="Q18" i="314" s="1"/>
  <c r="Q20" i="314" s="1"/>
  <c r="P7" i="314"/>
  <c r="O7" i="314"/>
  <c r="O18" i="314" s="1"/>
  <c r="N7" i="314"/>
  <c r="N18" i="314" s="1"/>
  <c r="M7" i="314"/>
  <c r="M18" i="314" s="1"/>
  <c r="M20" i="314" s="1"/>
  <c r="L7" i="314"/>
  <c r="L18" i="314" s="1"/>
  <c r="L20" i="314" s="1"/>
  <c r="K7" i="314"/>
  <c r="K18" i="314" s="1"/>
  <c r="K20" i="314" s="1"/>
  <c r="J7" i="314"/>
  <c r="J18" i="314" s="1"/>
  <c r="J20" i="314" s="1"/>
  <c r="I7" i="314"/>
  <c r="I18" i="314" s="1"/>
  <c r="I20" i="314" s="1"/>
  <c r="H7" i="314"/>
  <c r="H18" i="314" s="1"/>
  <c r="H20" i="314" s="1"/>
  <c r="G7" i="314"/>
  <c r="G18" i="314" s="1"/>
  <c r="G20" i="314" s="1"/>
  <c r="F7" i="314"/>
  <c r="F18" i="314" s="1"/>
  <c r="E7" i="314"/>
  <c r="E18" i="314" s="1"/>
  <c r="D7" i="314"/>
  <c r="D18" i="314" s="1"/>
  <c r="C7" i="314"/>
  <c r="C18" i="314" s="1"/>
  <c r="AC19" i="313"/>
  <c r="AB19" i="313"/>
  <c r="AA19" i="313"/>
  <c r="Z19" i="313"/>
  <c r="Y19" i="313"/>
  <c r="X19" i="313"/>
  <c r="W19" i="313"/>
  <c r="V19" i="313"/>
  <c r="U19" i="313"/>
  <c r="T19" i="313"/>
  <c r="S19" i="313"/>
  <c r="R19" i="313"/>
  <c r="Q19" i="313"/>
  <c r="P19" i="313"/>
  <c r="O19" i="313"/>
  <c r="N19" i="313"/>
  <c r="M19" i="313"/>
  <c r="L19" i="313"/>
  <c r="K19" i="313"/>
  <c r="J19" i="313"/>
  <c r="I19" i="313"/>
  <c r="H19" i="313"/>
  <c r="G19" i="313"/>
  <c r="F19" i="313"/>
  <c r="E19" i="313"/>
  <c r="D19" i="313"/>
  <c r="C19" i="313"/>
  <c r="AP18" i="313"/>
  <c r="AO17" i="313"/>
  <c r="AN17" i="313"/>
  <c r="AC17" i="313"/>
  <c r="AB17" i="313"/>
  <c r="AA17" i="313"/>
  <c r="Z17" i="313"/>
  <c r="Y17" i="313"/>
  <c r="X17" i="313"/>
  <c r="W17" i="313"/>
  <c r="V17" i="313"/>
  <c r="U17" i="313"/>
  <c r="T17" i="313"/>
  <c r="S17" i="313"/>
  <c r="R17" i="313"/>
  <c r="Q17" i="313"/>
  <c r="P17" i="313"/>
  <c r="O17" i="313"/>
  <c r="N17" i="313"/>
  <c r="M17" i="313"/>
  <c r="L17" i="313"/>
  <c r="K17" i="313"/>
  <c r="J17" i="313"/>
  <c r="I17" i="313"/>
  <c r="H17" i="313"/>
  <c r="G17" i="313"/>
  <c r="F17" i="313"/>
  <c r="E17" i="313"/>
  <c r="D17" i="313"/>
  <c r="C17" i="313"/>
  <c r="AO16" i="313"/>
  <c r="AN16" i="313"/>
  <c r="AC16" i="313"/>
  <c r="AB16" i="313"/>
  <c r="AA16" i="313"/>
  <c r="Z16" i="313"/>
  <c r="Y16" i="313"/>
  <c r="X16" i="313"/>
  <c r="W16" i="313"/>
  <c r="V16" i="313"/>
  <c r="U16" i="313"/>
  <c r="T16" i="313"/>
  <c r="S16" i="313"/>
  <c r="R16" i="313"/>
  <c r="Q16" i="313"/>
  <c r="P16" i="313"/>
  <c r="O16" i="313"/>
  <c r="N16" i="313"/>
  <c r="M16" i="313"/>
  <c r="L16" i="313"/>
  <c r="K16" i="313"/>
  <c r="J16" i="313"/>
  <c r="I16" i="313"/>
  <c r="H16" i="313"/>
  <c r="G16" i="313"/>
  <c r="F16" i="313"/>
  <c r="E16" i="313"/>
  <c r="D16" i="313"/>
  <c r="C16" i="313"/>
  <c r="AM16" i="313" s="1"/>
  <c r="AO15" i="313"/>
  <c r="AN15" i="313"/>
  <c r="AC15" i="313"/>
  <c r="AB15" i="313"/>
  <c r="AA15" i="313"/>
  <c r="Z15" i="313"/>
  <c r="Y15" i="313"/>
  <c r="X15" i="313"/>
  <c r="W15" i="313"/>
  <c r="V15" i="313"/>
  <c r="U15" i="313"/>
  <c r="T15" i="313"/>
  <c r="S15" i="313"/>
  <c r="R15" i="313"/>
  <c r="Q15" i="313"/>
  <c r="P15" i="313"/>
  <c r="O15" i="313"/>
  <c r="N15" i="313"/>
  <c r="M15" i="313"/>
  <c r="L15" i="313"/>
  <c r="K15" i="313"/>
  <c r="J15" i="313"/>
  <c r="I15" i="313"/>
  <c r="H15" i="313"/>
  <c r="G15" i="313"/>
  <c r="F15" i="313"/>
  <c r="E15" i="313"/>
  <c r="D15" i="313"/>
  <c r="C15" i="313"/>
  <c r="AM15" i="313" s="1"/>
  <c r="AO14" i="313"/>
  <c r="AN14" i="313"/>
  <c r="AC14" i="313"/>
  <c r="AB14" i="313"/>
  <c r="AA14" i="313"/>
  <c r="Z14" i="313"/>
  <c r="Y14" i="313"/>
  <c r="X14" i="313"/>
  <c r="W14" i="313"/>
  <c r="V14" i="313"/>
  <c r="U14" i="313"/>
  <c r="T14" i="313"/>
  <c r="S14" i="313"/>
  <c r="R14" i="313"/>
  <c r="Q14" i="313"/>
  <c r="P14" i="313"/>
  <c r="O14" i="313"/>
  <c r="N14" i="313"/>
  <c r="M14" i="313"/>
  <c r="L14" i="313"/>
  <c r="K14" i="313"/>
  <c r="J14" i="313"/>
  <c r="I14" i="313"/>
  <c r="H14" i="313"/>
  <c r="G14" i="313"/>
  <c r="F14" i="313"/>
  <c r="E14" i="313"/>
  <c r="D14" i="313"/>
  <c r="C14" i="313"/>
  <c r="AM14" i="313" s="1"/>
  <c r="AO13" i="313"/>
  <c r="AN13" i="313"/>
  <c r="AC13" i="313"/>
  <c r="AB13" i="313"/>
  <c r="AA13" i="313"/>
  <c r="Z13" i="313"/>
  <c r="Y13" i="313"/>
  <c r="X13" i="313"/>
  <c r="W13" i="313"/>
  <c r="V13" i="313"/>
  <c r="U13" i="313"/>
  <c r="T13" i="313"/>
  <c r="S13" i="313"/>
  <c r="R13" i="313"/>
  <c r="Q13" i="313"/>
  <c r="P13" i="313"/>
  <c r="O13" i="313"/>
  <c r="N13" i="313"/>
  <c r="M13" i="313"/>
  <c r="L13" i="313"/>
  <c r="K13" i="313"/>
  <c r="J13" i="313"/>
  <c r="I13" i="313"/>
  <c r="H13" i="313"/>
  <c r="G13" i="313"/>
  <c r="F13" i="313"/>
  <c r="E13" i="313"/>
  <c r="D13" i="313"/>
  <c r="C13" i="313"/>
  <c r="AO12" i="313"/>
  <c r="AN12" i="313"/>
  <c r="AC12" i="313"/>
  <c r="AB12" i="313"/>
  <c r="AA12" i="313"/>
  <c r="Z12" i="313"/>
  <c r="Y12" i="313"/>
  <c r="X12" i="313"/>
  <c r="W12" i="313"/>
  <c r="V12" i="313"/>
  <c r="U12" i="313"/>
  <c r="T12" i="313"/>
  <c r="S12" i="313"/>
  <c r="R12" i="313"/>
  <c r="Q12" i="313"/>
  <c r="P12" i="313"/>
  <c r="O12" i="313"/>
  <c r="N12" i="313"/>
  <c r="M12" i="313"/>
  <c r="L12" i="313"/>
  <c r="K12" i="313"/>
  <c r="J12" i="313"/>
  <c r="I12" i="313"/>
  <c r="H12" i="313"/>
  <c r="G12" i="313"/>
  <c r="F12" i="313"/>
  <c r="E12" i="313"/>
  <c r="D12" i="313"/>
  <c r="C12" i="313"/>
  <c r="AM12" i="313" s="1"/>
  <c r="AO11" i="313"/>
  <c r="AN11" i="313"/>
  <c r="AC11" i="313"/>
  <c r="AB11" i="313"/>
  <c r="AA11" i="313"/>
  <c r="Z11" i="313"/>
  <c r="Y11" i="313"/>
  <c r="X11" i="313"/>
  <c r="W11" i="313"/>
  <c r="V11" i="313"/>
  <c r="U11" i="313"/>
  <c r="T11" i="313"/>
  <c r="S11" i="313"/>
  <c r="R11" i="313"/>
  <c r="Q11" i="313"/>
  <c r="P11" i="313"/>
  <c r="O11" i="313"/>
  <c r="N11" i="313"/>
  <c r="M11" i="313"/>
  <c r="L11" i="313"/>
  <c r="K11" i="313"/>
  <c r="J11" i="313"/>
  <c r="I11" i="313"/>
  <c r="H11" i="313"/>
  <c r="G11" i="313"/>
  <c r="F11" i="313"/>
  <c r="E11" i="313"/>
  <c r="D11" i="313"/>
  <c r="C11" i="313"/>
  <c r="AO10" i="313"/>
  <c r="AN10" i="313"/>
  <c r="AC10" i="313"/>
  <c r="AB10" i="313"/>
  <c r="AA10" i="313"/>
  <c r="Z10" i="313"/>
  <c r="Y10" i="313"/>
  <c r="X10" i="313"/>
  <c r="W10" i="313"/>
  <c r="V10" i="313"/>
  <c r="U10" i="313"/>
  <c r="T10" i="313"/>
  <c r="S10" i="313"/>
  <c r="R10" i="313"/>
  <c r="Q10" i="313"/>
  <c r="P10" i="313"/>
  <c r="O10" i="313"/>
  <c r="N10" i="313"/>
  <c r="M10" i="313"/>
  <c r="L10" i="313"/>
  <c r="K10" i="313"/>
  <c r="J10" i="313"/>
  <c r="I10" i="313"/>
  <c r="H10" i="313"/>
  <c r="G10" i="313"/>
  <c r="F10" i="313"/>
  <c r="E10" i="313"/>
  <c r="D10" i="313"/>
  <c r="C10" i="313"/>
  <c r="AM10" i="313" s="1"/>
  <c r="AO9" i="313"/>
  <c r="AN9" i="313"/>
  <c r="AC9" i="313"/>
  <c r="AB9" i="313"/>
  <c r="AA9" i="313"/>
  <c r="Z9" i="313"/>
  <c r="Y9" i="313"/>
  <c r="X9" i="313"/>
  <c r="W9" i="313"/>
  <c r="V9" i="313"/>
  <c r="U9" i="313"/>
  <c r="T9" i="313"/>
  <c r="S9" i="313"/>
  <c r="R9" i="313"/>
  <c r="Q9" i="313"/>
  <c r="P9" i="313"/>
  <c r="O9" i="313"/>
  <c r="N9" i="313"/>
  <c r="M9" i="313"/>
  <c r="L9" i="313"/>
  <c r="K9" i="313"/>
  <c r="J9" i="313"/>
  <c r="I9" i="313"/>
  <c r="H9" i="313"/>
  <c r="G9" i="313"/>
  <c r="F9" i="313"/>
  <c r="E9" i="313"/>
  <c r="D9" i="313"/>
  <c r="C9" i="313"/>
  <c r="AO8" i="313"/>
  <c r="AN8" i="313"/>
  <c r="AC8" i="313"/>
  <c r="AB8" i="313"/>
  <c r="AA8" i="313"/>
  <c r="Z8" i="313"/>
  <c r="Y8" i="313"/>
  <c r="X8" i="313"/>
  <c r="W8" i="313"/>
  <c r="V8" i="313"/>
  <c r="U8" i="313"/>
  <c r="T8" i="313"/>
  <c r="S8" i="313"/>
  <c r="R8" i="313"/>
  <c r="Q8" i="313"/>
  <c r="P8" i="313"/>
  <c r="O8" i="313"/>
  <c r="N8" i="313"/>
  <c r="M8" i="313"/>
  <c r="L8" i="313"/>
  <c r="K8" i="313"/>
  <c r="J8" i="313"/>
  <c r="I8" i="313"/>
  <c r="H8" i="313"/>
  <c r="G8" i="313"/>
  <c r="F8" i="313"/>
  <c r="E8" i="313"/>
  <c r="D8" i="313"/>
  <c r="C8" i="313"/>
  <c r="AM8" i="313" s="1"/>
  <c r="AO7" i="313"/>
  <c r="AO18" i="313" s="1"/>
  <c r="AN7" i="313"/>
  <c r="AC7" i="313"/>
  <c r="AC18" i="313" s="1"/>
  <c r="AC20" i="313" s="1"/>
  <c r="AB7" i="313"/>
  <c r="AB18" i="313" s="1"/>
  <c r="AB20" i="313" s="1"/>
  <c r="AA7" i="313"/>
  <c r="Z7" i="313"/>
  <c r="Z18" i="313" s="1"/>
  <c r="Z20" i="313" s="1"/>
  <c r="Y7" i="313"/>
  <c r="Y18" i="313" s="1"/>
  <c r="Y20" i="313" s="1"/>
  <c r="X7" i="313"/>
  <c r="X18" i="313" s="1"/>
  <c r="X20" i="313" s="1"/>
  <c r="W7" i="313"/>
  <c r="V7" i="313"/>
  <c r="V18" i="313" s="1"/>
  <c r="V20" i="313" s="1"/>
  <c r="U7" i="313"/>
  <c r="U18" i="313" s="1"/>
  <c r="U20" i="313" s="1"/>
  <c r="T7" i="313"/>
  <c r="T18" i="313" s="1"/>
  <c r="T20" i="313" s="1"/>
  <c r="S7" i="313"/>
  <c r="R7" i="313"/>
  <c r="R18" i="313" s="1"/>
  <c r="R20" i="313" s="1"/>
  <c r="Q7" i="313"/>
  <c r="Q18" i="313" s="1"/>
  <c r="Q20" i="313" s="1"/>
  <c r="P7" i="313"/>
  <c r="P18" i="313" s="1"/>
  <c r="P20" i="313" s="1"/>
  <c r="O7" i="313"/>
  <c r="N7" i="313"/>
  <c r="N18" i="313" s="1"/>
  <c r="N20" i="313" s="1"/>
  <c r="M7" i="313"/>
  <c r="M18" i="313" s="1"/>
  <c r="M20" i="313" s="1"/>
  <c r="L7" i="313"/>
  <c r="L18" i="313" s="1"/>
  <c r="L20" i="313" s="1"/>
  <c r="K7" i="313"/>
  <c r="J7" i="313"/>
  <c r="J18" i="313" s="1"/>
  <c r="J20" i="313" s="1"/>
  <c r="I7" i="313"/>
  <c r="I18" i="313" s="1"/>
  <c r="I20" i="313" s="1"/>
  <c r="H7" i="313"/>
  <c r="H18" i="313" s="1"/>
  <c r="H20" i="313" s="1"/>
  <c r="G7" i="313"/>
  <c r="G18" i="313" s="1"/>
  <c r="G20" i="313" s="1"/>
  <c r="F7" i="313"/>
  <c r="F18" i="313" s="1"/>
  <c r="F20" i="313" s="1"/>
  <c r="E7" i="313"/>
  <c r="E18" i="313" s="1"/>
  <c r="D7" i="313"/>
  <c r="C7" i="313"/>
  <c r="C18" i="313" s="1"/>
  <c r="C20" i="313" s="1"/>
  <c r="C20" i="314" l="1"/>
  <c r="S20" i="314"/>
  <c r="D20" i="314"/>
  <c r="T20" i="314"/>
  <c r="E20" i="314"/>
  <c r="U20" i="314"/>
  <c r="F20" i="314"/>
  <c r="V20" i="314"/>
  <c r="E20" i="313"/>
  <c r="N20" i="314"/>
  <c r="AD20" i="314"/>
  <c r="O20" i="314"/>
  <c r="AE20" i="314"/>
  <c r="AF20" i="314"/>
  <c r="I24" i="313"/>
  <c r="I32" i="313"/>
  <c r="I28" i="313"/>
  <c r="AQ10" i="313"/>
  <c r="AQ14" i="313"/>
  <c r="C29" i="314"/>
  <c r="W18" i="313"/>
  <c r="W20" i="313" s="1"/>
  <c r="AA18" i="313"/>
  <c r="AA20" i="313" s="1"/>
  <c r="G30" i="314"/>
  <c r="C35" i="314"/>
  <c r="AM9" i="313"/>
  <c r="AQ9" i="313" s="1"/>
  <c r="AM13" i="313"/>
  <c r="AQ13" i="313" s="1"/>
  <c r="I25" i="313"/>
  <c r="AM7" i="313"/>
  <c r="AQ7" i="313" s="1"/>
  <c r="AQ18" i="313" s="1"/>
  <c r="AQ20" i="313" s="1"/>
  <c r="I23" i="313"/>
  <c r="H24" i="313"/>
  <c r="I27" i="313"/>
  <c r="H28" i="313"/>
  <c r="I31" i="313"/>
  <c r="H32" i="313"/>
  <c r="H26" i="313"/>
  <c r="I29" i="313"/>
  <c r="AQ8" i="313"/>
  <c r="AM11" i="313"/>
  <c r="I26" i="313"/>
  <c r="AQ12" i="313"/>
  <c r="I30" i="313"/>
  <c r="AQ16" i="313"/>
  <c r="K18" i="313"/>
  <c r="K20" i="313" s="1"/>
  <c r="O18" i="313"/>
  <c r="O20" i="313" s="1"/>
  <c r="S18" i="313"/>
  <c r="S20" i="313" s="1"/>
  <c r="AQ11" i="313"/>
  <c r="AM17" i="313"/>
  <c r="AQ17" i="313" s="1"/>
  <c r="C25" i="314"/>
  <c r="G25" i="314"/>
  <c r="C28" i="314"/>
  <c r="G28" i="314"/>
  <c r="C32" i="314"/>
  <c r="G32" i="314"/>
  <c r="H22" i="313"/>
  <c r="H27" i="313"/>
  <c r="H23" i="313"/>
  <c r="AN18" i="313"/>
  <c r="G24" i="314"/>
  <c r="G27" i="314"/>
  <c r="G31" i="314"/>
  <c r="H30" i="313"/>
  <c r="H29" i="313"/>
  <c r="H25" i="313"/>
  <c r="H31" i="313"/>
  <c r="AQ15" i="313"/>
  <c r="I22" i="313"/>
  <c r="AH14" i="314"/>
  <c r="P18" i="314"/>
  <c r="P20" i="314" s="1"/>
  <c r="AH17" i="314"/>
  <c r="R18" i="314"/>
  <c r="R20" i="314" s="1"/>
  <c r="AH8" i="314"/>
  <c r="AH11" i="314"/>
  <c r="AH15" i="314"/>
  <c r="C33" i="314"/>
  <c r="AH10" i="314"/>
  <c r="AH13" i="314"/>
  <c r="C23" i="314"/>
  <c r="C24" i="314"/>
  <c r="AH9" i="314"/>
  <c r="AH12" i="314"/>
  <c r="AH16" i="314"/>
  <c r="C31" i="314"/>
  <c r="C27" i="314"/>
  <c r="C34" i="314"/>
  <c r="C30" i="314"/>
  <c r="C26" i="314"/>
  <c r="AH7" i="314"/>
  <c r="AH18" i="314" s="1"/>
  <c r="AH20" i="314" s="1"/>
  <c r="D18" i="313"/>
  <c r="D20" i="313" s="1"/>
  <c r="AM18" i="313" l="1"/>
  <c r="AM20" i="313"/>
  <c r="H10" i="312"/>
  <c r="H11" i="312"/>
  <c r="H12" i="312"/>
  <c r="H13" i="312"/>
  <c r="H14" i="312"/>
  <c r="H15" i="312"/>
  <c r="H16" i="312"/>
  <c r="H17" i="312"/>
  <c r="H18" i="312"/>
  <c r="H19" i="312"/>
  <c r="H20" i="312"/>
  <c r="H21" i="312"/>
  <c r="H22" i="312"/>
  <c r="H23" i="312"/>
  <c r="H24" i="312"/>
  <c r="H25" i="312"/>
  <c r="H26" i="312"/>
  <c r="H27" i="312"/>
  <c r="H28" i="312"/>
  <c r="H29" i="312"/>
  <c r="H30" i="312"/>
  <c r="H31" i="312"/>
  <c r="H32" i="312"/>
  <c r="H33" i="312"/>
  <c r="H34" i="312"/>
  <c r="H35" i="312"/>
  <c r="H36" i="312"/>
  <c r="H37" i="312"/>
  <c r="H38" i="312"/>
  <c r="H39" i="312"/>
  <c r="H40" i="312"/>
  <c r="H41" i="312"/>
  <c r="H42" i="312"/>
  <c r="H43" i="312"/>
  <c r="H44" i="312"/>
  <c r="H45" i="312"/>
  <c r="H46" i="312"/>
  <c r="H47" i="312"/>
  <c r="H48" i="312"/>
  <c r="H49" i="312"/>
  <c r="H50" i="312"/>
  <c r="H51" i="312"/>
  <c r="H52" i="312"/>
  <c r="H53" i="312"/>
  <c r="H54" i="312"/>
  <c r="H55" i="312"/>
  <c r="H56" i="312"/>
  <c r="H57" i="312"/>
  <c r="H58" i="312"/>
  <c r="H59" i="312"/>
  <c r="H60" i="312"/>
  <c r="H61" i="312"/>
  <c r="H62" i="312"/>
  <c r="H63" i="312"/>
  <c r="H64" i="312"/>
  <c r="H65" i="312"/>
  <c r="H66" i="312"/>
  <c r="H67" i="312"/>
  <c r="H68" i="312"/>
  <c r="H69" i="312"/>
  <c r="H70" i="312"/>
  <c r="H71" i="312"/>
  <c r="H72" i="312"/>
  <c r="H73" i="312"/>
  <c r="H74" i="312"/>
  <c r="H75" i="312"/>
  <c r="H76" i="312"/>
  <c r="H77" i="312"/>
  <c r="H78" i="312"/>
  <c r="H79" i="312"/>
  <c r="H80" i="312"/>
  <c r="H81" i="312"/>
  <c r="H82" i="312"/>
  <c r="H83" i="312"/>
  <c r="H84" i="312"/>
  <c r="H85" i="312"/>
  <c r="H86" i="312"/>
  <c r="H9" i="312"/>
  <c r="AV12" i="102" l="1"/>
  <c r="AV13" i="102"/>
  <c r="AV14" i="102"/>
  <c r="AV15" i="102"/>
  <c r="AV16" i="102"/>
  <c r="AV17" i="102"/>
  <c r="AV18" i="102"/>
  <c r="AV19" i="102"/>
  <c r="AV20" i="102"/>
  <c r="AV21" i="102"/>
  <c r="AV22" i="102"/>
  <c r="AV23" i="102"/>
  <c r="AV24" i="102"/>
  <c r="AV25" i="102"/>
  <c r="AV26" i="102"/>
  <c r="AV27" i="102"/>
  <c r="AV28" i="102"/>
  <c r="AV29" i="102"/>
  <c r="AV30" i="102"/>
  <c r="AV31" i="102"/>
  <c r="AV33" i="102"/>
  <c r="AV34" i="102"/>
  <c r="AV35" i="102"/>
  <c r="AV36" i="102"/>
  <c r="AV37" i="102"/>
  <c r="AV38" i="102"/>
  <c r="AV39" i="102"/>
  <c r="AV40" i="102"/>
  <c r="AV41" i="102"/>
  <c r="AV43" i="102"/>
  <c r="AV44" i="102"/>
  <c r="AV45" i="102"/>
  <c r="AV47" i="102"/>
  <c r="AV48" i="102"/>
  <c r="AV49" i="102"/>
  <c r="AV50" i="102"/>
  <c r="AV51" i="102"/>
  <c r="AV52" i="102"/>
  <c r="AV53" i="102"/>
  <c r="AV54" i="102"/>
  <c r="AV55" i="102"/>
  <c r="AV56" i="102"/>
  <c r="AV57" i="102"/>
  <c r="AV58" i="102"/>
  <c r="AV59" i="102"/>
  <c r="AV60" i="102"/>
  <c r="AV61" i="102"/>
  <c r="AV62" i="102"/>
  <c r="AV63" i="102"/>
  <c r="AV64" i="102"/>
  <c r="AV65" i="102"/>
  <c r="AV66" i="102"/>
  <c r="AV67" i="102"/>
  <c r="AV68" i="102"/>
  <c r="AV69" i="102"/>
  <c r="AV70" i="102"/>
  <c r="AV71" i="102"/>
  <c r="AV72" i="102"/>
  <c r="AV73" i="102"/>
  <c r="AV75" i="102"/>
  <c r="AV76" i="102"/>
  <c r="AV77" i="102"/>
  <c r="AV78" i="102"/>
  <c r="AV79" i="102"/>
  <c r="AV80" i="102"/>
  <c r="AV81" i="102"/>
  <c r="AV82" i="102"/>
  <c r="AV83" i="102"/>
  <c r="AV84" i="102"/>
  <c r="AV85" i="102"/>
  <c r="AV86" i="102"/>
  <c r="AV87" i="102"/>
  <c r="AV88" i="102"/>
  <c r="AV11" i="102"/>
  <c r="AV89" i="102" l="1"/>
  <c r="I75" i="312" l="1"/>
  <c r="I76" i="312"/>
  <c r="I77" i="312"/>
  <c r="I78" i="312"/>
  <c r="I79" i="312"/>
  <c r="I80" i="312"/>
  <c r="I81" i="312"/>
  <c r="I82" i="312"/>
  <c r="I83" i="312"/>
  <c r="I84" i="312"/>
  <c r="I85" i="312"/>
  <c r="I86" i="312"/>
  <c r="I10" i="312"/>
  <c r="I11" i="312"/>
  <c r="I12" i="312"/>
  <c r="I13" i="312"/>
  <c r="I14" i="312"/>
  <c r="I15" i="312"/>
  <c r="I16" i="312"/>
  <c r="I17" i="312"/>
  <c r="I18" i="312"/>
  <c r="I19" i="312"/>
  <c r="I20" i="312"/>
  <c r="I21" i="312"/>
  <c r="I22" i="312"/>
  <c r="I23" i="312"/>
  <c r="I24" i="312"/>
  <c r="I25" i="312"/>
  <c r="I26" i="312"/>
  <c r="I27" i="312"/>
  <c r="I28" i="312"/>
  <c r="I29" i="312"/>
  <c r="I30" i="312"/>
  <c r="I31" i="312"/>
  <c r="I32" i="312"/>
  <c r="I33" i="312"/>
  <c r="I34" i="312"/>
  <c r="I35" i="312"/>
  <c r="I36" i="312"/>
  <c r="I37" i="312"/>
  <c r="I38" i="312"/>
  <c r="I39" i="312"/>
  <c r="I40" i="312"/>
  <c r="I41" i="312"/>
  <c r="I42" i="312"/>
  <c r="I43" i="312"/>
  <c r="I44" i="312"/>
  <c r="I45" i="312"/>
  <c r="I46" i="312"/>
  <c r="I47" i="312"/>
  <c r="I48" i="312"/>
  <c r="I49" i="312"/>
  <c r="I50" i="312"/>
  <c r="I51" i="312"/>
  <c r="I52" i="312"/>
  <c r="I53" i="312"/>
  <c r="I54" i="312"/>
  <c r="I55" i="312"/>
  <c r="I56" i="312"/>
  <c r="I57" i="312"/>
  <c r="I58" i="312"/>
  <c r="I59" i="312"/>
  <c r="I60" i="312"/>
  <c r="I61" i="312"/>
  <c r="I62" i="312"/>
  <c r="I63" i="312"/>
  <c r="I64" i="312"/>
  <c r="I65" i="312"/>
  <c r="I66" i="312"/>
  <c r="I67" i="312"/>
  <c r="I68" i="312"/>
  <c r="I69" i="312"/>
  <c r="I70" i="312"/>
  <c r="I71" i="312"/>
  <c r="I72" i="312"/>
  <c r="I73" i="312"/>
  <c r="I74" i="312"/>
  <c r="G87" i="312"/>
  <c r="D72" i="312"/>
  <c r="D84" i="312"/>
  <c r="D85" i="312"/>
  <c r="D86" i="312"/>
  <c r="AL74" i="102"/>
  <c r="H87" i="312" l="1"/>
  <c r="AD67" i="312" l="1"/>
  <c r="AE67" i="312" s="1"/>
  <c r="AD66" i="312"/>
  <c r="AE66" i="312" s="1"/>
  <c r="AD65" i="312"/>
  <c r="AE65" i="312" s="1"/>
  <c r="AD64" i="312"/>
  <c r="AE64" i="312" s="1"/>
  <c r="AA64" i="312"/>
  <c r="X64" i="312"/>
  <c r="Y64" i="312" s="1"/>
  <c r="AD63" i="312"/>
  <c r="AE63" i="312" s="1"/>
  <c r="AA63" i="312"/>
  <c r="X63" i="312"/>
  <c r="Y63" i="312" s="1"/>
  <c r="AD62" i="312"/>
  <c r="AE62" i="312" s="1"/>
  <c r="AA62" i="312"/>
  <c r="X62" i="312"/>
  <c r="Y62" i="312" s="1"/>
  <c r="V62" i="312"/>
  <c r="R62" i="312"/>
  <c r="S62" i="312" s="1"/>
  <c r="L62" i="312"/>
  <c r="AD61" i="312"/>
  <c r="AE61" i="312" s="1"/>
  <c r="AA61" i="312"/>
  <c r="X61" i="312"/>
  <c r="Y61" i="312" s="1"/>
  <c r="V61" i="312"/>
  <c r="R61" i="312"/>
  <c r="S61" i="312" s="1"/>
  <c r="L61" i="312"/>
  <c r="AD60" i="312"/>
  <c r="AE60" i="312" s="1"/>
  <c r="AA60" i="312"/>
  <c r="X60" i="312"/>
  <c r="Y60" i="312" s="1"/>
  <c r="V60" i="312"/>
  <c r="R60" i="312"/>
  <c r="S60" i="312" s="1"/>
  <c r="L60" i="312"/>
  <c r="AD59" i="312"/>
  <c r="AE59" i="312" s="1"/>
  <c r="AA59" i="312"/>
  <c r="X59" i="312"/>
  <c r="Y59" i="312" s="1"/>
  <c r="V59" i="312"/>
  <c r="R59" i="312"/>
  <c r="S59" i="312" s="1"/>
  <c r="L59" i="312"/>
  <c r="AD58" i="312"/>
  <c r="AE58" i="312" s="1"/>
  <c r="AA58" i="312"/>
  <c r="X58" i="312"/>
  <c r="Y58" i="312" s="1"/>
  <c r="V58" i="312"/>
  <c r="R58" i="312"/>
  <c r="S58" i="312" s="1"/>
  <c r="L58" i="312"/>
  <c r="AD57" i="312"/>
  <c r="AE57" i="312" s="1"/>
  <c r="AA57" i="312"/>
  <c r="X57" i="312"/>
  <c r="Y57" i="312" s="1"/>
  <c r="V57" i="312"/>
  <c r="R57" i="312"/>
  <c r="S57" i="312" s="1"/>
  <c r="L57" i="312"/>
  <c r="AD56" i="312"/>
  <c r="AE56" i="312" s="1"/>
  <c r="AA56" i="312"/>
  <c r="X56" i="312"/>
  <c r="Y56" i="312" s="1"/>
  <c r="V56" i="312"/>
  <c r="R56" i="312"/>
  <c r="S56" i="312" s="1"/>
  <c r="L56" i="312"/>
  <c r="AD55" i="312"/>
  <c r="AE55" i="312" s="1"/>
  <c r="AA55" i="312"/>
  <c r="X55" i="312"/>
  <c r="Y55" i="312" s="1"/>
  <c r="V55" i="312"/>
  <c r="R55" i="312"/>
  <c r="S55" i="312" s="1"/>
  <c r="L55" i="312"/>
  <c r="AD54" i="312"/>
  <c r="AE54" i="312" s="1"/>
  <c r="AA54" i="312"/>
  <c r="X54" i="312"/>
  <c r="Y54" i="312" s="1"/>
  <c r="V54" i="312"/>
  <c r="R54" i="312"/>
  <c r="S54" i="312" s="1"/>
  <c r="L54" i="312"/>
  <c r="AD53" i="312"/>
  <c r="AE53" i="312" s="1"/>
  <c r="AA53" i="312"/>
  <c r="X53" i="312"/>
  <c r="Y53" i="312" s="1"/>
  <c r="V53" i="312"/>
  <c r="R53" i="312"/>
  <c r="S53" i="312" s="1"/>
  <c r="L53" i="312"/>
  <c r="AD52" i="312"/>
  <c r="AE52" i="312" s="1"/>
  <c r="AA52" i="312"/>
  <c r="X52" i="312"/>
  <c r="Y52" i="312" s="1"/>
  <c r="V52" i="312"/>
  <c r="R52" i="312"/>
  <c r="S52" i="312" s="1"/>
  <c r="L52" i="312"/>
  <c r="AD51" i="312"/>
  <c r="AE51" i="312" s="1"/>
  <c r="AA51" i="312"/>
  <c r="X51" i="312"/>
  <c r="Y51" i="312" s="1"/>
  <c r="V51" i="312"/>
  <c r="R51" i="312"/>
  <c r="S51" i="312" s="1"/>
  <c r="L51" i="312"/>
  <c r="AD50" i="312"/>
  <c r="AE50" i="312" s="1"/>
  <c r="AA50" i="312"/>
  <c r="X50" i="312"/>
  <c r="Y50" i="312" s="1"/>
  <c r="R50" i="312"/>
  <c r="S50" i="312" s="1"/>
  <c r="L50" i="312"/>
  <c r="AD49" i="312"/>
  <c r="AE49" i="312" s="1"/>
  <c r="AA49" i="312"/>
  <c r="X49" i="312"/>
  <c r="Y49" i="312" s="1"/>
  <c r="V49" i="312"/>
  <c r="R49" i="312"/>
  <c r="S49" i="312" s="1"/>
  <c r="L49" i="312"/>
  <c r="AD48" i="312"/>
  <c r="AE48" i="312" s="1"/>
  <c r="AA48" i="312"/>
  <c r="X48" i="312"/>
  <c r="Y48" i="312" s="1"/>
  <c r="V48" i="312"/>
  <c r="R48" i="312"/>
  <c r="S48" i="312" s="1"/>
  <c r="L48" i="312"/>
  <c r="AD47" i="312"/>
  <c r="AE47" i="312" s="1"/>
  <c r="AA47" i="312"/>
  <c r="X47" i="312"/>
  <c r="Y47" i="312" s="1"/>
  <c r="V47" i="312"/>
  <c r="R47" i="312"/>
  <c r="S47" i="312" s="1"/>
  <c r="L47" i="312"/>
  <c r="AD46" i="312"/>
  <c r="AE46" i="312" s="1"/>
  <c r="AA46" i="312"/>
  <c r="X46" i="312"/>
  <c r="Y46" i="312" s="1"/>
  <c r="R46" i="312"/>
  <c r="S46" i="312" s="1"/>
  <c r="L46" i="312"/>
  <c r="AD45" i="312"/>
  <c r="AE45" i="312" s="1"/>
  <c r="AA45" i="312"/>
  <c r="X45" i="312"/>
  <c r="Y45" i="312" s="1"/>
  <c r="V45" i="312"/>
  <c r="R45" i="312"/>
  <c r="S45" i="312" s="1"/>
  <c r="L45" i="312"/>
  <c r="AD44" i="312"/>
  <c r="AE44" i="312" s="1"/>
  <c r="AA44" i="312"/>
  <c r="X44" i="312"/>
  <c r="Y44" i="312" s="1"/>
  <c r="V44" i="312"/>
  <c r="R44" i="312"/>
  <c r="S44" i="312" s="1"/>
  <c r="L44" i="312"/>
  <c r="AD43" i="312"/>
  <c r="AE43" i="312" s="1"/>
  <c r="AA43" i="312"/>
  <c r="X43" i="312"/>
  <c r="Y43" i="312" s="1"/>
  <c r="V43" i="312"/>
  <c r="R43" i="312"/>
  <c r="S43" i="312" s="1"/>
  <c r="L43" i="312"/>
  <c r="AD42" i="312"/>
  <c r="AE42" i="312" s="1"/>
  <c r="AA42" i="312"/>
  <c r="X42" i="312"/>
  <c r="Y42" i="312" s="1"/>
  <c r="V42" i="312"/>
  <c r="R42" i="312"/>
  <c r="S42" i="312" s="1"/>
  <c r="L42" i="312"/>
  <c r="AD41" i="312"/>
  <c r="AE41" i="312" s="1"/>
  <c r="AA41" i="312"/>
  <c r="X41" i="312"/>
  <c r="Y41" i="312" s="1"/>
  <c r="V41" i="312"/>
  <c r="R41" i="312"/>
  <c r="S41" i="312" s="1"/>
  <c r="L41" i="312"/>
  <c r="AD40" i="312"/>
  <c r="AE40" i="312" s="1"/>
  <c r="AA40" i="312"/>
  <c r="X40" i="312"/>
  <c r="Y40" i="312" s="1"/>
  <c r="V40" i="312"/>
  <c r="R40" i="312"/>
  <c r="S40" i="312" s="1"/>
  <c r="L40" i="312"/>
  <c r="AD39" i="312"/>
  <c r="AE39" i="312" s="1"/>
  <c r="AA39" i="312"/>
  <c r="X39" i="312"/>
  <c r="Y39" i="312" s="1"/>
  <c r="V39" i="312"/>
  <c r="R39" i="312"/>
  <c r="S39" i="312" s="1"/>
  <c r="L39" i="312"/>
  <c r="AD38" i="312"/>
  <c r="AE38" i="312" s="1"/>
  <c r="AA38" i="312"/>
  <c r="X38" i="312"/>
  <c r="Y38" i="312" s="1"/>
  <c r="V38" i="312"/>
  <c r="R38" i="312"/>
  <c r="S38" i="312" s="1"/>
  <c r="L38" i="312"/>
  <c r="AD37" i="312"/>
  <c r="AE37" i="312" s="1"/>
  <c r="AA37" i="312"/>
  <c r="X37" i="312"/>
  <c r="Y37" i="312" s="1"/>
  <c r="V37" i="312"/>
  <c r="R37" i="312"/>
  <c r="S37" i="312" s="1"/>
  <c r="L37" i="312"/>
  <c r="AD36" i="312"/>
  <c r="AE36" i="312" s="1"/>
  <c r="AA36" i="312"/>
  <c r="X36" i="312"/>
  <c r="Y36" i="312" s="1"/>
  <c r="V36" i="312"/>
  <c r="R36" i="312"/>
  <c r="S36" i="312" s="1"/>
  <c r="L36" i="312"/>
  <c r="AD35" i="312"/>
  <c r="AE35" i="312" s="1"/>
  <c r="AA35" i="312"/>
  <c r="X35" i="312"/>
  <c r="Y35" i="312" s="1"/>
  <c r="V35" i="312"/>
  <c r="R35" i="312"/>
  <c r="S35" i="312" s="1"/>
  <c r="L35" i="312"/>
  <c r="AD34" i="312"/>
  <c r="AE34" i="312" s="1"/>
  <c r="AA34" i="312"/>
  <c r="X34" i="312"/>
  <c r="Y34" i="312" s="1"/>
  <c r="V34" i="312"/>
  <c r="R34" i="312"/>
  <c r="S34" i="312" s="1"/>
  <c r="L34" i="312"/>
  <c r="AD33" i="312"/>
  <c r="AE33" i="312" s="1"/>
  <c r="AA33" i="312"/>
  <c r="X33" i="312"/>
  <c r="Y33" i="312" s="1"/>
  <c r="V33" i="312"/>
  <c r="R33" i="312"/>
  <c r="S33" i="312" s="1"/>
  <c r="L33" i="312"/>
  <c r="AD32" i="312"/>
  <c r="AE32" i="312" s="1"/>
  <c r="AA32" i="312"/>
  <c r="X32" i="312"/>
  <c r="Y32" i="312" s="1"/>
  <c r="V32" i="312"/>
  <c r="R32" i="312"/>
  <c r="S32" i="312" s="1"/>
  <c r="L32" i="312"/>
  <c r="AD31" i="312"/>
  <c r="AE31" i="312" s="1"/>
  <c r="AA31" i="312"/>
  <c r="X31" i="312"/>
  <c r="Y31" i="312" s="1"/>
  <c r="V31" i="312"/>
  <c r="R31" i="312"/>
  <c r="S31" i="312" s="1"/>
  <c r="L31" i="312"/>
  <c r="AD30" i="312"/>
  <c r="AE30" i="312" s="1"/>
  <c r="AA30" i="312"/>
  <c r="X30" i="312"/>
  <c r="Y30" i="312" s="1"/>
  <c r="V30" i="312"/>
  <c r="R30" i="312"/>
  <c r="S30" i="312" s="1"/>
  <c r="L30" i="312"/>
  <c r="AD29" i="312"/>
  <c r="AE29" i="312" s="1"/>
  <c r="AA29" i="312"/>
  <c r="X29" i="312"/>
  <c r="Y29" i="312" s="1"/>
  <c r="V29" i="312"/>
  <c r="R29" i="312"/>
  <c r="S29" i="312" s="1"/>
  <c r="L29" i="312"/>
  <c r="AD28" i="312"/>
  <c r="AE28" i="312" s="1"/>
  <c r="AA28" i="312"/>
  <c r="X28" i="312"/>
  <c r="Y28" i="312" s="1"/>
  <c r="V28" i="312"/>
  <c r="R28" i="312"/>
  <c r="S28" i="312" s="1"/>
  <c r="L28" i="312"/>
  <c r="AD27" i="312"/>
  <c r="AE27" i="312" s="1"/>
  <c r="AA27" i="312"/>
  <c r="X27" i="312"/>
  <c r="Y27" i="312" s="1"/>
  <c r="R27" i="312"/>
  <c r="S27" i="312" s="1"/>
  <c r="L27" i="312"/>
  <c r="AD26" i="312"/>
  <c r="AE26" i="312" s="1"/>
  <c r="AA26" i="312"/>
  <c r="X26" i="312"/>
  <c r="Y26" i="312" s="1"/>
  <c r="V26" i="312"/>
  <c r="R26" i="312"/>
  <c r="S26" i="312" s="1"/>
  <c r="L26" i="312"/>
  <c r="AD25" i="312"/>
  <c r="AE25" i="312" s="1"/>
  <c r="AA25" i="312"/>
  <c r="X25" i="312"/>
  <c r="Y25" i="312" s="1"/>
  <c r="R25" i="312"/>
  <c r="S25" i="312" s="1"/>
  <c r="L25" i="312"/>
  <c r="AD24" i="312"/>
  <c r="AE24" i="312" s="1"/>
  <c r="AA24" i="312"/>
  <c r="X24" i="312"/>
  <c r="Y24" i="312" s="1"/>
  <c r="V24" i="312"/>
  <c r="R24" i="312"/>
  <c r="S24" i="312" s="1"/>
  <c r="L24" i="312"/>
  <c r="AD23" i="312"/>
  <c r="AE23" i="312" s="1"/>
  <c r="AA23" i="312"/>
  <c r="X23" i="312"/>
  <c r="Y23" i="312" s="1"/>
  <c r="R23" i="312"/>
  <c r="S23" i="312" s="1"/>
  <c r="L23" i="312"/>
  <c r="AD22" i="312"/>
  <c r="AE22" i="312" s="1"/>
  <c r="AA22" i="312"/>
  <c r="X22" i="312"/>
  <c r="Y22" i="312" s="1"/>
  <c r="V22" i="312"/>
  <c r="R22" i="312"/>
  <c r="S22" i="312" s="1"/>
  <c r="L22" i="312"/>
  <c r="AD21" i="312"/>
  <c r="AE21" i="312" s="1"/>
  <c r="AA21" i="312"/>
  <c r="X21" i="312"/>
  <c r="Y21" i="312" s="1"/>
  <c r="V21" i="312"/>
  <c r="R21" i="312"/>
  <c r="S21" i="312" s="1"/>
  <c r="L21" i="312"/>
  <c r="AD20" i="312"/>
  <c r="AE20" i="312" s="1"/>
  <c r="AA20" i="312"/>
  <c r="X20" i="312"/>
  <c r="Y20" i="312" s="1"/>
  <c r="V20" i="312"/>
  <c r="R20" i="312"/>
  <c r="S20" i="312" s="1"/>
  <c r="L20" i="312"/>
  <c r="AD19" i="312"/>
  <c r="AE19" i="312" s="1"/>
  <c r="AA19" i="312"/>
  <c r="X19" i="312"/>
  <c r="Y19" i="312" s="1"/>
  <c r="V19" i="312"/>
  <c r="R19" i="312"/>
  <c r="S19" i="312" s="1"/>
  <c r="L19" i="312"/>
  <c r="AD18" i="312"/>
  <c r="AE18" i="312" s="1"/>
  <c r="AA18" i="312"/>
  <c r="X18" i="312"/>
  <c r="Y18" i="312" s="1"/>
  <c r="V18" i="312"/>
  <c r="R18" i="312"/>
  <c r="S18" i="312" s="1"/>
  <c r="L18" i="312"/>
  <c r="AD17" i="312"/>
  <c r="AE17" i="312" s="1"/>
  <c r="AA17" i="312"/>
  <c r="X17" i="312"/>
  <c r="Y17" i="312" s="1"/>
  <c r="V17" i="312"/>
  <c r="R17" i="312"/>
  <c r="S17" i="312" s="1"/>
  <c r="L17" i="312"/>
  <c r="AD16" i="312"/>
  <c r="AE16" i="312" s="1"/>
  <c r="AA16" i="312"/>
  <c r="X16" i="312"/>
  <c r="Y16" i="312" s="1"/>
  <c r="V16" i="312"/>
  <c r="R16" i="312"/>
  <c r="S16" i="312" s="1"/>
  <c r="L16" i="312"/>
  <c r="AD15" i="312"/>
  <c r="AE15" i="312" s="1"/>
  <c r="AA15" i="312"/>
  <c r="X15" i="312"/>
  <c r="Y15" i="312" s="1"/>
  <c r="R15" i="312"/>
  <c r="S15" i="312" s="1"/>
  <c r="L15" i="312"/>
  <c r="AD14" i="312"/>
  <c r="AE14" i="312" s="1"/>
  <c r="AA14" i="312"/>
  <c r="X14" i="312"/>
  <c r="Y14" i="312" s="1"/>
  <c r="V14" i="312"/>
  <c r="R14" i="312"/>
  <c r="S14" i="312" s="1"/>
  <c r="L14" i="312"/>
  <c r="AD13" i="312"/>
  <c r="AE13" i="312" s="1"/>
  <c r="AA13" i="312"/>
  <c r="X13" i="312"/>
  <c r="Y13" i="312" s="1"/>
  <c r="V13" i="312"/>
  <c r="R13" i="312"/>
  <c r="S13" i="312" s="1"/>
  <c r="L13" i="312"/>
  <c r="AD12" i="312"/>
  <c r="AE12" i="312" s="1"/>
  <c r="AA12" i="312"/>
  <c r="X12" i="312"/>
  <c r="Y12" i="312" s="1"/>
  <c r="V12" i="312"/>
  <c r="R12" i="312"/>
  <c r="S12" i="312" s="1"/>
  <c r="L12" i="312"/>
  <c r="AD11" i="312"/>
  <c r="AE11" i="312" s="1"/>
  <c r="AA11" i="312"/>
  <c r="X11" i="312"/>
  <c r="Y11" i="312" s="1"/>
  <c r="V11" i="312"/>
  <c r="R11" i="312"/>
  <c r="S11" i="312" s="1"/>
  <c r="L11" i="312"/>
  <c r="AD9" i="312"/>
  <c r="AE9" i="312" s="1"/>
  <c r="AA9" i="312"/>
  <c r="X9" i="312"/>
  <c r="Y9" i="312" s="1"/>
  <c r="R9" i="312"/>
  <c r="S9" i="312" s="1"/>
  <c r="L9" i="312"/>
  <c r="I9" i="312"/>
  <c r="AN12" i="102"/>
  <c r="AO12" i="102" s="1"/>
  <c r="AN13" i="102"/>
  <c r="AO13" i="102" s="1"/>
  <c r="AN14" i="102"/>
  <c r="AO14" i="102" s="1"/>
  <c r="AN15" i="102"/>
  <c r="AO15" i="102" s="1"/>
  <c r="AN16" i="102"/>
  <c r="AO16" i="102" s="1"/>
  <c r="AN17" i="102"/>
  <c r="AO17" i="102" s="1"/>
  <c r="AN18" i="102"/>
  <c r="AO18" i="102" s="1"/>
  <c r="AN19" i="102"/>
  <c r="AO19" i="102" s="1"/>
  <c r="AN20" i="102"/>
  <c r="AO20" i="102" s="1"/>
  <c r="AN21" i="102"/>
  <c r="AO21" i="102" s="1"/>
  <c r="AN22" i="102"/>
  <c r="AO22" i="102" s="1"/>
  <c r="AN23" i="102"/>
  <c r="AO23" i="102" s="1"/>
  <c r="AN24" i="102"/>
  <c r="AO24" i="102" s="1"/>
  <c r="AN25" i="102"/>
  <c r="AO25" i="102" s="1"/>
  <c r="AN26" i="102"/>
  <c r="AO26" i="102" s="1"/>
  <c r="AN27" i="102"/>
  <c r="AO27" i="102" s="1"/>
  <c r="AN28" i="102"/>
  <c r="AO28" i="102" s="1"/>
  <c r="AN29" i="102"/>
  <c r="AO29" i="102" s="1"/>
  <c r="AN30" i="102"/>
  <c r="AO30" i="102" s="1"/>
  <c r="AN31" i="102"/>
  <c r="AO31" i="102" s="1"/>
  <c r="AN32" i="102"/>
  <c r="AO32" i="102" s="1"/>
  <c r="AN33" i="102"/>
  <c r="AO33" i="102" s="1"/>
  <c r="AN34" i="102"/>
  <c r="AO34" i="102" s="1"/>
  <c r="AN35" i="102"/>
  <c r="AO35" i="102" s="1"/>
  <c r="AN36" i="102"/>
  <c r="AO36" i="102" s="1"/>
  <c r="AN37" i="102"/>
  <c r="AO37" i="102" s="1"/>
  <c r="AN38" i="102"/>
  <c r="AO38" i="102" s="1"/>
  <c r="AN39" i="102"/>
  <c r="AO39" i="102" s="1"/>
  <c r="AN40" i="102"/>
  <c r="AO40" i="102" s="1"/>
  <c r="AN41" i="102"/>
  <c r="AO41" i="102" s="1"/>
  <c r="AN42" i="102"/>
  <c r="AO42" i="102" s="1"/>
  <c r="AN43" i="102"/>
  <c r="AO43" i="102" s="1"/>
  <c r="AN44" i="102"/>
  <c r="AO44" i="102" s="1"/>
  <c r="AN45" i="102"/>
  <c r="AO45" i="102" s="1"/>
  <c r="AN46" i="102"/>
  <c r="AO46" i="102" s="1"/>
  <c r="AN47" i="102"/>
  <c r="AO47" i="102" s="1"/>
  <c r="AN48" i="102"/>
  <c r="AO48" i="102" s="1"/>
  <c r="AN49" i="102"/>
  <c r="AO49" i="102" s="1"/>
  <c r="AN50" i="102"/>
  <c r="AO50" i="102" s="1"/>
  <c r="AN51" i="102"/>
  <c r="AO51" i="102" s="1"/>
  <c r="AN52" i="102"/>
  <c r="AO52" i="102" s="1"/>
  <c r="AN53" i="102"/>
  <c r="AO53" i="102" s="1"/>
  <c r="AN54" i="102"/>
  <c r="AO54" i="102" s="1"/>
  <c r="AN55" i="102"/>
  <c r="AO55" i="102" s="1"/>
  <c r="AN56" i="102"/>
  <c r="AO56" i="102" s="1"/>
  <c r="AN57" i="102"/>
  <c r="AO57" i="102" s="1"/>
  <c r="AN58" i="102"/>
  <c r="AO58" i="102" s="1"/>
  <c r="AN59" i="102"/>
  <c r="AO59" i="102" s="1"/>
  <c r="AN60" i="102"/>
  <c r="AO60" i="102" s="1"/>
  <c r="AN61" i="102"/>
  <c r="AO61" i="102" s="1"/>
  <c r="AN62" i="102"/>
  <c r="AO62" i="102" s="1"/>
  <c r="AN63" i="102"/>
  <c r="AO63" i="102" s="1"/>
  <c r="AN64" i="102"/>
  <c r="AO64" i="102" s="1"/>
  <c r="AN65" i="102"/>
  <c r="AO65" i="102" s="1"/>
  <c r="AN66" i="102"/>
  <c r="AO66" i="102" s="1"/>
  <c r="AN67" i="102"/>
  <c r="AO67" i="102" s="1"/>
  <c r="AN68" i="102"/>
  <c r="AO68" i="102" s="1"/>
  <c r="AN69" i="102"/>
  <c r="AO69" i="102" s="1"/>
  <c r="AN70" i="102"/>
  <c r="AO70" i="102" s="1"/>
  <c r="AN71" i="102"/>
  <c r="AO71" i="102" s="1"/>
  <c r="AN72" i="102"/>
  <c r="AO72" i="102" s="1"/>
  <c r="AN73" i="102"/>
  <c r="AO73" i="102" s="1"/>
  <c r="AN74" i="102"/>
  <c r="AO74" i="102" s="1"/>
  <c r="AN75" i="102"/>
  <c r="AO75" i="102" s="1"/>
  <c r="AN76" i="102"/>
  <c r="AO76" i="102" s="1"/>
  <c r="AN77" i="102"/>
  <c r="AO77" i="102" s="1"/>
  <c r="AN78" i="102"/>
  <c r="AO78" i="102" s="1"/>
  <c r="AN79" i="102"/>
  <c r="AO79" i="102" s="1"/>
  <c r="AN80" i="102"/>
  <c r="AO80" i="102" s="1"/>
  <c r="AN81" i="102"/>
  <c r="AO81" i="102" s="1"/>
  <c r="AN82" i="102"/>
  <c r="AO82" i="102" s="1"/>
  <c r="AN83" i="102"/>
  <c r="AO83" i="102" s="1"/>
  <c r="AN84" i="102"/>
  <c r="AO84" i="102" s="1"/>
  <c r="AN85" i="102"/>
  <c r="AO85" i="102" s="1"/>
  <c r="AN86" i="102"/>
  <c r="AO86" i="102" s="1"/>
  <c r="AN87" i="102"/>
  <c r="AO87" i="102" s="1"/>
  <c r="AN88" i="102"/>
  <c r="AO88" i="102" s="1"/>
  <c r="AN11" i="102"/>
  <c r="AO11" i="102" s="1"/>
  <c r="AO89" i="102" l="1"/>
  <c r="I87" i="312"/>
  <c r="AN89" i="102"/>
  <c r="I12" i="102" l="1"/>
  <c r="I13" i="102"/>
  <c r="I14" i="102"/>
  <c r="I15" i="102"/>
  <c r="I16" i="102"/>
  <c r="I17" i="102"/>
  <c r="I18" i="102"/>
  <c r="I19" i="102"/>
  <c r="I20" i="102"/>
  <c r="I21" i="102"/>
  <c r="I22" i="102"/>
  <c r="I23" i="102"/>
  <c r="I24" i="102"/>
  <c r="I25" i="102"/>
  <c r="I26" i="102"/>
  <c r="I27" i="102"/>
  <c r="I28" i="102"/>
  <c r="I29" i="102"/>
  <c r="I30" i="102"/>
  <c r="I31" i="102"/>
  <c r="I32" i="102"/>
  <c r="I33" i="102"/>
  <c r="I34" i="102"/>
  <c r="I35" i="102"/>
  <c r="I36" i="102"/>
  <c r="I37" i="102"/>
  <c r="I38" i="102"/>
  <c r="I39" i="102"/>
  <c r="I40" i="102"/>
  <c r="I41" i="102"/>
  <c r="I42" i="102"/>
  <c r="I43" i="102"/>
  <c r="I44" i="102"/>
  <c r="I45" i="102"/>
  <c r="I46" i="102"/>
  <c r="I47" i="102"/>
  <c r="I48" i="102"/>
  <c r="I49" i="102"/>
  <c r="I50" i="102"/>
  <c r="I51" i="102"/>
  <c r="I52" i="102"/>
  <c r="I53" i="102"/>
  <c r="I54" i="102"/>
  <c r="I55" i="102"/>
  <c r="I56" i="102"/>
  <c r="I57" i="102"/>
  <c r="I58" i="102"/>
  <c r="I59" i="102"/>
  <c r="I60" i="102"/>
  <c r="I61" i="102"/>
  <c r="I62" i="102"/>
  <c r="I63" i="102"/>
  <c r="I64" i="102"/>
  <c r="I65" i="102"/>
  <c r="I66" i="102"/>
  <c r="I67" i="102"/>
  <c r="I68" i="102"/>
  <c r="I69" i="102"/>
  <c r="I70" i="102"/>
  <c r="I71" i="102"/>
  <c r="I72" i="102"/>
  <c r="I73" i="102"/>
  <c r="I74" i="102"/>
  <c r="I75" i="102"/>
  <c r="I76" i="102"/>
  <c r="I77" i="102"/>
  <c r="I78" i="102"/>
  <c r="I79" i="102"/>
  <c r="I80" i="102"/>
  <c r="I81" i="102"/>
  <c r="I82" i="102"/>
  <c r="I83" i="102"/>
  <c r="I84" i="102"/>
  <c r="I85" i="102"/>
  <c r="I86" i="102"/>
  <c r="I87" i="102"/>
  <c r="I88" i="102"/>
  <c r="I11" i="102"/>
  <c r="F12" i="102"/>
  <c r="F13" i="102"/>
  <c r="F14" i="102"/>
  <c r="F15" i="102"/>
  <c r="F16" i="102"/>
  <c r="F17" i="102"/>
  <c r="F18" i="102"/>
  <c r="F19" i="102"/>
  <c r="F20" i="102"/>
  <c r="F21" i="102"/>
  <c r="F22" i="102"/>
  <c r="F23" i="102"/>
  <c r="F24" i="102"/>
  <c r="F25" i="102"/>
  <c r="F26" i="102"/>
  <c r="F27" i="102"/>
  <c r="F28" i="102"/>
  <c r="F29" i="102"/>
  <c r="F30" i="102"/>
  <c r="F31" i="102"/>
  <c r="F32" i="102"/>
  <c r="F33" i="102"/>
  <c r="F34" i="102"/>
  <c r="F35" i="102"/>
  <c r="F36" i="102"/>
  <c r="F37" i="102"/>
  <c r="F38" i="102"/>
  <c r="F39" i="102"/>
  <c r="F40" i="102"/>
  <c r="F41" i="102"/>
  <c r="F42" i="102"/>
  <c r="F43" i="102"/>
  <c r="F44" i="102"/>
  <c r="F45" i="102"/>
  <c r="F46" i="102"/>
  <c r="F47" i="102"/>
  <c r="F48" i="102"/>
  <c r="F49" i="102"/>
  <c r="F50" i="102"/>
  <c r="F51" i="102"/>
  <c r="F52" i="102"/>
  <c r="F53" i="102"/>
  <c r="F54" i="102"/>
  <c r="F55" i="102"/>
  <c r="F56" i="102"/>
  <c r="F57" i="102"/>
  <c r="F58" i="102"/>
  <c r="F59" i="102"/>
  <c r="F60" i="102"/>
  <c r="F61" i="102"/>
  <c r="F62" i="102"/>
  <c r="F63" i="102"/>
  <c r="F64" i="102"/>
  <c r="F65" i="102"/>
  <c r="F66" i="102"/>
  <c r="F67" i="102"/>
  <c r="F68" i="102"/>
  <c r="F69" i="102"/>
  <c r="F70" i="102"/>
  <c r="F71" i="102"/>
  <c r="F72" i="102"/>
  <c r="F73" i="102"/>
  <c r="F74" i="102"/>
  <c r="F75" i="102"/>
  <c r="F76" i="102"/>
  <c r="F77" i="102"/>
  <c r="F78" i="102"/>
  <c r="F79" i="102"/>
  <c r="F80" i="102"/>
  <c r="F81" i="102"/>
  <c r="F82" i="102"/>
  <c r="F83" i="102"/>
  <c r="F84" i="102"/>
  <c r="F85" i="102"/>
  <c r="F86" i="102"/>
  <c r="F87" i="102"/>
  <c r="F88" i="102"/>
  <c r="B107" i="311"/>
  <c r="B106" i="311"/>
  <c r="B105" i="311"/>
  <c r="B104" i="311"/>
  <c r="D103" i="311"/>
  <c r="R90" i="311"/>
  <c r="Q90" i="311"/>
  <c r="P90" i="311"/>
  <c r="O90" i="311"/>
  <c r="N90" i="311"/>
  <c r="M90" i="311"/>
  <c r="L90" i="311"/>
  <c r="K90" i="311"/>
  <c r="J90" i="311"/>
  <c r="I90" i="311"/>
  <c r="H90" i="311"/>
  <c r="T10" i="311"/>
  <c r="D107" i="311" l="1"/>
  <c r="D106" i="311"/>
  <c r="D104" i="311"/>
  <c r="D105" i="311"/>
  <c r="F56" i="299" l="1"/>
  <c r="F24" i="308"/>
  <c r="J85" i="102"/>
  <c r="J89" i="102"/>
  <c r="F59" i="299"/>
  <c r="I35" i="310" l="1"/>
  <c r="AB11" i="102"/>
  <c r="G39" i="310"/>
  <c r="G40" i="310"/>
  <c r="AB14" i="102" s="1"/>
  <c r="G41" i="310"/>
  <c r="G42" i="310"/>
  <c r="AB79" i="102" s="1"/>
  <c r="G43" i="310"/>
  <c r="AB66" i="102" s="1"/>
  <c r="G44" i="310"/>
  <c r="AB13" i="102" s="1"/>
  <c r="G45" i="310"/>
  <c r="AB23" i="102" s="1"/>
  <c r="G46" i="310"/>
  <c r="AB15" i="102" s="1"/>
  <c r="G47" i="310"/>
  <c r="AB64" i="102" s="1"/>
  <c r="G48" i="310"/>
  <c r="AB19" i="102" s="1"/>
  <c r="G49" i="310"/>
  <c r="AB22" i="102" s="1"/>
  <c r="G50" i="310"/>
  <c r="AB81" i="102" s="1"/>
  <c r="G51" i="310"/>
  <c r="AB68" i="102" s="1"/>
  <c r="G52" i="310"/>
  <c r="AB70" i="102" s="1"/>
  <c r="G53" i="310"/>
  <c r="AB76" i="102" s="1"/>
  <c r="G54" i="310"/>
  <c r="AB77" i="102" s="1"/>
  <c r="G55" i="310"/>
  <c r="AB28" i="102" s="1"/>
  <c r="G56" i="310"/>
  <c r="AB29" i="102" s="1"/>
  <c r="G57" i="310"/>
  <c r="AB69" i="102" s="1"/>
  <c r="G58" i="310"/>
  <c r="AB30" i="102" s="1"/>
  <c r="G59" i="310"/>
  <c r="AB31" i="102" s="1"/>
  <c r="G60" i="310"/>
  <c r="AB34" i="102" s="1"/>
  <c r="G61" i="310"/>
  <c r="AB35" i="102" s="1"/>
  <c r="G62" i="310"/>
  <c r="AB72" i="102" s="1"/>
  <c r="G63" i="310"/>
  <c r="AB83" i="102" s="1"/>
  <c r="G64" i="310"/>
  <c r="AB37" i="102" s="1"/>
  <c r="G65" i="310"/>
  <c r="AB39" i="102" s="1"/>
  <c r="G66" i="310"/>
  <c r="AB36" i="102" s="1"/>
  <c r="G67" i="310"/>
  <c r="AB75" i="102" s="1"/>
  <c r="G68" i="310"/>
  <c r="AB80" i="102" s="1"/>
  <c r="G69" i="310"/>
  <c r="AB86" i="102" s="1"/>
  <c r="G70" i="310"/>
  <c r="AB40" i="102" s="1"/>
  <c r="G71" i="310"/>
  <c r="AB42" i="102" s="1"/>
  <c r="G72" i="310"/>
  <c r="AB44" i="102" s="1"/>
  <c r="G73" i="310"/>
  <c r="AB84" i="102" s="1"/>
  <c r="G74" i="310"/>
  <c r="AB50" i="102" s="1"/>
  <c r="G75" i="310"/>
  <c r="AB20" i="102" s="1"/>
  <c r="G76" i="310"/>
  <c r="G77" i="310"/>
  <c r="AB67" i="102" s="1"/>
  <c r="G78" i="310"/>
  <c r="AB48" i="102" s="1"/>
  <c r="G79" i="310"/>
  <c r="AB87" i="102" s="1"/>
  <c r="G80" i="310"/>
  <c r="AB53" i="102" s="1"/>
  <c r="G81" i="310"/>
  <c r="AB49" i="102" s="1"/>
  <c r="G82" i="310"/>
  <c r="AB85" i="102" s="1"/>
  <c r="G83" i="310"/>
  <c r="AB52" i="102" s="1"/>
  <c r="G84" i="310"/>
  <c r="AB56" i="102" s="1"/>
  <c r="G85" i="310"/>
  <c r="AB65" i="102" s="1"/>
  <c r="G86" i="310"/>
  <c r="AB82" i="102" s="1"/>
  <c r="G87" i="310"/>
  <c r="AB88" i="102" s="1"/>
  <c r="G88" i="310"/>
  <c r="AB60" i="102" s="1"/>
  <c r="G89" i="310"/>
  <c r="AB58" i="102" s="1"/>
  <c r="G90" i="310"/>
  <c r="G91" i="310"/>
  <c r="AB57" i="102" s="1"/>
  <c r="G92" i="310"/>
  <c r="AB62" i="102" s="1"/>
  <c r="G93" i="310"/>
  <c r="AB74" i="102" s="1"/>
  <c r="G94" i="310"/>
  <c r="G38" i="310"/>
  <c r="G4" i="310"/>
  <c r="AB18" i="102" s="1"/>
  <c r="G5" i="310"/>
  <c r="AB25" i="102" s="1"/>
  <c r="G6" i="310"/>
  <c r="AB17" i="102" s="1"/>
  <c r="G7" i="310"/>
  <c r="AB16" i="102" s="1"/>
  <c r="G8" i="310"/>
  <c r="G9" i="310"/>
  <c r="AB26" i="102" s="1"/>
  <c r="G10" i="310"/>
  <c r="AB21" i="102" s="1"/>
  <c r="G11" i="310"/>
  <c r="AB71" i="102" s="1"/>
  <c r="G12" i="310"/>
  <c r="AB24" i="102" s="1"/>
  <c r="G13" i="310"/>
  <c r="AB12" i="102" s="1"/>
  <c r="G14" i="310"/>
  <c r="G15" i="310"/>
  <c r="AB33" i="102" s="1"/>
  <c r="G16" i="310"/>
  <c r="AB45" i="102" s="1"/>
  <c r="G17" i="310"/>
  <c r="AB73" i="102" s="1"/>
  <c r="G18" i="310"/>
  <c r="AB38" i="102" s="1"/>
  <c r="G19" i="310"/>
  <c r="AB43" i="102" s="1"/>
  <c r="G20" i="310"/>
  <c r="AB41" i="102" s="1"/>
  <c r="G21" i="310"/>
  <c r="AB51" i="102" s="1"/>
  <c r="G22" i="310"/>
  <c r="AB63" i="102" s="1"/>
  <c r="G23" i="310"/>
  <c r="AB47" i="102" s="1"/>
  <c r="G24" i="310"/>
  <c r="AB54" i="102" s="1"/>
  <c r="G25" i="310"/>
  <c r="AB55" i="102" s="1"/>
  <c r="G26" i="310"/>
  <c r="AB78" i="102" s="1"/>
  <c r="G27" i="310"/>
  <c r="AB59" i="102" s="1"/>
  <c r="G28" i="310"/>
  <c r="AB61" i="102" s="1"/>
  <c r="G29" i="310"/>
  <c r="G30" i="310"/>
  <c r="G3" i="310"/>
  <c r="AB27" i="102" s="1"/>
  <c r="Z12" i="102" l="1"/>
  <c r="Z13" i="102"/>
  <c r="Z14" i="102"/>
  <c r="Z15" i="102"/>
  <c r="Z16" i="102"/>
  <c r="Z17" i="102"/>
  <c r="Z18" i="102"/>
  <c r="Z19" i="102"/>
  <c r="Z20" i="102"/>
  <c r="Z21" i="102"/>
  <c r="Z22" i="102"/>
  <c r="Z23" i="102"/>
  <c r="Z24" i="102"/>
  <c r="Z25" i="102"/>
  <c r="Z26" i="102"/>
  <c r="Z27" i="102"/>
  <c r="Z28" i="102"/>
  <c r="Z29" i="102"/>
  <c r="Z30" i="102"/>
  <c r="Z31" i="102"/>
  <c r="Z32" i="102"/>
  <c r="Z33" i="102"/>
  <c r="Z34" i="102"/>
  <c r="Z35" i="102"/>
  <c r="Z36" i="102"/>
  <c r="Z37" i="102"/>
  <c r="Z38" i="102"/>
  <c r="Z39" i="102"/>
  <c r="Z40" i="102"/>
  <c r="Z41" i="102"/>
  <c r="Z42" i="102"/>
  <c r="Z43" i="102"/>
  <c r="Z44" i="102"/>
  <c r="Z45" i="102"/>
  <c r="Z46" i="102"/>
  <c r="Z47" i="102"/>
  <c r="Z48" i="102"/>
  <c r="Z49" i="102"/>
  <c r="Z50" i="102"/>
  <c r="Z51" i="102"/>
  <c r="Z52" i="102"/>
  <c r="Z53" i="102"/>
  <c r="Z54" i="102"/>
  <c r="Z55" i="102"/>
  <c r="Z56" i="102"/>
  <c r="Z57" i="102"/>
  <c r="Z58" i="102"/>
  <c r="Z59" i="102"/>
  <c r="Z60" i="102"/>
  <c r="Z61" i="102"/>
  <c r="Z62" i="102"/>
  <c r="Z63" i="102"/>
  <c r="Z64" i="102"/>
  <c r="Z65" i="102"/>
  <c r="Z66" i="102"/>
  <c r="Z67" i="102"/>
  <c r="Z68" i="102"/>
  <c r="Z69" i="102"/>
  <c r="Z70" i="102"/>
  <c r="Z71" i="102"/>
  <c r="Z72" i="102"/>
  <c r="Z73" i="102"/>
  <c r="Z74" i="102"/>
  <c r="Z75" i="102"/>
  <c r="Z76" i="102"/>
  <c r="Z77" i="102"/>
  <c r="Z78" i="102"/>
  <c r="Z79" i="102"/>
  <c r="Z80" i="102"/>
  <c r="Z81" i="102"/>
  <c r="Z82" i="102"/>
  <c r="Z83" i="102"/>
  <c r="Z84" i="102"/>
  <c r="Z85" i="102"/>
  <c r="Z86" i="102"/>
  <c r="Z87" i="102"/>
  <c r="Z88" i="102"/>
  <c r="Z11" i="102"/>
  <c r="K12" i="102"/>
  <c r="K13" i="102"/>
  <c r="AJ13" i="102" s="1"/>
  <c r="K14" i="102"/>
  <c r="K15" i="102"/>
  <c r="K16" i="102"/>
  <c r="K17" i="102"/>
  <c r="K18" i="102"/>
  <c r="K19" i="102"/>
  <c r="K20" i="102"/>
  <c r="K21" i="102"/>
  <c r="K22" i="102"/>
  <c r="K23" i="102"/>
  <c r="K24" i="102"/>
  <c r="K25" i="102"/>
  <c r="K26" i="102"/>
  <c r="K27" i="102"/>
  <c r="K28" i="102"/>
  <c r="K29" i="102"/>
  <c r="K30" i="102"/>
  <c r="K31" i="102"/>
  <c r="K32" i="102"/>
  <c r="K33" i="102"/>
  <c r="K34" i="102"/>
  <c r="K35" i="102"/>
  <c r="K36" i="102"/>
  <c r="K37" i="102"/>
  <c r="K38" i="102"/>
  <c r="K39" i="102"/>
  <c r="K40" i="102"/>
  <c r="K41" i="102"/>
  <c r="K42" i="102"/>
  <c r="K43" i="102"/>
  <c r="K44" i="102"/>
  <c r="K45" i="102"/>
  <c r="K46" i="102"/>
  <c r="K47" i="102"/>
  <c r="K48" i="102"/>
  <c r="K49" i="102"/>
  <c r="K50" i="102"/>
  <c r="K51" i="102"/>
  <c r="K52" i="102"/>
  <c r="K53" i="102"/>
  <c r="K54" i="102"/>
  <c r="K55" i="102"/>
  <c r="K56" i="102"/>
  <c r="K57" i="102"/>
  <c r="K58" i="102"/>
  <c r="K59" i="102"/>
  <c r="K60" i="102"/>
  <c r="K61" i="102"/>
  <c r="K62" i="102"/>
  <c r="K63" i="102"/>
  <c r="K64" i="102"/>
  <c r="K65" i="102"/>
  <c r="K66" i="102"/>
  <c r="K67" i="102"/>
  <c r="K68" i="102"/>
  <c r="K69" i="102"/>
  <c r="K70" i="102"/>
  <c r="K71" i="102"/>
  <c r="K72" i="102"/>
  <c r="K73" i="102"/>
  <c r="K74" i="102"/>
  <c r="K75" i="102"/>
  <c r="K76" i="102"/>
  <c r="K77" i="102"/>
  <c r="K78" i="102"/>
  <c r="K79" i="102"/>
  <c r="K80" i="102"/>
  <c r="K81" i="102"/>
  <c r="K82" i="102"/>
  <c r="K83" i="102"/>
  <c r="K84" i="102"/>
  <c r="K85" i="102"/>
  <c r="K86" i="102"/>
  <c r="K87" i="102"/>
  <c r="K88" i="102"/>
  <c r="K11" i="102"/>
  <c r="AJ32" i="102" l="1"/>
  <c r="AJ85" i="102"/>
  <c r="AJ88" i="102"/>
  <c r="AJ84" i="102"/>
  <c r="BA74" i="102"/>
  <c r="AP74" i="102"/>
  <c r="AJ11" i="102"/>
  <c r="E9" i="312" s="1"/>
  <c r="AJ74" i="102"/>
  <c r="B110" i="307"/>
  <c r="B109" i="307"/>
  <c r="B108" i="307"/>
  <c r="B107" i="307"/>
  <c r="D106" i="307"/>
  <c r="R93" i="307"/>
  <c r="Q93" i="307"/>
  <c r="P93" i="307"/>
  <c r="O93" i="307"/>
  <c r="N93" i="307"/>
  <c r="M93" i="307"/>
  <c r="L93" i="307"/>
  <c r="K93" i="307"/>
  <c r="J93" i="307"/>
  <c r="I93" i="307"/>
  <c r="H93" i="307"/>
  <c r="F72" i="312" l="1"/>
  <c r="AY74" i="102"/>
  <c r="D109" i="307"/>
  <c r="AB9" i="312"/>
  <c r="D108" i="307"/>
  <c r="D110" i="307"/>
  <c r="D107" i="307"/>
  <c r="L5" i="297" l="1"/>
  <c r="L6" i="297"/>
  <c r="L7" i="297"/>
  <c r="L8" i="297"/>
  <c r="L9" i="297"/>
  <c r="L10" i="297"/>
  <c r="L11" i="297"/>
  <c r="L12" i="297"/>
  <c r="L13" i="297"/>
  <c r="L14" i="297"/>
  <c r="L15" i="297"/>
  <c r="L16" i="297"/>
  <c r="L17" i="297"/>
  <c r="L18" i="297"/>
  <c r="L19" i="297"/>
  <c r="L20" i="297"/>
  <c r="L21" i="297"/>
  <c r="L22" i="297"/>
  <c r="L23" i="297"/>
  <c r="L24" i="297"/>
  <c r="L25" i="297"/>
  <c r="L26" i="297"/>
  <c r="L27" i="297"/>
  <c r="L28" i="297"/>
  <c r="L29" i="297"/>
  <c r="L30" i="297"/>
  <c r="L31" i="297"/>
  <c r="L32" i="297"/>
  <c r="L33" i="297"/>
  <c r="L34" i="297"/>
  <c r="L35" i="297"/>
  <c r="L36" i="297"/>
  <c r="L37" i="297"/>
  <c r="L38" i="297"/>
  <c r="L39" i="297"/>
  <c r="L40" i="297"/>
  <c r="L41" i="297"/>
  <c r="L42" i="297"/>
  <c r="L43" i="297"/>
  <c r="L44" i="297"/>
  <c r="L45" i="297"/>
  <c r="L46" i="297"/>
  <c r="L47" i="297"/>
  <c r="L48" i="297"/>
  <c r="L49" i="297"/>
  <c r="L50" i="297"/>
  <c r="L51" i="297"/>
  <c r="L52" i="297"/>
  <c r="L53" i="297"/>
  <c r="L54" i="297"/>
  <c r="L55" i="297"/>
  <c r="L56" i="297"/>
  <c r="L57" i="297"/>
  <c r="L58" i="297"/>
  <c r="L59" i="297"/>
  <c r="L60" i="297"/>
  <c r="L61" i="297"/>
  <c r="L62" i="297"/>
  <c r="L63" i="297"/>
  <c r="L64" i="297"/>
  <c r="L65" i="297"/>
  <c r="L66" i="297"/>
  <c r="L67" i="297"/>
  <c r="L68" i="297"/>
  <c r="L69" i="297"/>
  <c r="L70" i="297"/>
  <c r="L71" i="297"/>
  <c r="L72" i="297"/>
  <c r="L73" i="297"/>
  <c r="L74" i="297"/>
  <c r="L75" i="297"/>
  <c r="L76" i="297"/>
  <c r="L77" i="297"/>
  <c r="L78" i="297"/>
  <c r="L79" i="297"/>
  <c r="L80" i="297"/>
  <c r="L81" i="297"/>
  <c r="L82" i="297"/>
  <c r="L83" i="297"/>
  <c r="L84" i="297"/>
  <c r="L85" i="297"/>
  <c r="L86" i="297"/>
  <c r="L87" i="297"/>
  <c r="L88" i="297"/>
  <c r="L89" i="297"/>
  <c r="L90" i="297"/>
  <c r="L91" i="297"/>
  <c r="L92" i="297"/>
  <c r="L93" i="297"/>
  <c r="L94" i="297"/>
  <c r="L95" i="297"/>
  <c r="L96" i="297"/>
  <c r="L97" i="297"/>
  <c r="L98" i="297"/>
  <c r="L99" i="297"/>
  <c r="L100" i="297"/>
  <c r="L101" i="297"/>
  <c r="L102" i="297"/>
  <c r="L103" i="297"/>
  <c r="L104" i="297"/>
  <c r="L105" i="297"/>
  <c r="L106" i="297"/>
  <c r="L107" i="297"/>
  <c r="L108" i="297"/>
  <c r="L109" i="297"/>
  <c r="L110" i="297"/>
  <c r="L111" i="297"/>
  <c r="L112" i="297"/>
  <c r="L113" i="297"/>
  <c r="L114" i="297"/>
  <c r="L115" i="297"/>
  <c r="L116" i="297"/>
  <c r="L117" i="297"/>
  <c r="L118" i="297"/>
  <c r="L119" i="297"/>
  <c r="L120" i="297"/>
  <c r="L121" i="297"/>
  <c r="L122" i="297"/>
  <c r="L123" i="297"/>
  <c r="L124" i="297"/>
  <c r="L125" i="297"/>
  <c r="L126" i="297"/>
  <c r="L127" i="297"/>
  <c r="L128" i="297"/>
  <c r="L129" i="297"/>
  <c r="L130" i="297"/>
  <c r="L131" i="297"/>
  <c r="L132" i="297"/>
  <c r="L133" i="297"/>
  <c r="L134" i="297"/>
  <c r="L135" i="297"/>
  <c r="L136" i="297"/>
  <c r="L137" i="297"/>
  <c r="L138" i="297"/>
  <c r="L139" i="297"/>
  <c r="L140" i="297"/>
  <c r="L141" i="297"/>
  <c r="L142" i="297"/>
  <c r="L143" i="297"/>
  <c r="L144" i="297"/>
  <c r="L145" i="297"/>
  <c r="L146" i="297"/>
  <c r="L147" i="297"/>
  <c r="L148" i="297"/>
  <c r="L149" i="297"/>
  <c r="L150" i="297"/>
  <c r="L151" i="297"/>
  <c r="L152" i="297"/>
  <c r="L153" i="297"/>
  <c r="L154" i="297"/>
  <c r="L155" i="297"/>
  <c r="L156" i="297"/>
  <c r="L157" i="297"/>
  <c r="L158" i="297"/>
  <c r="L159" i="297"/>
  <c r="L4" i="297"/>
  <c r="I2" i="296"/>
  <c r="I1" i="296"/>
  <c r="Y2" i="279"/>
  <c r="Z2" i="279"/>
  <c r="AA2" i="279"/>
  <c r="AC2" i="279"/>
  <c r="AD2" i="279"/>
  <c r="AE2" i="279"/>
  <c r="AF2" i="279"/>
  <c r="Y3" i="279"/>
  <c r="Z3" i="279"/>
  <c r="AA3" i="279"/>
  <c r="AB3" i="279"/>
  <c r="AC3" i="279"/>
  <c r="AD3" i="279"/>
  <c r="AE3" i="279"/>
  <c r="AF3" i="279"/>
  <c r="AG3" i="279"/>
  <c r="Y4" i="279"/>
  <c r="Z4" i="279"/>
  <c r="AA4" i="279"/>
  <c r="AB4" i="279"/>
  <c r="AC4" i="279"/>
  <c r="AD4" i="279"/>
  <c r="AE4" i="279"/>
  <c r="AF4" i="279"/>
  <c r="Y5" i="279"/>
  <c r="Z5" i="279"/>
  <c r="AA5" i="279"/>
  <c r="AB5" i="279"/>
  <c r="AC5" i="279"/>
  <c r="AD5" i="279"/>
  <c r="AE5" i="279"/>
  <c r="AF5" i="279"/>
  <c r="G22" i="278"/>
  <c r="N54" i="279"/>
  <c r="O54" i="279"/>
  <c r="P54" i="279"/>
  <c r="R54" i="279"/>
  <c r="S54" i="279"/>
  <c r="T54" i="279"/>
  <c r="U54" i="279"/>
  <c r="V49" i="279"/>
  <c r="M49" i="279"/>
  <c r="X5" i="279" s="1"/>
  <c r="V48" i="279"/>
  <c r="AG4" i="279" s="1"/>
  <c r="M48" i="279"/>
  <c r="W48" i="279" s="1"/>
  <c r="M43" i="279"/>
  <c r="W43" i="279" s="1"/>
  <c r="M42" i="279"/>
  <c r="X3" i="279" s="1"/>
  <c r="Q32" i="279"/>
  <c r="Q54" i="279" s="1"/>
  <c r="V32" i="279"/>
  <c r="AG2" i="279" s="1"/>
  <c r="M32" i="279"/>
  <c r="X2" i="279" s="1"/>
  <c r="W50" i="279"/>
  <c r="W45" i="279"/>
  <c r="W44" i="279"/>
  <c r="W49" i="279" l="1"/>
  <c r="W42" i="279"/>
  <c r="W32" i="279"/>
  <c r="W54" i="279" s="1"/>
  <c r="AB2" i="279"/>
  <c r="AB6" i="279" s="1"/>
  <c r="M54" i="279"/>
  <c r="M57" i="279" s="1"/>
  <c r="X4" i="279"/>
  <c r="X6" i="279" s="1"/>
  <c r="V54" i="279"/>
  <c r="AG5" i="279"/>
  <c r="AH5" i="279" s="1"/>
  <c r="AE6" i="279"/>
  <c r="AA6" i="279"/>
  <c r="N55" i="279"/>
  <c r="AD6" i="279"/>
  <c r="Z6" i="279"/>
  <c r="AH3" i="279"/>
  <c r="AC6" i="279"/>
  <c r="Y6" i="279"/>
  <c r="AF6" i="279"/>
  <c r="AH2" i="279" l="1"/>
  <c r="AH4" i="279"/>
  <c r="AG6" i="279"/>
  <c r="AH6" i="279"/>
  <c r="AK86" i="102" l="1"/>
  <c r="AL86" i="102"/>
  <c r="AQ86" i="102"/>
  <c r="AR86" i="102"/>
  <c r="AK87" i="102"/>
  <c r="AL87" i="102"/>
  <c r="AQ87" i="102"/>
  <c r="AR87" i="102"/>
  <c r="AK88" i="102"/>
  <c r="AL88" i="102"/>
  <c r="AQ88" i="102"/>
  <c r="AR88" i="102"/>
  <c r="E89" i="102"/>
  <c r="G89" i="102"/>
  <c r="H89" i="102"/>
  <c r="K89" i="102"/>
  <c r="L89" i="102"/>
  <c r="M89" i="102"/>
  <c r="N89" i="102"/>
  <c r="O89" i="102"/>
  <c r="P89" i="102"/>
  <c r="Q89" i="102"/>
  <c r="R89" i="102"/>
  <c r="S89" i="102"/>
  <c r="T89" i="102"/>
  <c r="U89" i="102"/>
  <c r="V89" i="102"/>
  <c r="W89" i="102"/>
  <c r="X89" i="102"/>
  <c r="Y89" i="102"/>
  <c r="Z89" i="102"/>
  <c r="AA89" i="102"/>
  <c r="AB89" i="102"/>
  <c r="AC89" i="102"/>
  <c r="AD89" i="102"/>
  <c r="AE89" i="102"/>
  <c r="AF89" i="102"/>
  <c r="AG89" i="102"/>
  <c r="AH89" i="102"/>
  <c r="AI89" i="102"/>
  <c r="AM89" i="102"/>
  <c r="AZ89" i="102"/>
  <c r="BE89" i="102"/>
  <c r="BH89" i="102"/>
  <c r="AS16" i="313" s="1"/>
  <c r="BI89" i="102"/>
  <c r="AP88" i="102" l="1"/>
  <c r="AY88" i="102" s="1"/>
  <c r="AP86" i="102"/>
  <c r="AY86" i="102" s="1"/>
  <c r="F86" i="312"/>
  <c r="BA88" i="102"/>
  <c r="BA87" i="102"/>
  <c r="AP87" i="102"/>
  <c r="F84" i="312"/>
  <c r="BA86" i="102"/>
  <c r="BD88" i="102"/>
  <c r="BD87" i="102"/>
  <c r="BD86" i="102"/>
  <c r="AU86" i="102"/>
  <c r="AJ87" i="102"/>
  <c r="E85" i="312" s="1"/>
  <c r="F89" i="102"/>
  <c r="I89" i="102"/>
  <c r="E86" i="312"/>
  <c r="AU87" i="102"/>
  <c r="AU88" i="102"/>
  <c r="F85" i="312" l="1"/>
  <c r="J85" i="312" s="1"/>
  <c r="K85" i="312" s="1"/>
  <c r="AY87" i="102"/>
  <c r="J86" i="312"/>
  <c r="K86" i="312" s="1"/>
  <c r="F90" i="102"/>
  <c r="AJ86" i="102"/>
  <c r="E84" i="312" s="1"/>
  <c r="J84" i="312" s="1"/>
  <c r="K84" i="312" s="1"/>
  <c r="AS86" i="102" l="1"/>
  <c r="AW86" i="102" s="1"/>
  <c r="AS87" i="102"/>
  <c r="AW87" i="102" s="1"/>
  <c r="AS88" i="102"/>
  <c r="AW88" i="102" s="1"/>
  <c r="G57" i="279"/>
  <c r="F22" i="278" s="1"/>
  <c r="F23" i="278" s="1"/>
  <c r="I61" i="285"/>
  <c r="I45" i="285"/>
  <c r="H40" i="282" l="1"/>
  <c r="H39" i="282"/>
  <c r="H41" i="282"/>
  <c r="H42" i="282"/>
  <c r="H43" i="282"/>
  <c r="H38" i="282"/>
  <c r="H6" i="282"/>
  <c r="H7" i="282"/>
  <c r="H8" i="282"/>
  <c r="H9" i="282"/>
  <c r="H10" i="282"/>
  <c r="H11" i="282"/>
  <c r="H12" i="282"/>
  <c r="H13" i="282"/>
  <c r="H14" i="282"/>
  <c r="H15" i="282"/>
  <c r="H16" i="282"/>
  <c r="H17" i="282"/>
  <c r="H18" i="282"/>
  <c r="H19" i="282"/>
  <c r="H20" i="282"/>
  <c r="H21" i="282"/>
  <c r="H22" i="282"/>
  <c r="H23" i="282"/>
  <c r="H24" i="282"/>
  <c r="H25" i="282"/>
  <c r="H26" i="282"/>
  <c r="H27" i="282"/>
  <c r="H5" i="282"/>
  <c r="H4" i="281"/>
  <c r="H5" i="281"/>
  <c r="H6" i="281"/>
  <c r="H7" i="281"/>
  <c r="H8" i="281"/>
  <c r="H9" i="281"/>
  <c r="H10" i="281"/>
  <c r="H11" i="281"/>
  <c r="H12" i="281"/>
  <c r="H13" i="281"/>
  <c r="H14" i="281"/>
  <c r="H15" i="281"/>
  <c r="H16" i="281"/>
  <c r="H17" i="281"/>
  <c r="H18" i="281"/>
  <c r="H19" i="281"/>
  <c r="H20" i="281"/>
  <c r="H21" i="281"/>
  <c r="H22" i="281"/>
  <c r="H23" i="281"/>
  <c r="H24" i="281"/>
  <c r="H25" i="281"/>
  <c r="H26" i="281"/>
  <c r="H27" i="281"/>
  <c r="H28" i="281"/>
  <c r="H29" i="281"/>
  <c r="H30" i="281"/>
  <c r="H31" i="281"/>
  <c r="H32" i="281"/>
  <c r="H33" i="281"/>
  <c r="H34" i="281"/>
  <c r="H35" i="281"/>
  <c r="H36" i="281"/>
  <c r="H37" i="281"/>
  <c r="H38" i="281"/>
  <c r="H39" i="281"/>
  <c r="H40" i="281"/>
  <c r="H41" i="281"/>
  <c r="H42" i="281"/>
  <c r="H43" i="281"/>
  <c r="H44" i="281"/>
  <c r="H45" i="281"/>
  <c r="H46" i="281"/>
  <c r="H47" i="281"/>
  <c r="H3" i="281"/>
  <c r="H4" i="280"/>
  <c r="H5" i="280"/>
  <c r="H6" i="280"/>
  <c r="H7" i="280"/>
  <c r="H8" i="280"/>
  <c r="H9" i="280"/>
  <c r="H10" i="280"/>
  <c r="H11" i="280"/>
  <c r="H12" i="280"/>
  <c r="H13" i="280"/>
  <c r="H14" i="280"/>
  <c r="H15" i="280"/>
  <c r="H16" i="280"/>
  <c r="H17" i="280"/>
  <c r="H18" i="280"/>
  <c r="H19" i="280"/>
  <c r="H20" i="280"/>
  <c r="H21" i="280"/>
  <c r="H22" i="280"/>
  <c r="H23" i="280"/>
  <c r="H24" i="280"/>
  <c r="H25" i="280"/>
  <c r="H26" i="280"/>
  <c r="H27" i="280"/>
  <c r="H28" i="280"/>
  <c r="H29" i="280"/>
  <c r="H30" i="280"/>
  <c r="H31" i="280"/>
  <c r="H32" i="280"/>
  <c r="H33" i="280"/>
  <c r="H34" i="280"/>
  <c r="H35" i="280"/>
  <c r="H36" i="280"/>
  <c r="H37" i="280"/>
  <c r="H38" i="280"/>
  <c r="H39" i="280"/>
  <c r="H40" i="280"/>
  <c r="H41" i="280"/>
  <c r="H3" i="280"/>
  <c r="AJ15" i="102" l="1"/>
  <c r="E13" i="312" s="1"/>
  <c r="AB13" i="312" l="1"/>
  <c r="O2" i="264"/>
  <c r="O3" i="264"/>
  <c r="O4" i="264"/>
  <c r="O1" i="264"/>
  <c r="AG4" i="265"/>
  <c r="AG5" i="265"/>
  <c r="AA2" i="265"/>
  <c r="AC2" i="265"/>
  <c r="AE2" i="265"/>
  <c r="AF2" i="265"/>
  <c r="Z3" i="265"/>
  <c r="AA3" i="265"/>
  <c r="AC3" i="265"/>
  <c r="AD3" i="265"/>
  <c r="AE3" i="265"/>
  <c r="AF3" i="265"/>
  <c r="Z4" i="265"/>
  <c r="AA4" i="265"/>
  <c r="AB4" i="265"/>
  <c r="AC4" i="265"/>
  <c r="AD4" i="265"/>
  <c r="AE4" i="265"/>
  <c r="AF4" i="265"/>
  <c r="AG9" i="265" s="1"/>
  <c r="Z5" i="265"/>
  <c r="AA5" i="265"/>
  <c r="AB5" i="265"/>
  <c r="AC5" i="265"/>
  <c r="AD5" i="265"/>
  <c r="AE5" i="265"/>
  <c r="AF5" i="265"/>
  <c r="Y3" i="265"/>
  <c r="Y4" i="265"/>
  <c r="Y5" i="265"/>
  <c r="Y2" i="265"/>
  <c r="Q82" i="265"/>
  <c r="AB2" i="265" s="1"/>
  <c r="O82" i="265"/>
  <c r="Z2" i="265" s="1"/>
  <c r="S82" i="265"/>
  <c r="AD2" i="265" s="1"/>
  <c r="V82" i="265"/>
  <c r="AG2" i="265" s="1"/>
  <c r="Q57" i="265"/>
  <c r="AB3" i="265" s="1"/>
  <c r="V57" i="265"/>
  <c r="N93" i="265"/>
  <c r="P93" i="265"/>
  <c r="R93" i="265"/>
  <c r="T93" i="265"/>
  <c r="U93" i="265"/>
  <c r="M93" i="265"/>
  <c r="W66" i="265"/>
  <c r="W65" i="265"/>
  <c r="W64" i="265"/>
  <c r="W56" i="265"/>
  <c r="S93" i="265" l="1"/>
  <c r="V93" i="265"/>
  <c r="O93" i="265"/>
  <c r="W82" i="265"/>
  <c r="AH5" i="265"/>
  <c r="AH4" i="265"/>
  <c r="AH2" i="265"/>
  <c r="AG3" i="265"/>
  <c r="AG6" i="265" s="1"/>
  <c r="Q93" i="265"/>
  <c r="AD6" i="265"/>
  <c r="Z6" i="265"/>
  <c r="AC6" i="265"/>
  <c r="AF6" i="265"/>
  <c r="AB6" i="265"/>
  <c r="AE6" i="265"/>
  <c r="AA6" i="265"/>
  <c r="Y6" i="265"/>
  <c r="W57" i="265"/>
  <c r="W93" i="265" l="1"/>
  <c r="AH3" i="265"/>
  <c r="AH6" i="265" s="1"/>
  <c r="I93" i="269" l="1"/>
  <c r="I19" i="269"/>
  <c r="G99" i="265" l="1"/>
  <c r="H9" i="268"/>
  <c r="H10" i="268"/>
  <c r="H11" i="268"/>
  <c r="H12" i="268"/>
  <c r="H13" i="268"/>
  <c r="H14" i="268"/>
  <c r="H15" i="268"/>
  <c r="H16" i="268"/>
  <c r="H17" i="268"/>
  <c r="H18" i="268"/>
  <c r="H19" i="268"/>
  <c r="H20" i="268"/>
  <c r="H21" i="268"/>
  <c r="H22" i="268"/>
  <c r="H23" i="268"/>
  <c r="H24" i="268"/>
  <c r="H25" i="268"/>
  <c r="H26" i="268"/>
  <c r="H27" i="268"/>
  <c r="H28" i="268"/>
  <c r="H29" i="268"/>
  <c r="H30" i="268"/>
  <c r="H31" i="268"/>
  <c r="H32" i="268"/>
  <c r="H33" i="268"/>
  <c r="H34" i="268"/>
  <c r="H35" i="268"/>
  <c r="H36" i="268"/>
  <c r="H37" i="268"/>
  <c r="H38" i="268"/>
  <c r="H39" i="268"/>
  <c r="H40" i="268"/>
  <c r="H41" i="268"/>
  <c r="H42" i="268"/>
  <c r="H43" i="268"/>
  <c r="H44" i="268"/>
  <c r="H45" i="268"/>
  <c r="H46" i="268"/>
  <c r="H47" i="268"/>
  <c r="H48" i="268"/>
  <c r="H49" i="268"/>
  <c r="H50" i="268"/>
  <c r="H51" i="268"/>
  <c r="H52" i="268"/>
  <c r="H53" i="268"/>
  <c r="H54" i="268"/>
  <c r="H56" i="268"/>
  <c r="H57" i="268"/>
  <c r="H58" i="268"/>
  <c r="H59" i="268"/>
  <c r="H60" i="268"/>
  <c r="H61" i="268"/>
  <c r="H62" i="268"/>
  <c r="H63" i="268"/>
  <c r="H64" i="268"/>
  <c r="H65" i="268"/>
  <c r="H66" i="268"/>
  <c r="H67" i="268"/>
  <c r="H68" i="268"/>
  <c r="H70" i="268"/>
  <c r="H71" i="268"/>
  <c r="H72" i="268"/>
  <c r="H73" i="268"/>
  <c r="H74" i="268"/>
  <c r="H75" i="268"/>
  <c r="H76" i="268"/>
  <c r="H77" i="268"/>
  <c r="H78" i="268"/>
  <c r="H79" i="268"/>
  <c r="H80" i="268"/>
  <c r="H81" i="268"/>
  <c r="H82" i="268"/>
  <c r="H83" i="268"/>
  <c r="H84" i="268"/>
  <c r="H85" i="268"/>
  <c r="H86" i="268"/>
  <c r="H87" i="268"/>
  <c r="H88" i="268"/>
  <c r="H89" i="268"/>
  <c r="H90" i="268"/>
  <c r="H91" i="268"/>
  <c r="H92" i="268"/>
  <c r="H93" i="268"/>
  <c r="H94" i="268"/>
  <c r="H95" i="268"/>
  <c r="H96" i="268"/>
  <c r="H97" i="268"/>
  <c r="H98" i="268"/>
  <c r="H99" i="268"/>
  <c r="H100" i="268"/>
  <c r="H101" i="268"/>
  <c r="H102" i="268"/>
  <c r="H103" i="268"/>
  <c r="H104" i="268"/>
  <c r="H105" i="268"/>
  <c r="H106" i="268"/>
  <c r="H107" i="268"/>
  <c r="H108" i="268"/>
  <c r="H109" i="268"/>
  <c r="H110" i="268"/>
  <c r="H111" i="268"/>
  <c r="H112" i="268"/>
  <c r="H113" i="268"/>
  <c r="H114" i="268"/>
  <c r="H115" i="268"/>
  <c r="H116" i="268"/>
  <c r="H117" i="268"/>
  <c r="H118" i="268"/>
  <c r="H8" i="268"/>
  <c r="H9" i="267"/>
  <c r="H10" i="267"/>
  <c r="H11" i="267"/>
  <c r="H12" i="267"/>
  <c r="H13" i="267"/>
  <c r="H14" i="267"/>
  <c r="H15" i="267"/>
  <c r="H16" i="267"/>
  <c r="H17" i="267"/>
  <c r="H18" i="267"/>
  <c r="H19" i="267"/>
  <c r="H20" i="267"/>
  <c r="H21" i="267"/>
  <c r="H22" i="267"/>
  <c r="H23" i="267"/>
  <c r="H24" i="267"/>
  <c r="H25" i="267"/>
  <c r="H26" i="267"/>
  <c r="H27" i="267"/>
  <c r="H28" i="267"/>
  <c r="H29" i="267"/>
  <c r="H30" i="267"/>
  <c r="H31" i="267"/>
  <c r="H32" i="267"/>
  <c r="H33" i="267"/>
  <c r="H34" i="267"/>
  <c r="H35" i="267"/>
  <c r="H36" i="267"/>
  <c r="H37" i="267"/>
  <c r="H38" i="267"/>
  <c r="H39" i="267"/>
  <c r="H40" i="267"/>
  <c r="H41" i="267"/>
  <c r="H42" i="267"/>
  <c r="H43" i="267"/>
  <c r="H44" i="267"/>
  <c r="H45" i="267"/>
  <c r="H46" i="267"/>
  <c r="H47" i="267"/>
  <c r="H48" i="267"/>
  <c r="H49" i="267"/>
  <c r="H50" i="267"/>
  <c r="H51" i="267"/>
  <c r="H52" i="267"/>
  <c r="H53" i="267"/>
  <c r="H54" i="267"/>
  <c r="H56" i="267"/>
  <c r="H57" i="267"/>
  <c r="H58" i="267"/>
  <c r="H59" i="267"/>
  <c r="H60" i="267"/>
  <c r="H61" i="267"/>
  <c r="H62" i="267"/>
  <c r="H63" i="267"/>
  <c r="H64" i="267"/>
  <c r="H67" i="267"/>
  <c r="H68" i="267"/>
  <c r="H70" i="267"/>
  <c r="H8" i="267"/>
  <c r="G23" i="264" l="1"/>
  <c r="G101" i="265"/>
  <c r="O52" i="232" l="1"/>
  <c r="U52" i="232"/>
  <c r="AD71" i="232"/>
  <c r="AD69" i="232"/>
  <c r="AD68" i="232"/>
  <c r="AD67" i="232"/>
  <c r="AD66" i="232"/>
  <c r="AD65" i="232"/>
  <c r="AD64" i="232"/>
  <c r="AD58" i="232"/>
  <c r="AD57" i="232"/>
  <c r="AD56" i="232"/>
  <c r="AD48" i="232"/>
  <c r="AD47" i="232"/>
  <c r="O72" i="232"/>
  <c r="P72" i="232"/>
  <c r="Q72" i="232"/>
  <c r="S72" i="232"/>
  <c r="T72" i="232"/>
  <c r="U72" i="232"/>
  <c r="V72" i="232"/>
  <c r="W72" i="232"/>
  <c r="X72" i="232"/>
  <c r="Y72" i="232"/>
  <c r="Z72" i="232"/>
  <c r="AA72" i="232"/>
  <c r="N71" i="232"/>
  <c r="AC71" i="232" s="1"/>
  <c r="R70" i="232"/>
  <c r="AB70" i="232"/>
  <c r="N70" i="232"/>
  <c r="N64" i="232"/>
  <c r="AC64" i="232" s="1"/>
  <c r="N58" i="232"/>
  <c r="AC58" i="232" s="1"/>
  <c r="AB55" i="232"/>
  <c r="AD55" i="232" s="1"/>
  <c r="AC73" i="232"/>
  <c r="AC69" i="232"/>
  <c r="AC68" i="232"/>
  <c r="AC67" i="232"/>
  <c r="AC66" i="232"/>
  <c r="AC65" i="232"/>
  <c r="AC57" i="232"/>
  <c r="AC56" i="232"/>
  <c r="AC48" i="232"/>
  <c r="AC47" i="232"/>
  <c r="R52" i="232"/>
  <c r="AB52" i="232"/>
  <c r="N52" i="232"/>
  <c r="AC55" i="232" l="1"/>
  <c r="AC70" i="232"/>
  <c r="AB72" i="232"/>
  <c r="AC52" i="232"/>
  <c r="AC72" i="232" s="1"/>
  <c r="AD70" i="232"/>
  <c r="R72" i="232"/>
  <c r="AD52" i="232"/>
  <c r="AD72" i="232" s="1"/>
  <c r="G77" i="232" l="1"/>
  <c r="G76" i="232"/>
  <c r="H76" i="232" s="1"/>
  <c r="G78" i="232" l="1"/>
  <c r="N50" i="232" l="1"/>
  <c r="N72" i="232" s="1"/>
  <c r="D12" i="102"/>
  <c r="D13" i="102"/>
  <c r="D14" i="102"/>
  <c r="D15" i="102"/>
  <c r="D16" i="102"/>
  <c r="D17" i="102"/>
  <c r="D18" i="102"/>
  <c r="D19" i="102"/>
  <c r="D20" i="102"/>
  <c r="D21" i="102"/>
  <c r="D22" i="102"/>
  <c r="D23" i="102"/>
  <c r="D24" i="102"/>
  <c r="D25" i="102"/>
  <c r="D26" i="102"/>
  <c r="D27" i="102"/>
  <c r="D28" i="102"/>
  <c r="D29" i="102"/>
  <c r="D30" i="102"/>
  <c r="D31" i="102"/>
  <c r="D32" i="102"/>
  <c r="D33" i="102"/>
  <c r="D34" i="102"/>
  <c r="D35" i="102"/>
  <c r="D36" i="102"/>
  <c r="D37" i="102"/>
  <c r="D38" i="102"/>
  <c r="D39" i="102"/>
  <c r="D40" i="102"/>
  <c r="D41" i="102"/>
  <c r="D42" i="102"/>
  <c r="D43" i="102"/>
  <c r="D44" i="102"/>
  <c r="D45" i="102"/>
  <c r="D46" i="102"/>
  <c r="D47" i="102"/>
  <c r="D48" i="102"/>
  <c r="D49" i="102"/>
  <c r="D50" i="102"/>
  <c r="D51" i="102"/>
  <c r="D52" i="102"/>
  <c r="D53" i="102"/>
  <c r="D54" i="102"/>
  <c r="D55" i="102"/>
  <c r="D56" i="102"/>
  <c r="D57" i="102"/>
  <c r="D58" i="102"/>
  <c r="D59" i="102"/>
  <c r="D60" i="102"/>
  <c r="D61" i="102"/>
  <c r="D62" i="102"/>
  <c r="D63" i="102"/>
  <c r="D64" i="102"/>
  <c r="D65" i="102"/>
  <c r="D66" i="102"/>
  <c r="D67" i="102"/>
  <c r="D68" i="102"/>
  <c r="D69" i="102"/>
  <c r="D70" i="102"/>
  <c r="D71" i="102"/>
  <c r="D72" i="102"/>
  <c r="D73" i="102"/>
  <c r="D75" i="102"/>
  <c r="D76" i="102"/>
  <c r="D77" i="102"/>
  <c r="D78" i="102"/>
  <c r="D79" i="102"/>
  <c r="D80" i="102"/>
  <c r="D81" i="102"/>
  <c r="D82" i="102"/>
  <c r="D83" i="102"/>
  <c r="D84" i="102"/>
  <c r="D85" i="102"/>
  <c r="D11" i="102"/>
  <c r="D89" i="102" l="1"/>
  <c r="D81" i="312"/>
  <c r="D68" i="312"/>
  <c r="D64" i="312"/>
  <c r="D60" i="312"/>
  <c r="D56" i="312"/>
  <c r="D52" i="312"/>
  <c r="D48" i="312"/>
  <c r="D44" i="312"/>
  <c r="D40" i="312"/>
  <c r="D36" i="312"/>
  <c r="D32" i="312"/>
  <c r="D28" i="312"/>
  <c r="D24" i="312"/>
  <c r="D20" i="312"/>
  <c r="D16" i="312"/>
  <c r="D12" i="312"/>
  <c r="D77" i="312"/>
  <c r="D80" i="312"/>
  <c r="D71" i="312"/>
  <c r="D63" i="312"/>
  <c r="D55" i="312"/>
  <c r="D51" i="312"/>
  <c r="D47" i="312"/>
  <c r="D43" i="312"/>
  <c r="D39" i="312"/>
  <c r="D35" i="312"/>
  <c r="D31" i="312"/>
  <c r="D27" i="312"/>
  <c r="D23" i="312"/>
  <c r="D19" i="312"/>
  <c r="D15" i="312"/>
  <c r="D11" i="312"/>
  <c r="D73" i="312"/>
  <c r="D76" i="312"/>
  <c r="D67" i="312"/>
  <c r="D59" i="312"/>
  <c r="D83" i="312"/>
  <c r="D79" i="312"/>
  <c r="D75" i="312"/>
  <c r="D70" i="312"/>
  <c r="D66" i="312"/>
  <c r="D62" i="312"/>
  <c r="D58" i="312"/>
  <c r="D54" i="312"/>
  <c r="D50" i="312"/>
  <c r="D46" i="312"/>
  <c r="D42" i="312"/>
  <c r="D34" i="312"/>
  <c r="D30" i="312"/>
  <c r="D26" i="312"/>
  <c r="D22" i="312"/>
  <c r="D18" i="312"/>
  <c r="D14" i="312"/>
  <c r="D10" i="312"/>
  <c r="D82" i="312"/>
  <c r="D78" i="312"/>
  <c r="D74" i="312"/>
  <c r="D69" i="312"/>
  <c r="D65" i="312"/>
  <c r="D61" i="312"/>
  <c r="D57" i="312"/>
  <c r="D53" i="312"/>
  <c r="D49" i="312"/>
  <c r="D45" i="312"/>
  <c r="D41" i="312"/>
  <c r="D37" i="312"/>
  <c r="D33" i="312"/>
  <c r="D29" i="312"/>
  <c r="D25" i="312"/>
  <c r="D21" i="312"/>
  <c r="D17" i="312"/>
  <c r="D13" i="312"/>
  <c r="D38" i="312"/>
  <c r="AQ40" i="102"/>
  <c r="AK40" i="102"/>
  <c r="D9" i="312"/>
  <c r="AQ11" i="102"/>
  <c r="AK23" i="102"/>
  <c r="AR23" i="102"/>
  <c r="AL23" i="102"/>
  <c r="AQ23" i="102"/>
  <c r="AK57" i="102"/>
  <c r="AL57" i="102"/>
  <c r="AR57" i="102"/>
  <c r="AQ57" i="102"/>
  <c r="BA57" i="102" l="1"/>
  <c r="AP57" i="102"/>
  <c r="BA23" i="102"/>
  <c r="AP23" i="102"/>
  <c r="D87" i="312"/>
  <c r="BD57" i="102"/>
  <c r="BD23" i="102"/>
  <c r="H6" i="254"/>
  <c r="H7" i="254"/>
  <c r="H8" i="254"/>
  <c r="H9" i="254"/>
  <c r="H10" i="254"/>
  <c r="H11" i="254"/>
  <c r="H12" i="254"/>
  <c r="H13" i="254"/>
  <c r="H14" i="254"/>
  <c r="H16" i="254"/>
  <c r="H17" i="254"/>
  <c r="H18" i="254"/>
  <c r="H19" i="254"/>
  <c r="H20" i="254"/>
  <c r="H22" i="254"/>
  <c r="H23" i="254"/>
  <c r="H24" i="254"/>
  <c r="H25" i="254"/>
  <c r="H26" i="254"/>
  <c r="H27" i="254"/>
  <c r="H28" i="254"/>
  <c r="H29" i="254"/>
  <c r="H30" i="254"/>
  <c r="H31" i="254"/>
  <c r="H32" i="254"/>
  <c r="H33" i="254"/>
  <c r="H34" i="254"/>
  <c r="H35" i="254"/>
  <c r="H36" i="254"/>
  <c r="H37" i="254"/>
  <c r="H38" i="254"/>
  <c r="H41" i="254"/>
  <c r="H43" i="254"/>
  <c r="H45" i="254"/>
  <c r="H46" i="254"/>
  <c r="H47" i="254"/>
  <c r="H48" i="254"/>
  <c r="H49" i="254"/>
  <c r="H50" i="254"/>
  <c r="H51" i="254"/>
  <c r="H52" i="254"/>
  <c r="H53" i="254"/>
  <c r="H54" i="254"/>
  <c r="H55" i="254"/>
  <c r="H56" i="254"/>
  <c r="H57" i="254"/>
  <c r="H58" i="254"/>
  <c r="H59" i="254"/>
  <c r="H66" i="254"/>
  <c r="H68" i="254"/>
  <c r="H77" i="254"/>
  <c r="H79" i="254"/>
  <c r="H83" i="254"/>
  <c r="H84" i="254"/>
  <c r="H86" i="254"/>
  <c r="H87" i="254"/>
  <c r="H88" i="254"/>
  <c r="H89" i="254"/>
  <c r="H5" i="254"/>
  <c r="H146" i="251"/>
  <c r="H147" i="251"/>
  <c r="H148" i="251"/>
  <c r="H149" i="251"/>
  <c r="H150" i="251"/>
  <c r="H151" i="251"/>
  <c r="H152" i="251"/>
  <c r="H153" i="251"/>
  <c r="H154" i="251"/>
  <c r="H155" i="251"/>
  <c r="H156" i="251"/>
  <c r="H157" i="251"/>
  <c r="H158" i="251"/>
  <c r="H159" i="251"/>
  <c r="H160" i="251"/>
  <c r="H161" i="251"/>
  <c r="H162" i="251"/>
  <c r="H163" i="251"/>
  <c r="H164" i="251"/>
  <c r="H165" i="251"/>
  <c r="H166" i="251"/>
  <c r="H167" i="251"/>
  <c r="H168" i="251"/>
  <c r="H169" i="251"/>
  <c r="H170" i="251"/>
  <c r="H171" i="251"/>
  <c r="H172" i="251"/>
  <c r="H173" i="251"/>
  <c r="H174" i="251"/>
  <c r="H175" i="251"/>
  <c r="H176" i="251"/>
  <c r="H177" i="251"/>
  <c r="H178" i="251"/>
  <c r="H179" i="251"/>
  <c r="H180" i="251"/>
  <c r="H181" i="251"/>
  <c r="H182" i="251"/>
  <c r="H183" i="251"/>
  <c r="H184" i="251"/>
  <c r="H185" i="251"/>
  <c r="H186" i="251"/>
  <c r="H187" i="251"/>
  <c r="H188" i="251"/>
  <c r="H189" i="251"/>
  <c r="H190" i="251"/>
  <c r="H191" i="251"/>
  <c r="H192" i="251"/>
  <c r="H193" i="251"/>
  <c r="H194" i="251"/>
  <c r="H195" i="251"/>
  <c r="H196" i="251"/>
  <c r="H197" i="251"/>
  <c r="H198" i="251"/>
  <c r="H199" i="251"/>
  <c r="H200" i="251"/>
  <c r="H201" i="251"/>
  <c r="H145" i="251"/>
  <c r="H105" i="251"/>
  <c r="H106" i="251"/>
  <c r="H107" i="251"/>
  <c r="H108" i="251"/>
  <c r="H109" i="251"/>
  <c r="H110" i="251"/>
  <c r="H111" i="251"/>
  <c r="H112" i="251"/>
  <c r="H113" i="251"/>
  <c r="H114" i="251"/>
  <c r="H115" i="251"/>
  <c r="H116" i="251"/>
  <c r="H117" i="251"/>
  <c r="H118" i="251"/>
  <c r="H119" i="251"/>
  <c r="H120" i="251"/>
  <c r="H121" i="251"/>
  <c r="H122" i="251"/>
  <c r="H123" i="251"/>
  <c r="H124" i="251"/>
  <c r="H125" i="251"/>
  <c r="H126" i="251"/>
  <c r="H127" i="251"/>
  <c r="H128" i="251"/>
  <c r="H129" i="251"/>
  <c r="H130" i="251"/>
  <c r="H131" i="251"/>
  <c r="H132" i="251"/>
  <c r="H133" i="251"/>
  <c r="H104" i="251"/>
  <c r="H8" i="251"/>
  <c r="H9" i="251"/>
  <c r="H10" i="251"/>
  <c r="H11" i="251"/>
  <c r="H12" i="251"/>
  <c r="H13" i="251"/>
  <c r="H14" i="251"/>
  <c r="H15" i="251"/>
  <c r="H16" i="251"/>
  <c r="H17" i="251"/>
  <c r="H18" i="251"/>
  <c r="H19" i="251"/>
  <c r="H20" i="251"/>
  <c r="H21" i="251"/>
  <c r="H22" i="251"/>
  <c r="H23" i="251"/>
  <c r="H24" i="251"/>
  <c r="H25" i="251"/>
  <c r="H26" i="251"/>
  <c r="H27" i="251"/>
  <c r="H28" i="251"/>
  <c r="H29" i="251"/>
  <c r="H30" i="251"/>
  <c r="H31" i="251"/>
  <c r="H32" i="251"/>
  <c r="H33" i="251"/>
  <c r="H34" i="251"/>
  <c r="H35" i="251"/>
  <c r="H36" i="251"/>
  <c r="H37" i="251"/>
  <c r="H38" i="251"/>
  <c r="H39" i="251"/>
  <c r="H40" i="251"/>
  <c r="H41" i="251"/>
  <c r="H42" i="251"/>
  <c r="H43" i="251"/>
  <c r="H44" i="251"/>
  <c r="H45" i="251"/>
  <c r="H46" i="251"/>
  <c r="H47" i="251"/>
  <c r="H48" i="251"/>
  <c r="H49" i="251"/>
  <c r="H50" i="251"/>
  <c r="H51" i="251"/>
  <c r="H52" i="251"/>
  <c r="H53" i="251"/>
  <c r="H54" i="251"/>
  <c r="H55" i="251"/>
  <c r="H56" i="251"/>
  <c r="H57" i="251"/>
  <c r="H58" i="251"/>
  <c r="H59" i="251"/>
  <c r="H60" i="251"/>
  <c r="H61" i="251"/>
  <c r="H62" i="251"/>
  <c r="H63" i="251"/>
  <c r="H7" i="251"/>
  <c r="H7" i="252"/>
  <c r="H8" i="252"/>
  <c r="H9" i="252"/>
  <c r="H10" i="252"/>
  <c r="H11" i="252"/>
  <c r="H12" i="252"/>
  <c r="H13" i="252"/>
  <c r="H14" i="252"/>
  <c r="H15" i="252"/>
  <c r="H16" i="252"/>
  <c r="H17" i="252"/>
  <c r="H18" i="252"/>
  <c r="H19" i="252"/>
  <c r="H20" i="252"/>
  <c r="H21" i="252"/>
  <c r="H22" i="252"/>
  <c r="H23" i="252"/>
  <c r="H24" i="252"/>
  <c r="H25" i="252"/>
  <c r="H26" i="252"/>
  <c r="H27" i="252"/>
  <c r="H28" i="252"/>
  <c r="H29" i="252"/>
  <c r="H30" i="252"/>
  <c r="H31" i="252"/>
  <c r="H32" i="252"/>
  <c r="H33" i="252"/>
  <c r="H34" i="252"/>
  <c r="H35" i="252"/>
  <c r="H36" i="252"/>
  <c r="H37" i="252"/>
  <c r="H39" i="252"/>
  <c r="H40" i="252"/>
  <c r="H41" i="252"/>
  <c r="H42" i="252"/>
  <c r="H43" i="252"/>
  <c r="H44" i="252"/>
  <c r="H45" i="252"/>
  <c r="H46" i="252"/>
  <c r="H47" i="252"/>
  <c r="H48" i="252"/>
  <c r="H50" i="252"/>
  <c r="H51" i="252"/>
  <c r="H52" i="252"/>
  <c r="H53" i="252"/>
  <c r="H54" i="252"/>
  <c r="H55" i="252"/>
  <c r="H6" i="252"/>
  <c r="H7" i="250"/>
  <c r="H8" i="250"/>
  <c r="H9" i="250"/>
  <c r="H10" i="250"/>
  <c r="H11" i="250"/>
  <c r="H12" i="250"/>
  <c r="H13" i="250"/>
  <c r="H14" i="250"/>
  <c r="H15" i="250"/>
  <c r="H16" i="250"/>
  <c r="H17" i="250"/>
  <c r="H18" i="250"/>
  <c r="H19" i="250"/>
  <c r="H20" i="250"/>
  <c r="H21" i="250"/>
  <c r="H22" i="250"/>
  <c r="H23" i="250"/>
  <c r="H24" i="250"/>
  <c r="H25" i="250"/>
  <c r="H26" i="250"/>
  <c r="H27" i="250"/>
  <c r="H28" i="250"/>
  <c r="H29" i="250"/>
  <c r="H30" i="250"/>
  <c r="H31" i="250"/>
  <c r="H32" i="250"/>
  <c r="H33" i="250"/>
  <c r="H34" i="250"/>
  <c r="H35" i="250"/>
  <c r="H36" i="250"/>
  <c r="H37" i="250"/>
  <c r="H38" i="250"/>
  <c r="H39" i="250"/>
  <c r="H40" i="250"/>
  <c r="H41" i="250"/>
  <c r="H42" i="250"/>
  <c r="H43" i="250"/>
  <c r="H44" i="250"/>
  <c r="H45" i="250"/>
  <c r="H46" i="250"/>
  <c r="H47" i="250"/>
  <c r="H48" i="250"/>
  <c r="H49" i="250"/>
  <c r="H50" i="250"/>
  <c r="H51" i="250"/>
  <c r="H52" i="250"/>
  <c r="H53" i="250"/>
  <c r="H54" i="250"/>
  <c r="H55" i="250"/>
  <c r="H56" i="250"/>
  <c r="H57" i="250"/>
  <c r="H58" i="250"/>
  <c r="H59" i="250"/>
  <c r="H60" i="250"/>
  <c r="H61" i="250"/>
  <c r="H63" i="250"/>
  <c r="H64" i="250"/>
  <c r="H65" i="250"/>
  <c r="H66" i="250"/>
  <c r="H67" i="250"/>
  <c r="H68" i="250"/>
  <c r="H69" i="250"/>
  <c r="H70" i="250"/>
  <c r="H71" i="250"/>
  <c r="H73" i="250"/>
  <c r="H74" i="250"/>
  <c r="H75" i="250"/>
  <c r="H76" i="250"/>
  <c r="H77" i="250"/>
  <c r="H78" i="250"/>
  <c r="H79" i="250"/>
  <c r="H80" i="250"/>
  <c r="H81" i="250"/>
  <c r="H82" i="250"/>
  <c r="H83" i="250"/>
  <c r="H84" i="250"/>
  <c r="H85" i="250"/>
  <c r="H86" i="250"/>
  <c r="H87" i="250"/>
  <c r="H88" i="250"/>
  <c r="H89" i="250"/>
  <c r="H90" i="250"/>
  <c r="H91" i="250"/>
  <c r="H92" i="250"/>
  <c r="H93" i="250"/>
  <c r="H94" i="250"/>
  <c r="H6" i="250"/>
  <c r="F21" i="312" l="1"/>
  <c r="AY23" i="102"/>
  <c r="F55" i="312"/>
  <c r="AY57" i="102"/>
  <c r="J9" i="251"/>
  <c r="H6" i="248" l="1"/>
  <c r="H7" i="248"/>
  <c r="H8" i="248"/>
  <c r="H9" i="248"/>
  <c r="H10" i="248"/>
  <c r="H11" i="248"/>
  <c r="H12" i="248"/>
  <c r="H13" i="248"/>
  <c r="H14" i="248"/>
  <c r="H15" i="248"/>
  <c r="H16" i="248"/>
  <c r="H17" i="248"/>
  <c r="H18" i="248"/>
  <c r="H19" i="248"/>
  <c r="H20" i="248"/>
  <c r="H21" i="248"/>
  <c r="H22" i="248"/>
  <c r="H23" i="248"/>
  <c r="H24" i="248"/>
  <c r="H25" i="248"/>
  <c r="H26" i="248"/>
  <c r="H27" i="248"/>
  <c r="H28" i="248"/>
  <c r="H29" i="248"/>
  <c r="H30" i="248"/>
  <c r="H31" i="248"/>
  <c r="H32" i="248"/>
  <c r="H33" i="248"/>
  <c r="H34" i="248"/>
  <c r="H35" i="248"/>
  <c r="H36" i="248"/>
  <c r="H37" i="248"/>
  <c r="H38" i="248"/>
  <c r="H39" i="248"/>
  <c r="H40" i="248"/>
  <c r="H41" i="248"/>
  <c r="H42" i="248"/>
  <c r="H43" i="248"/>
  <c r="H44" i="248"/>
  <c r="H45" i="248"/>
  <c r="H46" i="248"/>
  <c r="H47" i="248"/>
  <c r="H49" i="248"/>
  <c r="H50" i="248"/>
  <c r="H51" i="248"/>
  <c r="H52" i="248"/>
  <c r="H53" i="248"/>
  <c r="H54" i="248"/>
  <c r="H55" i="248"/>
  <c r="H56" i="248"/>
  <c r="H57" i="248"/>
  <c r="H59" i="248"/>
  <c r="H60" i="248"/>
  <c r="H61" i="248"/>
  <c r="H62" i="248"/>
  <c r="H63" i="248"/>
  <c r="H64" i="248"/>
  <c r="H65" i="248"/>
  <c r="H66" i="248"/>
  <c r="H67" i="248"/>
  <c r="H68" i="248"/>
  <c r="H69" i="248"/>
  <c r="H70" i="248"/>
  <c r="H71" i="248"/>
  <c r="H72" i="248"/>
  <c r="H73" i="248"/>
  <c r="H74" i="248"/>
  <c r="H75" i="248"/>
  <c r="H76" i="248"/>
  <c r="H77" i="248"/>
  <c r="H78" i="248"/>
  <c r="H79" i="248"/>
  <c r="H80" i="248"/>
  <c r="H81" i="248"/>
  <c r="H82" i="248"/>
  <c r="H83" i="248"/>
  <c r="H84" i="248"/>
  <c r="H85" i="248"/>
  <c r="H86" i="248"/>
  <c r="H87" i="248"/>
  <c r="H88" i="248"/>
  <c r="H89" i="248"/>
  <c r="H90" i="248"/>
  <c r="H91" i="248"/>
  <c r="H92" i="248"/>
  <c r="H93" i="248"/>
  <c r="H94" i="248"/>
  <c r="H95" i="248"/>
  <c r="H96" i="248"/>
  <c r="H5" i="248"/>
  <c r="C5" i="247" l="1"/>
  <c r="D2" i="247"/>
  <c r="E2" i="247"/>
  <c r="F2" i="247"/>
  <c r="G2" i="247"/>
  <c r="H2" i="247"/>
  <c r="I2" i="247"/>
  <c r="J2" i="247"/>
  <c r="K2" i="247"/>
  <c r="L2" i="247"/>
  <c r="M2" i="247"/>
  <c r="N2" i="247"/>
  <c r="O2" i="247"/>
  <c r="P2" i="247"/>
  <c r="D3" i="247"/>
  <c r="E3" i="247"/>
  <c r="F3" i="247"/>
  <c r="G3" i="247"/>
  <c r="H3" i="247"/>
  <c r="I3" i="247"/>
  <c r="J3" i="247"/>
  <c r="K3" i="247"/>
  <c r="L3" i="247"/>
  <c r="M3" i="247"/>
  <c r="N3" i="247"/>
  <c r="O3" i="247"/>
  <c r="P3" i="247"/>
  <c r="D4" i="247"/>
  <c r="E4" i="247"/>
  <c r="F4" i="247"/>
  <c r="G4" i="247"/>
  <c r="H4" i="247"/>
  <c r="I4" i="247"/>
  <c r="J4" i="247"/>
  <c r="K4" i="247"/>
  <c r="L4" i="247"/>
  <c r="M4" i="247"/>
  <c r="N4" i="247"/>
  <c r="O4" i="247"/>
  <c r="P4" i="247"/>
  <c r="D5" i="247"/>
  <c r="E5" i="247"/>
  <c r="F5" i="247"/>
  <c r="G5" i="247"/>
  <c r="H5" i="247"/>
  <c r="I5" i="247"/>
  <c r="J5" i="247"/>
  <c r="K5" i="247"/>
  <c r="L5" i="247"/>
  <c r="M5" i="247"/>
  <c r="N5" i="247"/>
  <c r="O5" i="247"/>
  <c r="P5" i="247"/>
  <c r="D6" i="247"/>
  <c r="E6" i="247"/>
  <c r="F6" i="247"/>
  <c r="G6" i="247"/>
  <c r="H6" i="247"/>
  <c r="I6" i="247"/>
  <c r="J6" i="247"/>
  <c r="K6" i="247"/>
  <c r="L6" i="247"/>
  <c r="M6" i="247"/>
  <c r="N6" i="247"/>
  <c r="O6" i="247"/>
  <c r="P6" i="247"/>
  <c r="D7" i="247"/>
  <c r="E7" i="247"/>
  <c r="F7" i="247"/>
  <c r="G7" i="247"/>
  <c r="H7" i="247"/>
  <c r="I7" i="247"/>
  <c r="J7" i="247"/>
  <c r="K7" i="247"/>
  <c r="L7" i="247"/>
  <c r="M7" i="247"/>
  <c r="N7" i="247"/>
  <c r="O7" i="247"/>
  <c r="P7" i="247"/>
  <c r="C7" i="247"/>
  <c r="C3" i="247"/>
  <c r="C4" i="247"/>
  <c r="C6" i="247"/>
  <c r="C2" i="247"/>
  <c r="Q7" i="247" l="1"/>
  <c r="N8" i="247"/>
  <c r="M8" i="247"/>
  <c r="I8" i="247"/>
  <c r="E8" i="247"/>
  <c r="J8" i="247"/>
  <c r="P8" i="247"/>
  <c r="L8" i="247"/>
  <c r="H8" i="247"/>
  <c r="Q3" i="247"/>
  <c r="F8" i="247"/>
  <c r="O8" i="247"/>
  <c r="K8" i="247"/>
  <c r="G8" i="247"/>
  <c r="Q4" i="247"/>
  <c r="Q2" i="247"/>
  <c r="Q6" i="247"/>
  <c r="D8" i="247"/>
  <c r="C8" i="247"/>
  <c r="Q5" i="247"/>
  <c r="Q8" i="247" l="1"/>
  <c r="Q11" i="247" s="1"/>
  <c r="AJ14" i="102" l="1"/>
  <c r="E12" i="312" s="1"/>
  <c r="AJ17" i="102"/>
  <c r="E15" i="312" s="1"/>
  <c r="AJ20" i="102"/>
  <c r="E18" i="312" s="1"/>
  <c r="AB18" i="312" s="1"/>
  <c r="AJ21" i="102"/>
  <c r="E19" i="312" s="1"/>
  <c r="AJ24" i="102"/>
  <c r="E22" i="312" s="1"/>
  <c r="AJ25" i="102"/>
  <c r="E23" i="312" s="1"/>
  <c r="AJ28" i="102"/>
  <c r="E26" i="312" s="1"/>
  <c r="AJ29" i="102"/>
  <c r="E27" i="312" s="1"/>
  <c r="E30" i="312"/>
  <c r="AB30" i="312" s="1"/>
  <c r="AJ33" i="102"/>
  <c r="E31" i="312" s="1"/>
  <c r="AJ34" i="102"/>
  <c r="E32" i="312" s="1"/>
  <c r="AJ36" i="102"/>
  <c r="E34" i="312" s="1"/>
  <c r="AJ37" i="102"/>
  <c r="E35" i="312" s="1"/>
  <c r="AJ38" i="102"/>
  <c r="E36" i="312" s="1"/>
  <c r="AJ40" i="102"/>
  <c r="E38" i="312" s="1"/>
  <c r="AJ41" i="102"/>
  <c r="E39" i="312" s="1"/>
  <c r="AJ42" i="102"/>
  <c r="E40" i="312" s="1"/>
  <c r="AJ44" i="102"/>
  <c r="E42" i="312" s="1"/>
  <c r="AB42" i="312" s="1"/>
  <c r="AJ45" i="102"/>
  <c r="E43" i="312" s="1"/>
  <c r="AJ46" i="102"/>
  <c r="E44" i="312" s="1"/>
  <c r="AJ48" i="102"/>
  <c r="E46" i="312" s="1"/>
  <c r="AJ49" i="102"/>
  <c r="E47" i="312" s="1"/>
  <c r="AJ50" i="102"/>
  <c r="E48" i="312" s="1"/>
  <c r="AJ52" i="102"/>
  <c r="E50" i="312" s="1"/>
  <c r="AJ53" i="102"/>
  <c r="E51" i="312" s="1"/>
  <c r="AJ54" i="102"/>
  <c r="E52" i="312" s="1"/>
  <c r="AJ56" i="102"/>
  <c r="E54" i="312" s="1"/>
  <c r="AB54" i="312" s="1"/>
  <c r="AJ57" i="102"/>
  <c r="E55" i="312" s="1"/>
  <c r="AJ58" i="102"/>
  <c r="E56" i="312" s="1"/>
  <c r="AJ60" i="102"/>
  <c r="E58" i="312" s="1"/>
  <c r="AJ61" i="102"/>
  <c r="E59" i="312" s="1"/>
  <c r="AJ62" i="102"/>
  <c r="E60" i="312" s="1"/>
  <c r="AJ63" i="102"/>
  <c r="E61" i="312" s="1"/>
  <c r="AJ64" i="102"/>
  <c r="E62" i="312" s="1"/>
  <c r="AJ65" i="102"/>
  <c r="E63" i="312" s="1"/>
  <c r="AB63" i="312" s="1"/>
  <c r="AJ66" i="102"/>
  <c r="E64" i="312" s="1"/>
  <c r="AJ68" i="102"/>
  <c r="E66" i="312" s="1"/>
  <c r="AJ69" i="102"/>
  <c r="E67" i="312" s="1"/>
  <c r="AJ70" i="102"/>
  <c r="E68" i="312" s="1"/>
  <c r="AJ72" i="102"/>
  <c r="E70" i="312" s="1"/>
  <c r="AJ73" i="102"/>
  <c r="E71" i="312" s="1"/>
  <c r="E72" i="312"/>
  <c r="J72" i="312" s="1"/>
  <c r="K72" i="312" s="1"/>
  <c r="AJ76" i="102"/>
  <c r="E74" i="312" s="1"/>
  <c r="AJ77" i="102"/>
  <c r="E75" i="312" s="1"/>
  <c r="AJ78" i="102"/>
  <c r="E76" i="312" s="1"/>
  <c r="AJ80" i="102"/>
  <c r="E78" i="312" s="1"/>
  <c r="AJ81" i="102"/>
  <c r="E79" i="312" s="1"/>
  <c r="AJ82" i="102"/>
  <c r="E80" i="312" s="1"/>
  <c r="AJ83" i="102"/>
  <c r="E81" i="312" s="1"/>
  <c r="E82" i="312"/>
  <c r="E83" i="312"/>
  <c r="AK85" i="102"/>
  <c r="AL85" i="102"/>
  <c r="AQ85" i="102"/>
  <c r="AR85" i="102"/>
  <c r="AS74" i="102" l="1"/>
  <c r="AW74" i="102" s="1"/>
  <c r="BA85" i="102"/>
  <c r="AP85" i="102"/>
  <c r="AB62" i="312"/>
  <c r="AB48" i="312"/>
  <c r="AB32" i="312"/>
  <c r="AB61" i="312"/>
  <c r="AB47" i="312"/>
  <c r="AB31" i="312"/>
  <c r="AB60" i="312"/>
  <c r="AB46" i="312"/>
  <c r="AB59" i="312"/>
  <c r="AB44" i="312"/>
  <c r="AB27" i="312"/>
  <c r="AB43" i="312"/>
  <c r="AB26" i="312"/>
  <c r="AB58" i="312"/>
  <c r="AB23" i="312"/>
  <c r="AB56" i="312"/>
  <c r="AB40" i="312"/>
  <c r="AB22" i="312"/>
  <c r="J55" i="312"/>
  <c r="K55" i="312" s="1"/>
  <c r="AB55" i="312"/>
  <c r="AB39" i="312"/>
  <c r="AB19" i="312"/>
  <c r="AB38" i="312"/>
  <c r="AB52" i="312"/>
  <c r="AB36" i="312"/>
  <c r="AB64" i="312"/>
  <c r="AB51" i="312"/>
  <c r="AB35" i="312"/>
  <c r="AB15" i="312"/>
  <c r="AB50" i="312"/>
  <c r="AB34" i="312"/>
  <c r="AB12" i="312"/>
  <c r="BD85" i="102"/>
  <c r="AU85" i="102"/>
  <c r="E11" i="312"/>
  <c r="AJ30" i="102"/>
  <c r="E28" i="312" s="1"/>
  <c r="AJ26" i="102"/>
  <c r="E24" i="312" s="1"/>
  <c r="AJ22" i="102"/>
  <c r="E20" i="312" s="1"/>
  <c r="AJ18" i="102"/>
  <c r="E16" i="312" s="1"/>
  <c r="AJ79" i="102"/>
  <c r="E77" i="312" s="1"/>
  <c r="AJ75" i="102"/>
  <c r="AJ71" i="102"/>
  <c r="E69" i="312" s="1"/>
  <c r="AJ67" i="102"/>
  <c r="E65" i="312" s="1"/>
  <c r="AJ59" i="102"/>
  <c r="E57" i="312" s="1"/>
  <c r="AJ55" i="102"/>
  <c r="E53" i="312" s="1"/>
  <c r="AJ51" i="102"/>
  <c r="E49" i="312" s="1"/>
  <c r="AJ47" i="102"/>
  <c r="E45" i="312" s="1"/>
  <c r="AJ43" i="102"/>
  <c r="E41" i="312" s="1"/>
  <c r="AJ39" i="102"/>
  <c r="E37" i="312" s="1"/>
  <c r="AJ35" i="102"/>
  <c r="E33" i="312" s="1"/>
  <c r="AJ31" i="102"/>
  <c r="E29" i="312" s="1"/>
  <c r="AJ27" i="102"/>
  <c r="E25" i="312" s="1"/>
  <c r="AJ23" i="102"/>
  <c r="E21" i="312" s="1"/>
  <c r="AJ19" i="102"/>
  <c r="E17" i="312" s="1"/>
  <c r="AJ16" i="102"/>
  <c r="E14" i="312" s="1"/>
  <c r="AJ12" i="102"/>
  <c r="E10" i="312" s="1"/>
  <c r="F83" i="312" l="1"/>
  <c r="J83" i="312" s="1"/>
  <c r="K83" i="312" s="1"/>
  <c r="AY85" i="102"/>
  <c r="AS57" i="102"/>
  <c r="AW57" i="102" s="1"/>
  <c r="AS85" i="102"/>
  <c r="AW85" i="102" s="1"/>
  <c r="E73" i="312"/>
  <c r="AJ89" i="102"/>
  <c r="AB37" i="312"/>
  <c r="AB49" i="312"/>
  <c r="AB28" i="312"/>
  <c r="AB53" i="312"/>
  <c r="AB11" i="312"/>
  <c r="AB14" i="312"/>
  <c r="AB57" i="312"/>
  <c r="AB17" i="312"/>
  <c r="J21" i="312"/>
  <c r="K21" i="312" s="1"/>
  <c r="AB21" i="312"/>
  <c r="AB25" i="312"/>
  <c r="AB29" i="312"/>
  <c r="AB33" i="312"/>
  <c r="AB16" i="312"/>
  <c r="AB41" i="312"/>
  <c r="AB20" i="312"/>
  <c r="AB45" i="312"/>
  <c r="AB24" i="312"/>
  <c r="AS23" i="102" l="1"/>
  <c r="AW23" i="102" s="1"/>
  <c r="E87" i="312"/>
  <c r="BC12" i="102"/>
  <c r="BC13" i="102"/>
  <c r="BC14" i="102"/>
  <c r="BC15" i="102"/>
  <c r="BC16" i="102"/>
  <c r="BC17" i="102"/>
  <c r="BC18" i="102"/>
  <c r="BC19" i="102"/>
  <c r="BC20" i="102"/>
  <c r="BC21" i="102"/>
  <c r="BC22" i="102"/>
  <c r="BC23" i="102"/>
  <c r="BC24" i="102"/>
  <c r="BC25" i="102"/>
  <c r="BC26" i="102"/>
  <c r="BC27" i="102"/>
  <c r="BC28" i="102"/>
  <c r="BC29" i="102"/>
  <c r="BC30" i="102"/>
  <c r="BC31" i="102"/>
  <c r="BC32" i="102"/>
  <c r="BC33" i="102"/>
  <c r="BC34" i="102"/>
  <c r="BC35" i="102"/>
  <c r="BC36" i="102"/>
  <c r="BC37" i="102"/>
  <c r="BC38" i="102"/>
  <c r="BC39" i="102"/>
  <c r="BC40" i="102"/>
  <c r="BC41" i="102"/>
  <c r="BC42" i="102"/>
  <c r="BC43" i="102"/>
  <c r="BC44" i="102"/>
  <c r="BC45" i="102"/>
  <c r="BC46" i="102"/>
  <c r="BC47" i="102"/>
  <c r="BC48" i="102"/>
  <c r="BC49" i="102"/>
  <c r="BC50" i="102"/>
  <c r="BC51" i="102"/>
  <c r="BC52" i="102"/>
  <c r="BC53" i="102"/>
  <c r="BC54" i="102"/>
  <c r="BC55" i="102"/>
  <c r="BC56" i="102"/>
  <c r="BC57" i="102"/>
  <c r="BC58" i="102"/>
  <c r="BC59" i="102"/>
  <c r="BC60" i="102"/>
  <c r="BC61" i="102"/>
  <c r="BC62" i="102"/>
  <c r="BC63" i="102"/>
  <c r="BC64" i="102"/>
  <c r="BC65" i="102"/>
  <c r="BC66" i="102"/>
  <c r="BC67" i="102"/>
  <c r="BC68" i="102"/>
  <c r="BC69" i="102"/>
  <c r="BC70" i="102"/>
  <c r="BC71" i="102"/>
  <c r="BC72" i="102"/>
  <c r="BC73" i="102"/>
  <c r="BC74" i="102"/>
  <c r="BC75" i="102"/>
  <c r="BC76" i="102"/>
  <c r="BC77" i="102"/>
  <c r="BC78" i="102"/>
  <c r="BC79" i="102"/>
  <c r="BC80" i="102"/>
  <c r="BC81" i="102"/>
  <c r="BC82" i="102"/>
  <c r="BC83" i="102"/>
  <c r="BC84" i="102"/>
  <c r="BC11" i="102"/>
  <c r="BB12" i="102"/>
  <c r="BB13" i="102"/>
  <c r="BB14" i="102"/>
  <c r="BB15" i="102"/>
  <c r="BB16" i="102"/>
  <c r="BB17" i="102"/>
  <c r="BB18" i="102"/>
  <c r="BB19" i="102"/>
  <c r="BB20" i="102"/>
  <c r="BB21" i="102"/>
  <c r="BB22" i="102"/>
  <c r="BB23" i="102"/>
  <c r="BB24" i="102"/>
  <c r="BB25" i="102"/>
  <c r="BB26" i="102"/>
  <c r="BB27" i="102"/>
  <c r="BB28" i="102"/>
  <c r="BB29" i="102"/>
  <c r="BB30" i="102"/>
  <c r="BB31" i="102"/>
  <c r="BB32" i="102"/>
  <c r="BB33" i="102"/>
  <c r="BB34" i="102"/>
  <c r="BB35" i="102"/>
  <c r="BB36" i="102"/>
  <c r="BB37" i="102"/>
  <c r="BB38" i="102"/>
  <c r="BB39" i="102"/>
  <c r="BB40" i="102"/>
  <c r="BB41" i="102"/>
  <c r="BB42" i="102"/>
  <c r="BB43" i="102"/>
  <c r="BB44" i="102"/>
  <c r="BB45" i="102"/>
  <c r="BB46" i="102"/>
  <c r="BB47" i="102"/>
  <c r="BB48" i="102"/>
  <c r="BB49" i="102"/>
  <c r="BB50" i="102"/>
  <c r="BB51" i="102"/>
  <c r="BB52" i="102"/>
  <c r="BB53" i="102"/>
  <c r="BB54" i="102"/>
  <c r="BB55" i="102"/>
  <c r="BB56" i="102"/>
  <c r="BB57" i="102"/>
  <c r="BB58" i="102"/>
  <c r="BB59" i="102"/>
  <c r="BB60" i="102"/>
  <c r="BB61" i="102"/>
  <c r="BB62" i="102"/>
  <c r="BB63" i="102"/>
  <c r="BB64" i="102"/>
  <c r="BB65" i="102"/>
  <c r="BB66" i="102"/>
  <c r="BB67" i="102"/>
  <c r="BB68" i="102"/>
  <c r="BB69" i="102"/>
  <c r="BB70" i="102"/>
  <c r="BB71" i="102"/>
  <c r="BB72" i="102"/>
  <c r="BB73" i="102"/>
  <c r="BB74" i="102"/>
  <c r="BB75" i="102"/>
  <c r="BB76" i="102"/>
  <c r="BB77" i="102"/>
  <c r="BB78" i="102"/>
  <c r="BB79" i="102"/>
  <c r="BB80" i="102"/>
  <c r="BB81" i="102"/>
  <c r="BB82" i="102"/>
  <c r="BB83" i="102"/>
  <c r="BB84" i="102"/>
  <c r="BB11" i="102"/>
  <c r="BC89" i="102" l="1"/>
  <c r="BB89" i="102"/>
  <c r="AQ12" i="102"/>
  <c r="AQ13" i="102"/>
  <c r="AQ14" i="102"/>
  <c r="AQ15" i="102"/>
  <c r="AQ16" i="102"/>
  <c r="AQ17" i="102"/>
  <c r="AQ18" i="102"/>
  <c r="AQ19" i="102"/>
  <c r="AQ20" i="102"/>
  <c r="AQ21" i="102"/>
  <c r="AQ22" i="102"/>
  <c r="AQ24" i="102"/>
  <c r="AQ25" i="102"/>
  <c r="AQ26" i="102"/>
  <c r="AQ27" i="102"/>
  <c r="AQ28" i="102"/>
  <c r="AQ29" i="102"/>
  <c r="AQ30" i="102"/>
  <c r="AQ31" i="102"/>
  <c r="AQ32" i="102"/>
  <c r="AQ33" i="102"/>
  <c r="AQ34" i="102"/>
  <c r="AQ35" i="102"/>
  <c r="AQ36" i="102"/>
  <c r="AQ37" i="102"/>
  <c r="AQ38" i="102"/>
  <c r="AQ39" i="102"/>
  <c r="AQ41" i="102"/>
  <c r="AQ42" i="102"/>
  <c r="AQ43" i="102"/>
  <c r="AQ44" i="102"/>
  <c r="AQ45" i="102"/>
  <c r="AQ46" i="102"/>
  <c r="AQ47" i="102"/>
  <c r="AQ48" i="102"/>
  <c r="AQ49" i="102"/>
  <c r="AQ50" i="102"/>
  <c r="AQ51" i="102"/>
  <c r="AQ52" i="102"/>
  <c r="AQ53" i="102"/>
  <c r="AQ54" i="102"/>
  <c r="AQ55" i="102"/>
  <c r="AQ56" i="102"/>
  <c r="AQ58" i="102"/>
  <c r="AQ59" i="102"/>
  <c r="AQ60" i="102"/>
  <c r="AQ61" i="102"/>
  <c r="AQ62" i="102"/>
  <c r="AQ63" i="102"/>
  <c r="AQ64" i="102"/>
  <c r="AQ65" i="102"/>
  <c r="AQ66" i="102"/>
  <c r="AQ67" i="102"/>
  <c r="AQ68" i="102"/>
  <c r="AQ69" i="102"/>
  <c r="AQ70" i="102"/>
  <c r="AQ71" i="102"/>
  <c r="AQ72" i="102"/>
  <c r="AQ73" i="102"/>
  <c r="AQ75" i="102"/>
  <c r="AQ76" i="102"/>
  <c r="AQ77" i="102"/>
  <c r="AQ78" i="102"/>
  <c r="AQ79" i="102"/>
  <c r="AQ80" i="102"/>
  <c r="AQ81" i="102"/>
  <c r="AQ82" i="102"/>
  <c r="AQ83" i="102"/>
  <c r="AQ84" i="102"/>
  <c r="AK12" i="102"/>
  <c r="AK13" i="102"/>
  <c r="AK14" i="102"/>
  <c r="AK15" i="102"/>
  <c r="AK16" i="102"/>
  <c r="AK17" i="102"/>
  <c r="AK18" i="102"/>
  <c r="AK19" i="102"/>
  <c r="AK20" i="102"/>
  <c r="AK21" i="102"/>
  <c r="AK22" i="102"/>
  <c r="AK24" i="102"/>
  <c r="AK25" i="102"/>
  <c r="AK26" i="102"/>
  <c r="AK27" i="102"/>
  <c r="AK28" i="102"/>
  <c r="AK29" i="102"/>
  <c r="AK30" i="102"/>
  <c r="AK31" i="102"/>
  <c r="AK32" i="102"/>
  <c r="AK33" i="102"/>
  <c r="AK34" i="102"/>
  <c r="AK35" i="102"/>
  <c r="AK36" i="102"/>
  <c r="AK37" i="102"/>
  <c r="AK38" i="102"/>
  <c r="AK39" i="102"/>
  <c r="AK41" i="102"/>
  <c r="AK42" i="102"/>
  <c r="AK43" i="102"/>
  <c r="AK44" i="102"/>
  <c r="AK45" i="102"/>
  <c r="AK46" i="102"/>
  <c r="AK47" i="102"/>
  <c r="AK48" i="102"/>
  <c r="AK49" i="102"/>
  <c r="AK50" i="102"/>
  <c r="AK51" i="102"/>
  <c r="AK52" i="102"/>
  <c r="AK53" i="102"/>
  <c r="AK54" i="102"/>
  <c r="AK55" i="102"/>
  <c r="AK56" i="102"/>
  <c r="AK58" i="102"/>
  <c r="AK59" i="102"/>
  <c r="AK60" i="102"/>
  <c r="AK61" i="102"/>
  <c r="AK62" i="102"/>
  <c r="AK63" i="102"/>
  <c r="AK64" i="102"/>
  <c r="AK65" i="102"/>
  <c r="AK66" i="102"/>
  <c r="AK67" i="102"/>
  <c r="AK68" i="102"/>
  <c r="AK69" i="102"/>
  <c r="AK70" i="102"/>
  <c r="AK71" i="102"/>
  <c r="AK72" i="102"/>
  <c r="AK73" i="102"/>
  <c r="AK75" i="102"/>
  <c r="AK76" i="102"/>
  <c r="AK77" i="102"/>
  <c r="AK78" i="102"/>
  <c r="AK79" i="102"/>
  <c r="AK80" i="102"/>
  <c r="AK81" i="102"/>
  <c r="AK82" i="102"/>
  <c r="AK83" i="102"/>
  <c r="AK84" i="102"/>
  <c r="AK11" i="102"/>
  <c r="AK89" i="102" l="1"/>
  <c r="AQ89" i="102"/>
  <c r="AL83" i="102"/>
  <c r="AR83" i="102"/>
  <c r="AL84" i="102"/>
  <c r="AR84" i="102"/>
  <c r="H7" i="224"/>
  <c r="H8" i="224"/>
  <c r="H9" i="224"/>
  <c r="H10" i="224"/>
  <c r="H11" i="224"/>
  <c r="H12" i="224"/>
  <c r="H13" i="224"/>
  <c r="H14" i="224"/>
  <c r="H15" i="224"/>
  <c r="H16" i="224"/>
  <c r="H17" i="224"/>
  <c r="H18" i="224"/>
  <c r="H19" i="224"/>
  <c r="H20" i="224"/>
  <c r="H21" i="224"/>
  <c r="H22" i="224"/>
  <c r="H23" i="224"/>
  <c r="H24" i="224"/>
  <c r="H25" i="224"/>
  <c r="H26" i="224"/>
  <c r="H27" i="224"/>
  <c r="H28" i="224"/>
  <c r="H29" i="224"/>
  <c r="H30" i="224"/>
  <c r="H31" i="224"/>
  <c r="H32" i="224"/>
  <c r="H33" i="224"/>
  <c r="H34" i="224"/>
  <c r="H35" i="224"/>
  <c r="H36" i="224"/>
  <c r="H37" i="224"/>
  <c r="H38" i="224"/>
  <c r="H39" i="224"/>
  <c r="H40" i="224"/>
  <c r="H41" i="224"/>
  <c r="H42" i="224"/>
  <c r="H43" i="224"/>
  <c r="H44" i="224"/>
  <c r="H45" i="224"/>
  <c r="H46" i="224"/>
  <c r="H47" i="224"/>
  <c r="H48" i="224"/>
  <c r="H49" i="224"/>
  <c r="H50" i="224"/>
  <c r="H51" i="224"/>
  <c r="H52" i="224"/>
  <c r="H53" i="224"/>
  <c r="H54" i="224"/>
  <c r="H55" i="224"/>
  <c r="H56" i="224"/>
  <c r="H57" i="224"/>
  <c r="H58" i="224"/>
  <c r="H59" i="224"/>
  <c r="H60" i="224"/>
  <c r="H61" i="224"/>
  <c r="H62" i="224"/>
  <c r="H63" i="224"/>
  <c r="H64" i="224"/>
  <c r="H65" i="224"/>
  <c r="H66" i="224"/>
  <c r="H67" i="224"/>
  <c r="H68" i="224"/>
  <c r="H69" i="224"/>
  <c r="H70" i="224"/>
  <c r="H71" i="224"/>
  <c r="H72" i="224"/>
  <c r="H73" i="224"/>
  <c r="H74" i="224"/>
  <c r="H75" i="224"/>
  <c r="H76" i="224"/>
  <c r="H77" i="224"/>
  <c r="H78" i="224"/>
  <c r="H79" i="224"/>
  <c r="H80" i="224"/>
  <c r="H81" i="224"/>
  <c r="H82" i="224"/>
  <c r="H83" i="224"/>
  <c r="H84" i="224"/>
  <c r="H85" i="224"/>
  <c r="H86" i="224"/>
  <c r="H87" i="224"/>
  <c r="H88" i="224"/>
  <c r="H89" i="224"/>
  <c r="H90" i="224"/>
  <c r="H91" i="224"/>
  <c r="H92" i="224"/>
  <c r="H93" i="224"/>
  <c r="H94" i="224"/>
  <c r="H95" i="224"/>
  <c r="H96" i="224"/>
  <c r="H97" i="224"/>
  <c r="H98" i="224"/>
  <c r="H99" i="224"/>
  <c r="H100" i="224"/>
  <c r="H101" i="224"/>
  <c r="H102" i="224"/>
  <c r="H103" i="224"/>
  <c r="H6" i="224"/>
  <c r="H8" i="223"/>
  <c r="H9" i="223"/>
  <c r="H10" i="223"/>
  <c r="H11" i="223"/>
  <c r="H12" i="223"/>
  <c r="H13" i="223"/>
  <c r="H14" i="223"/>
  <c r="H15" i="223"/>
  <c r="H16" i="223"/>
  <c r="H17" i="223"/>
  <c r="H18" i="223"/>
  <c r="H19" i="223"/>
  <c r="H20" i="223"/>
  <c r="H21" i="223"/>
  <c r="H22" i="223"/>
  <c r="H23" i="223"/>
  <c r="H24" i="223"/>
  <c r="H25" i="223"/>
  <c r="H26" i="223"/>
  <c r="H27" i="223"/>
  <c r="H28" i="223"/>
  <c r="H29" i="223"/>
  <c r="H30" i="223"/>
  <c r="H31" i="223"/>
  <c r="H32" i="223"/>
  <c r="H33" i="223"/>
  <c r="H34" i="223"/>
  <c r="H35" i="223"/>
  <c r="H36" i="223"/>
  <c r="H37" i="223"/>
  <c r="H38" i="223"/>
  <c r="H39" i="223"/>
  <c r="H40" i="223"/>
  <c r="H41" i="223"/>
  <c r="H42" i="223"/>
  <c r="H43" i="223"/>
  <c r="H44" i="223"/>
  <c r="H45" i="223"/>
  <c r="H46" i="223"/>
  <c r="H47" i="223"/>
  <c r="H48" i="223"/>
  <c r="H49" i="223"/>
  <c r="H50" i="223"/>
  <c r="H51" i="223"/>
  <c r="H52" i="223"/>
  <c r="H53" i="223"/>
  <c r="H54" i="223"/>
  <c r="H55" i="223"/>
  <c r="H56" i="223"/>
  <c r="H57" i="223"/>
  <c r="H58" i="223"/>
  <c r="H59" i="223"/>
  <c r="H60" i="223"/>
  <c r="H61" i="223"/>
  <c r="H62" i="223"/>
  <c r="H63" i="223"/>
  <c r="H64" i="223"/>
  <c r="H65" i="223"/>
  <c r="H66" i="223"/>
  <c r="H67" i="223"/>
  <c r="H68" i="223"/>
  <c r="H69" i="223"/>
  <c r="H70" i="223"/>
  <c r="H71" i="223"/>
  <c r="H72" i="223"/>
  <c r="H73" i="223"/>
  <c r="H74" i="223"/>
  <c r="H75" i="223"/>
  <c r="H76" i="223"/>
  <c r="H77" i="223"/>
  <c r="H78" i="223"/>
  <c r="H79" i="223"/>
  <c r="H80" i="223"/>
  <c r="H81" i="223"/>
  <c r="H82" i="223"/>
  <c r="H83" i="223"/>
  <c r="H84" i="223"/>
  <c r="H85" i="223"/>
  <c r="H86" i="223"/>
  <c r="H87" i="223"/>
  <c r="H88" i="223"/>
  <c r="H89" i="223"/>
  <c r="H90" i="223"/>
  <c r="H91" i="223"/>
  <c r="H92" i="223"/>
  <c r="H93" i="223"/>
  <c r="H94" i="223"/>
  <c r="H95" i="223"/>
  <c r="H96" i="223"/>
  <c r="H97" i="223"/>
  <c r="H98" i="223"/>
  <c r="H99" i="223"/>
  <c r="H100" i="223"/>
  <c r="H101" i="223"/>
  <c r="H102" i="223"/>
  <c r="H103" i="223"/>
  <c r="H104" i="223"/>
  <c r="H105" i="223"/>
  <c r="H106" i="223"/>
  <c r="H107" i="223"/>
  <c r="H108" i="223"/>
  <c r="H109" i="223"/>
  <c r="H110" i="223"/>
  <c r="H111" i="223"/>
  <c r="H112" i="223"/>
  <c r="H113" i="223"/>
  <c r="H114" i="223"/>
  <c r="H115" i="223"/>
  <c r="H116" i="223"/>
  <c r="H117" i="223"/>
  <c r="H118" i="223"/>
  <c r="H119" i="223"/>
  <c r="H120" i="223"/>
  <c r="H121" i="223"/>
  <c r="H122" i="223"/>
  <c r="H123" i="223"/>
  <c r="H124" i="223"/>
  <c r="H125" i="223"/>
  <c r="H126" i="223"/>
  <c r="H127" i="223"/>
  <c r="H128" i="223"/>
  <c r="H129" i="223"/>
  <c r="H130" i="223"/>
  <c r="H131" i="223"/>
  <c r="H132" i="223"/>
  <c r="H133" i="223"/>
  <c r="H134" i="223"/>
  <c r="H135" i="223"/>
  <c r="H136" i="223"/>
  <c r="H137" i="223"/>
  <c r="H138" i="223"/>
  <c r="H139" i="223"/>
  <c r="H140" i="223"/>
  <c r="H141" i="223"/>
  <c r="H142" i="223"/>
  <c r="H143" i="223"/>
  <c r="H144" i="223"/>
  <c r="H145" i="223"/>
  <c r="H146" i="223"/>
  <c r="H147" i="223"/>
  <c r="H148" i="223"/>
  <c r="H149" i="223"/>
  <c r="H150" i="223"/>
  <c r="H151" i="223"/>
  <c r="H152" i="223"/>
  <c r="H153" i="223"/>
  <c r="H154" i="223"/>
  <c r="H155" i="223"/>
  <c r="H156" i="223"/>
  <c r="H157" i="223"/>
  <c r="H158" i="223"/>
  <c r="H159" i="223"/>
  <c r="H160" i="223"/>
  <c r="H161" i="223"/>
  <c r="H162" i="223"/>
  <c r="H163" i="223"/>
  <c r="H164" i="223"/>
  <c r="H165" i="223"/>
  <c r="H166" i="223"/>
  <c r="H167" i="223"/>
  <c r="H168" i="223"/>
  <c r="H169" i="223"/>
  <c r="H170" i="223"/>
  <c r="H171" i="223"/>
  <c r="H172" i="223"/>
  <c r="H173" i="223"/>
  <c r="H174" i="223"/>
  <c r="H175" i="223"/>
  <c r="H176" i="223"/>
  <c r="H177" i="223"/>
  <c r="H178" i="223"/>
  <c r="H179" i="223"/>
  <c r="H180" i="223"/>
  <c r="H181" i="223"/>
  <c r="H182" i="223"/>
  <c r="H183" i="223"/>
  <c r="H184" i="223"/>
  <c r="H185" i="223"/>
  <c r="H186" i="223"/>
  <c r="H187" i="223"/>
  <c r="H188" i="223"/>
  <c r="H189" i="223"/>
  <c r="H190" i="223"/>
  <c r="H191" i="223"/>
  <c r="H192" i="223"/>
  <c r="H193" i="223"/>
  <c r="H7" i="223"/>
  <c r="H7" i="222"/>
  <c r="H8" i="222"/>
  <c r="H9" i="222"/>
  <c r="H10" i="222"/>
  <c r="H11" i="222"/>
  <c r="H12" i="222"/>
  <c r="H13" i="222"/>
  <c r="H14" i="222"/>
  <c r="H15" i="222"/>
  <c r="H16" i="222"/>
  <c r="H17" i="222"/>
  <c r="H18" i="222"/>
  <c r="H19" i="222"/>
  <c r="H20" i="222"/>
  <c r="H21" i="222"/>
  <c r="H22" i="222"/>
  <c r="H23" i="222"/>
  <c r="H24" i="222"/>
  <c r="H25" i="222"/>
  <c r="H26" i="222"/>
  <c r="H27" i="222"/>
  <c r="H28" i="222"/>
  <c r="H29" i="222"/>
  <c r="H30" i="222"/>
  <c r="H31" i="222"/>
  <c r="H32" i="222"/>
  <c r="H33" i="222"/>
  <c r="H34" i="222"/>
  <c r="H35" i="222"/>
  <c r="H36" i="222"/>
  <c r="H37" i="222"/>
  <c r="H38" i="222"/>
  <c r="H39" i="222"/>
  <c r="H40" i="222"/>
  <c r="H41" i="222"/>
  <c r="H42" i="222"/>
  <c r="H43" i="222"/>
  <c r="H44" i="222"/>
  <c r="H45" i="222"/>
  <c r="H46" i="222"/>
  <c r="H47" i="222"/>
  <c r="H48" i="222"/>
  <c r="H49" i="222"/>
  <c r="H50" i="222"/>
  <c r="H51" i="222"/>
  <c r="H52" i="222"/>
  <c r="H53" i="222"/>
  <c r="H54" i="222"/>
  <c r="H55" i="222"/>
  <c r="H56" i="222"/>
  <c r="H57" i="222"/>
  <c r="H58" i="222"/>
  <c r="H59" i="222"/>
  <c r="H60" i="222"/>
  <c r="H61" i="222"/>
  <c r="H62" i="222"/>
  <c r="H63" i="222"/>
  <c r="H64" i="222"/>
  <c r="H65" i="222"/>
  <c r="H66" i="222"/>
  <c r="H67" i="222"/>
  <c r="H68" i="222"/>
  <c r="H69" i="222"/>
  <c r="H70" i="222"/>
  <c r="H72" i="222"/>
  <c r="H73" i="222"/>
  <c r="H74" i="222"/>
  <c r="H75" i="222"/>
  <c r="H76" i="222"/>
  <c r="H77" i="222"/>
  <c r="H78" i="222"/>
  <c r="H79" i="222"/>
  <c r="H80" i="222"/>
  <c r="H81" i="222"/>
  <c r="H82" i="222"/>
  <c r="H83" i="222"/>
  <c r="H84" i="222"/>
  <c r="H85" i="222"/>
  <c r="H86" i="222"/>
  <c r="H87" i="222"/>
  <c r="H88" i="222"/>
  <c r="H89" i="222"/>
  <c r="H90" i="222"/>
  <c r="H91" i="222"/>
  <c r="H92" i="222"/>
  <c r="H93" i="222"/>
  <c r="H94" i="222"/>
  <c r="H95" i="222"/>
  <c r="H96" i="222"/>
  <c r="H97" i="222"/>
  <c r="H98" i="222"/>
  <c r="H99" i="222"/>
  <c r="H100" i="222"/>
  <c r="H101" i="222"/>
  <c r="H102" i="222"/>
  <c r="H103" i="222"/>
  <c r="H104" i="222"/>
  <c r="H105" i="222"/>
  <c r="H106" i="222"/>
  <c r="H107" i="222"/>
  <c r="H108" i="222"/>
  <c r="H109" i="222"/>
  <c r="H110" i="222"/>
  <c r="H111" i="222"/>
  <c r="H112" i="222"/>
  <c r="H113" i="222"/>
  <c r="H114" i="222"/>
  <c r="H115" i="222"/>
  <c r="H116" i="222"/>
  <c r="H117" i="222"/>
  <c r="H118" i="222"/>
  <c r="H119" i="222"/>
  <c r="H120" i="222"/>
  <c r="H121" i="222"/>
  <c r="H122" i="222"/>
  <c r="H123" i="222"/>
  <c r="H124" i="222"/>
  <c r="H125" i="222"/>
  <c r="H126" i="222"/>
  <c r="H127" i="222"/>
  <c r="H128" i="222"/>
  <c r="H129" i="222"/>
  <c r="H130" i="222"/>
  <c r="H131" i="222"/>
  <c r="H132" i="222"/>
  <c r="H133" i="222"/>
  <c r="H134" i="222"/>
  <c r="H135" i="222"/>
  <c r="H136" i="222"/>
  <c r="H137" i="222"/>
  <c r="H138" i="222"/>
  <c r="H139" i="222"/>
  <c r="H140" i="222"/>
  <c r="H141" i="222"/>
  <c r="H142" i="222"/>
  <c r="H143" i="222"/>
  <c r="H144" i="222"/>
  <c r="H145" i="222"/>
  <c r="H146" i="222"/>
  <c r="H147" i="222"/>
  <c r="H148" i="222"/>
  <c r="H149" i="222"/>
  <c r="H150" i="222"/>
  <c r="H151" i="222"/>
  <c r="H152" i="222"/>
  <c r="H153" i="222"/>
  <c r="H154" i="222"/>
  <c r="H155" i="222"/>
  <c r="H156" i="222"/>
  <c r="H157" i="222"/>
  <c r="H158" i="222"/>
  <c r="H159" i="222"/>
  <c r="H160" i="222"/>
  <c r="H161" i="222"/>
  <c r="H162" i="222"/>
  <c r="H163" i="222"/>
  <c r="H164" i="222"/>
  <c r="H165" i="222"/>
  <c r="H166" i="222"/>
  <c r="H167" i="222"/>
  <c r="H168" i="222"/>
  <c r="H169" i="222"/>
  <c r="H170" i="222"/>
  <c r="H171" i="222"/>
  <c r="H172" i="222"/>
  <c r="H173" i="222"/>
  <c r="H174" i="222"/>
  <c r="H175" i="222"/>
  <c r="H176" i="222"/>
  <c r="H177" i="222"/>
  <c r="H178" i="222"/>
  <c r="H179" i="222"/>
  <c r="H180" i="222"/>
  <c r="H181" i="222"/>
  <c r="H182" i="222"/>
  <c r="H183" i="222"/>
  <c r="H184" i="222"/>
  <c r="H185" i="222"/>
  <c r="H186" i="222"/>
  <c r="H187" i="222"/>
  <c r="H188" i="222"/>
  <c r="H189" i="222"/>
  <c r="H190" i="222"/>
  <c r="H191" i="222"/>
  <c r="H192" i="222"/>
  <c r="H193" i="222"/>
  <c r="H194" i="222"/>
  <c r="H195" i="222"/>
  <c r="H196" i="222"/>
  <c r="H197" i="222"/>
  <c r="H198" i="222"/>
  <c r="H199" i="222"/>
  <c r="H200" i="222"/>
  <c r="H201" i="222"/>
  <c r="H202" i="222"/>
  <c r="H203" i="222"/>
  <c r="H204" i="222"/>
  <c r="H205" i="222"/>
  <c r="H206" i="222"/>
  <c r="H207" i="222"/>
  <c r="H208" i="222"/>
  <c r="H209" i="222"/>
  <c r="H210" i="222"/>
  <c r="H211" i="222"/>
  <c r="H212" i="222"/>
  <c r="H213" i="222"/>
  <c r="H214" i="222"/>
  <c r="H215" i="222"/>
  <c r="H216" i="222"/>
  <c r="H217" i="222"/>
  <c r="H218" i="222"/>
  <c r="H219" i="222"/>
  <c r="H220" i="222"/>
  <c r="H221" i="222"/>
  <c r="H222" i="222"/>
  <c r="H6" i="222"/>
  <c r="H7" i="221"/>
  <c r="H8" i="221"/>
  <c r="H9" i="221"/>
  <c r="H10" i="221"/>
  <c r="H11" i="221"/>
  <c r="H12" i="221"/>
  <c r="H13" i="221"/>
  <c r="H14" i="221"/>
  <c r="H15" i="221"/>
  <c r="H16" i="221"/>
  <c r="H17" i="221"/>
  <c r="H18" i="221"/>
  <c r="H19" i="221"/>
  <c r="H20" i="221"/>
  <c r="H21" i="221"/>
  <c r="H22" i="221"/>
  <c r="H23" i="221"/>
  <c r="H24" i="221"/>
  <c r="H25" i="221"/>
  <c r="H26" i="221"/>
  <c r="H27" i="221"/>
  <c r="H28" i="221"/>
  <c r="H29" i="221"/>
  <c r="H30" i="221"/>
  <c r="H31" i="221"/>
  <c r="H32" i="221"/>
  <c r="H33" i="221"/>
  <c r="H34" i="221"/>
  <c r="H35" i="221"/>
  <c r="H36" i="221"/>
  <c r="H37" i="221"/>
  <c r="H38" i="221"/>
  <c r="H39" i="221"/>
  <c r="H40" i="221"/>
  <c r="H41" i="221"/>
  <c r="H42" i="221"/>
  <c r="H43" i="221"/>
  <c r="H44" i="221"/>
  <c r="H45" i="221"/>
  <c r="H46" i="221"/>
  <c r="H47" i="221"/>
  <c r="H48" i="221"/>
  <c r="H49" i="221"/>
  <c r="H50" i="221"/>
  <c r="H51" i="221"/>
  <c r="H52" i="221"/>
  <c r="H53" i="221"/>
  <c r="H54" i="221"/>
  <c r="H55" i="221"/>
  <c r="H56" i="221"/>
  <c r="H57" i="221"/>
  <c r="H58" i="221"/>
  <c r="H59" i="221"/>
  <c r="H60" i="221"/>
  <c r="H61" i="221"/>
  <c r="H62" i="221"/>
  <c r="H63" i="221"/>
  <c r="H64" i="221"/>
  <c r="H65" i="221"/>
  <c r="H66" i="221"/>
  <c r="H67" i="221"/>
  <c r="H68" i="221"/>
  <c r="H69" i="221"/>
  <c r="H70" i="221"/>
  <c r="H71" i="221"/>
  <c r="H72" i="221"/>
  <c r="H73" i="221"/>
  <c r="H74" i="221"/>
  <c r="H75" i="221"/>
  <c r="H76" i="221"/>
  <c r="H77" i="221"/>
  <c r="H78" i="221"/>
  <c r="H79" i="221"/>
  <c r="H80" i="221"/>
  <c r="H81" i="221"/>
  <c r="H82" i="221"/>
  <c r="H83" i="221"/>
  <c r="H84" i="221"/>
  <c r="H85" i="221"/>
  <c r="H86" i="221"/>
  <c r="H87" i="221"/>
  <c r="H88" i="221"/>
  <c r="H89" i="221"/>
  <c r="H90" i="221"/>
  <c r="H91" i="221"/>
  <c r="H92" i="221"/>
  <c r="H93" i="221"/>
  <c r="H94" i="221"/>
  <c r="H95" i="221"/>
  <c r="H96" i="221"/>
  <c r="H97" i="221"/>
  <c r="H98" i="221"/>
  <c r="H99" i="221"/>
  <c r="H100" i="221"/>
  <c r="H101" i="221"/>
  <c r="H102" i="221"/>
  <c r="H103" i="221"/>
  <c r="H104" i="221"/>
  <c r="H105" i="221"/>
  <c r="H106" i="221"/>
  <c r="H107" i="221"/>
  <c r="H108" i="221"/>
  <c r="H109" i="221"/>
  <c r="H110" i="221"/>
  <c r="H111" i="221"/>
  <c r="H112" i="221"/>
  <c r="H113" i="221"/>
  <c r="H114" i="221"/>
  <c r="H115" i="221"/>
  <c r="H116" i="221"/>
  <c r="H117" i="221"/>
  <c r="H118" i="221"/>
  <c r="H119" i="221"/>
  <c r="H120" i="221"/>
  <c r="H121" i="221"/>
  <c r="H122" i="221"/>
  <c r="H123" i="221"/>
  <c r="H124" i="221"/>
  <c r="H125" i="221"/>
  <c r="H126" i="221"/>
  <c r="H127" i="221"/>
  <c r="H128" i="221"/>
  <c r="H129" i="221"/>
  <c r="H130" i="221"/>
  <c r="H131" i="221"/>
  <c r="H132" i="221"/>
  <c r="H133" i="221"/>
  <c r="H134" i="221"/>
  <c r="H135" i="221"/>
  <c r="H136" i="221"/>
  <c r="H137" i="221"/>
  <c r="H138" i="221"/>
  <c r="H139" i="221"/>
  <c r="H140" i="221"/>
  <c r="H141" i="221"/>
  <c r="H142" i="221"/>
  <c r="H143" i="221"/>
  <c r="H144" i="221"/>
  <c r="H145" i="221"/>
  <c r="H146" i="221"/>
  <c r="H147" i="221"/>
  <c r="H148" i="221"/>
  <c r="H149" i="221"/>
  <c r="H150" i="221"/>
  <c r="H151" i="221"/>
  <c r="H152" i="221"/>
  <c r="H153" i="221"/>
  <c r="H154" i="221"/>
  <c r="H155" i="221"/>
  <c r="H156" i="221"/>
  <c r="H157" i="221"/>
  <c r="H158" i="221"/>
  <c r="H159" i="221"/>
  <c r="H160" i="221"/>
  <c r="H161" i="221"/>
  <c r="H162" i="221"/>
  <c r="H163" i="221"/>
  <c r="H164" i="221"/>
  <c r="H165" i="221"/>
  <c r="H166" i="221"/>
  <c r="H167" i="221"/>
  <c r="H168" i="221"/>
  <c r="H169" i="221"/>
  <c r="H170" i="221"/>
  <c r="H171" i="221"/>
  <c r="H172" i="221"/>
  <c r="H173" i="221"/>
  <c r="H174" i="221"/>
  <c r="H175" i="221"/>
  <c r="H176" i="221"/>
  <c r="H177" i="221"/>
  <c r="H178" i="221"/>
  <c r="H179" i="221"/>
  <c r="H180" i="221"/>
  <c r="H181" i="221"/>
  <c r="H182" i="221"/>
  <c r="H183" i="221"/>
  <c r="H184" i="221"/>
  <c r="H185" i="221"/>
  <c r="H186" i="221"/>
  <c r="H187" i="221"/>
  <c r="H188" i="221"/>
  <c r="H189" i="221"/>
  <c r="H190" i="221"/>
  <c r="H191" i="221"/>
  <c r="H192" i="221"/>
  <c r="H193" i="221"/>
  <c r="H194" i="221"/>
  <c r="H195" i="221"/>
  <c r="H196" i="221"/>
  <c r="H197" i="221"/>
  <c r="H198" i="221"/>
  <c r="H199" i="221"/>
  <c r="H200" i="221"/>
  <c r="H201" i="221"/>
  <c r="H202" i="221"/>
  <c r="H203" i="221"/>
  <c r="H204" i="221"/>
  <c r="H205" i="221"/>
  <c r="H206" i="221"/>
  <c r="H207" i="221"/>
  <c r="H208" i="221"/>
  <c r="H209" i="221"/>
  <c r="H210" i="221"/>
  <c r="H211" i="221"/>
  <c r="H212" i="221"/>
  <c r="H213" i="221"/>
  <c r="H214" i="221"/>
  <c r="H215" i="221"/>
  <c r="H216" i="221"/>
  <c r="H217" i="221"/>
  <c r="H218" i="221"/>
  <c r="H219" i="221"/>
  <c r="H220" i="221"/>
  <c r="H221" i="221"/>
  <c r="H222" i="221"/>
  <c r="H223" i="221"/>
  <c r="H6" i="221"/>
  <c r="H7" i="218"/>
  <c r="H8" i="218"/>
  <c r="H9" i="218"/>
  <c r="H10" i="218"/>
  <c r="H11" i="218"/>
  <c r="H12" i="218"/>
  <c r="H13" i="218"/>
  <c r="H14" i="218"/>
  <c r="H15" i="218"/>
  <c r="H16" i="218"/>
  <c r="H17" i="218"/>
  <c r="H18" i="218"/>
  <c r="H19" i="218"/>
  <c r="H20" i="218"/>
  <c r="H21" i="218"/>
  <c r="H22" i="218"/>
  <c r="H23" i="218"/>
  <c r="H24" i="218"/>
  <c r="H25" i="218"/>
  <c r="H26" i="218"/>
  <c r="H27" i="218"/>
  <c r="H28" i="218"/>
  <c r="H29" i="218"/>
  <c r="H30" i="218"/>
  <c r="H31" i="218"/>
  <c r="H32" i="218"/>
  <c r="H33" i="218"/>
  <c r="H34" i="218"/>
  <c r="H35" i="218"/>
  <c r="H36" i="218"/>
  <c r="H37" i="218"/>
  <c r="H38" i="218"/>
  <c r="H39" i="218"/>
  <c r="H40" i="218"/>
  <c r="H41" i="218"/>
  <c r="H42" i="218"/>
  <c r="H43" i="218"/>
  <c r="H44" i="218"/>
  <c r="H45" i="218"/>
  <c r="H46" i="218"/>
  <c r="H47" i="218"/>
  <c r="H48" i="218"/>
  <c r="H49" i="218"/>
  <c r="H50" i="218"/>
  <c r="H51" i="218"/>
  <c r="H52" i="218"/>
  <c r="H53" i="218"/>
  <c r="H54" i="218"/>
  <c r="H55" i="218"/>
  <c r="H56" i="218"/>
  <c r="H57" i="218"/>
  <c r="H58" i="218"/>
  <c r="H59" i="218"/>
  <c r="H60" i="218"/>
  <c r="H61" i="218"/>
  <c r="H62" i="218"/>
  <c r="H63" i="218"/>
  <c r="H64" i="218"/>
  <c r="H65" i="218"/>
  <c r="H66" i="218"/>
  <c r="H67" i="218"/>
  <c r="H68" i="218"/>
  <c r="H69" i="218"/>
  <c r="H70" i="218"/>
  <c r="H71" i="218"/>
  <c r="H72" i="218"/>
  <c r="H73" i="218"/>
  <c r="H74" i="218"/>
  <c r="H75" i="218"/>
  <c r="H76" i="218"/>
  <c r="H77" i="218"/>
  <c r="H78" i="218"/>
  <c r="H79" i="218"/>
  <c r="H80" i="218"/>
  <c r="H81" i="218"/>
  <c r="H82" i="218"/>
  <c r="H83" i="218"/>
  <c r="H84" i="218"/>
  <c r="H85" i="218"/>
  <c r="H86" i="218"/>
  <c r="H87" i="218"/>
  <c r="H88" i="218"/>
  <c r="H89" i="218"/>
  <c r="H90" i="218"/>
  <c r="H91" i="218"/>
  <c r="H92" i="218"/>
  <c r="H93" i="218"/>
  <c r="H94" i="218"/>
  <c r="H95" i="218"/>
  <c r="H96" i="218"/>
  <c r="H97" i="218"/>
  <c r="H98" i="218"/>
  <c r="H99" i="218"/>
  <c r="H100" i="218"/>
  <c r="H101" i="218"/>
  <c r="H102" i="218"/>
  <c r="H103" i="218"/>
  <c r="H104" i="218"/>
  <c r="H105" i="218"/>
  <c r="H106" i="218"/>
  <c r="H107" i="218"/>
  <c r="H108" i="218"/>
  <c r="H109" i="218"/>
  <c r="H110" i="218"/>
  <c r="H111" i="218"/>
  <c r="H112" i="218"/>
  <c r="H113" i="218"/>
  <c r="H114" i="218"/>
  <c r="H115" i="218"/>
  <c r="H116" i="218"/>
  <c r="H117" i="218"/>
  <c r="H118" i="218"/>
  <c r="H119" i="218"/>
  <c r="H120" i="218"/>
  <c r="H121" i="218"/>
  <c r="H122" i="218"/>
  <c r="H123" i="218"/>
  <c r="H124" i="218"/>
  <c r="H125" i="218"/>
  <c r="H126" i="218"/>
  <c r="H127" i="218"/>
  <c r="H128" i="218"/>
  <c r="H129" i="218"/>
  <c r="H130" i="218"/>
  <c r="H131" i="218"/>
  <c r="H132" i="218"/>
  <c r="H133" i="218"/>
  <c r="H134" i="218"/>
  <c r="H135" i="218"/>
  <c r="H136" i="218"/>
  <c r="H137" i="218"/>
  <c r="H138" i="218"/>
  <c r="H139" i="218"/>
  <c r="H140" i="218"/>
  <c r="H141" i="218"/>
  <c r="H142" i="218"/>
  <c r="H143" i="218"/>
  <c r="H144" i="218"/>
  <c r="H145" i="218"/>
  <c r="H146" i="218"/>
  <c r="H147" i="218"/>
  <c r="H148" i="218"/>
  <c r="H149" i="218"/>
  <c r="H150" i="218"/>
  <c r="H151" i="218"/>
  <c r="H152" i="218"/>
  <c r="H153" i="218"/>
  <c r="H154" i="218"/>
  <c r="H155" i="218"/>
  <c r="H6" i="218"/>
  <c r="BD84" i="102" l="1"/>
  <c r="BD83" i="102"/>
  <c r="AQ90" i="102"/>
  <c r="AP83" i="102"/>
  <c r="BA83" i="102"/>
  <c r="AP84" i="102"/>
  <c r="BA84" i="102"/>
  <c r="AU83" i="102"/>
  <c r="AU84" i="102"/>
  <c r="H8" i="214"/>
  <c r="H9" i="214"/>
  <c r="H10" i="214"/>
  <c r="H11" i="214"/>
  <c r="H12" i="214"/>
  <c r="H13" i="214"/>
  <c r="H14" i="214"/>
  <c r="H15" i="214"/>
  <c r="H16" i="214"/>
  <c r="H17" i="214"/>
  <c r="H18" i="214"/>
  <c r="H19" i="214"/>
  <c r="H20" i="214"/>
  <c r="H21" i="214"/>
  <c r="H22" i="214"/>
  <c r="H23" i="214"/>
  <c r="H24" i="214"/>
  <c r="H25" i="214"/>
  <c r="H26" i="214"/>
  <c r="H27" i="214"/>
  <c r="H28" i="214"/>
  <c r="H29" i="214"/>
  <c r="H30" i="214"/>
  <c r="H31" i="214"/>
  <c r="H32" i="214"/>
  <c r="H33" i="214"/>
  <c r="H34" i="214"/>
  <c r="H35" i="214"/>
  <c r="H36" i="214"/>
  <c r="H37" i="214"/>
  <c r="H38" i="214"/>
  <c r="H39" i="214"/>
  <c r="H40" i="214"/>
  <c r="H41" i="214"/>
  <c r="H42" i="214"/>
  <c r="H43" i="214"/>
  <c r="H44" i="214"/>
  <c r="H45" i="214"/>
  <c r="H46" i="214"/>
  <c r="H47" i="214"/>
  <c r="H48" i="214"/>
  <c r="H49" i="214"/>
  <c r="H50" i="214"/>
  <c r="H51" i="214"/>
  <c r="H52" i="214"/>
  <c r="H53" i="214"/>
  <c r="H54" i="214"/>
  <c r="H55" i="214"/>
  <c r="H56" i="214"/>
  <c r="H57" i="214"/>
  <c r="H58" i="214"/>
  <c r="H59" i="214"/>
  <c r="H60" i="214"/>
  <c r="H61" i="214"/>
  <c r="H62" i="214"/>
  <c r="H63" i="214"/>
  <c r="H64" i="214"/>
  <c r="H65" i="214"/>
  <c r="H66" i="214"/>
  <c r="H67" i="214"/>
  <c r="H68" i="214"/>
  <c r="H69" i="214"/>
  <c r="H70" i="214"/>
  <c r="H71" i="214"/>
  <c r="H72" i="214"/>
  <c r="H73" i="214"/>
  <c r="H74" i="214"/>
  <c r="H75" i="214"/>
  <c r="H76" i="214"/>
  <c r="H77" i="214"/>
  <c r="H78" i="214"/>
  <c r="H79" i="214"/>
  <c r="H80" i="214"/>
  <c r="H81" i="214"/>
  <c r="H82" i="214"/>
  <c r="H83" i="214"/>
  <c r="H84" i="214"/>
  <c r="H85" i="214"/>
  <c r="H86" i="214"/>
  <c r="H87" i="214"/>
  <c r="H88" i="214"/>
  <c r="H89" i="214"/>
  <c r="H90" i="214"/>
  <c r="H91" i="214"/>
  <c r="H92" i="214"/>
  <c r="H93" i="214"/>
  <c r="H94" i="214"/>
  <c r="H95" i="214"/>
  <c r="H96" i="214"/>
  <c r="H7" i="214"/>
  <c r="F82" i="312" l="1"/>
  <c r="J82" i="312" s="1"/>
  <c r="K82" i="312" s="1"/>
  <c r="AY84" i="102"/>
  <c r="F81" i="312"/>
  <c r="J81" i="312" s="1"/>
  <c r="K81" i="312" s="1"/>
  <c r="AS83" i="102" s="1"/>
  <c r="AW83" i="102" s="1"/>
  <c r="AY83" i="102"/>
  <c r="AS84" i="102"/>
  <c r="AW84" i="102" s="1"/>
  <c r="D2" i="211"/>
  <c r="E2" i="211" s="1"/>
  <c r="D3" i="211"/>
  <c r="E3" i="211" s="1"/>
  <c r="D4" i="211"/>
  <c r="E4" i="211" s="1"/>
  <c r="D5" i="211"/>
  <c r="E5" i="211" s="1"/>
  <c r="D1" i="211"/>
  <c r="E1" i="211" s="1"/>
  <c r="AR79" i="102" l="1"/>
  <c r="AL79" i="102" l="1"/>
  <c r="AR82" i="102"/>
  <c r="AL82" i="102"/>
  <c r="BA82" i="102" l="1"/>
  <c r="AP82" i="102"/>
  <c r="BA79" i="102"/>
  <c r="AP79" i="102"/>
  <c r="BD79" i="102"/>
  <c r="BD82" i="102"/>
  <c r="AU82" i="102"/>
  <c r="H67" i="203"/>
  <c r="H7" i="203"/>
  <c r="H8" i="203"/>
  <c r="H9" i="203"/>
  <c r="H10" i="203"/>
  <c r="H11" i="203"/>
  <c r="H12" i="203"/>
  <c r="H13" i="203"/>
  <c r="H14" i="203"/>
  <c r="H15" i="203"/>
  <c r="H16" i="203"/>
  <c r="H17" i="203"/>
  <c r="H18" i="203"/>
  <c r="H19" i="203"/>
  <c r="H20" i="203"/>
  <c r="H21" i="203"/>
  <c r="H23" i="203"/>
  <c r="H24" i="203"/>
  <c r="H25" i="203"/>
  <c r="H26" i="203"/>
  <c r="H28" i="203"/>
  <c r="H29" i="203"/>
  <c r="H30" i="203"/>
  <c r="H31" i="203"/>
  <c r="H32" i="203"/>
  <c r="H33" i="203"/>
  <c r="H34" i="203"/>
  <c r="H35" i="203"/>
  <c r="H36" i="203"/>
  <c r="H37" i="203"/>
  <c r="H41" i="203"/>
  <c r="H43" i="203"/>
  <c r="H44" i="203"/>
  <c r="H45" i="203"/>
  <c r="H46" i="203"/>
  <c r="H47" i="203"/>
  <c r="H49" i="203"/>
  <c r="H50" i="203"/>
  <c r="H51" i="203"/>
  <c r="H53" i="203"/>
  <c r="H54" i="203"/>
  <c r="H55" i="203"/>
  <c r="H56" i="203"/>
  <c r="H57" i="203"/>
  <c r="H58" i="203"/>
  <c r="H59" i="203"/>
  <c r="H60" i="203"/>
  <c r="H61" i="203"/>
  <c r="H62" i="203"/>
  <c r="H63" i="203"/>
  <c r="H64" i="203"/>
  <c r="H65" i="203"/>
  <c r="H69" i="203"/>
  <c r="H6" i="203"/>
  <c r="H11" i="201"/>
  <c r="H12" i="201"/>
  <c r="H13" i="201"/>
  <c r="H14" i="201"/>
  <c r="H15" i="201"/>
  <c r="H16" i="201"/>
  <c r="H17" i="201"/>
  <c r="H18" i="201"/>
  <c r="H19" i="201"/>
  <c r="H20" i="201"/>
  <c r="H21" i="201"/>
  <c r="H22" i="201"/>
  <c r="H23" i="201"/>
  <c r="H24" i="201"/>
  <c r="H25" i="201"/>
  <c r="H26" i="201"/>
  <c r="H27" i="201"/>
  <c r="H28" i="201"/>
  <c r="H29" i="201"/>
  <c r="H30" i="201"/>
  <c r="H31" i="201"/>
  <c r="H32" i="201"/>
  <c r="H33" i="201"/>
  <c r="H34" i="201"/>
  <c r="H35" i="201"/>
  <c r="H36" i="201"/>
  <c r="H37" i="201"/>
  <c r="H38" i="201"/>
  <c r="H39" i="201"/>
  <c r="H40" i="201"/>
  <c r="H10" i="201"/>
  <c r="I46" i="200"/>
  <c r="H10" i="199"/>
  <c r="H11" i="199"/>
  <c r="H12" i="199"/>
  <c r="H13" i="199"/>
  <c r="H14" i="199"/>
  <c r="H15" i="199"/>
  <c r="H16" i="199"/>
  <c r="H17" i="199"/>
  <c r="H18" i="199"/>
  <c r="H19" i="199"/>
  <c r="H20" i="199"/>
  <c r="H21" i="199"/>
  <c r="H22" i="199"/>
  <c r="H23" i="199"/>
  <c r="H24" i="199"/>
  <c r="H25" i="199"/>
  <c r="H26" i="199"/>
  <c r="H27" i="199"/>
  <c r="H28" i="199"/>
  <c r="H29" i="199"/>
  <c r="H30" i="199"/>
  <c r="H31" i="199"/>
  <c r="H32" i="199"/>
  <c r="H33" i="199"/>
  <c r="H34" i="199"/>
  <c r="H35" i="199"/>
  <c r="H36" i="199"/>
  <c r="H37" i="199"/>
  <c r="H38" i="199"/>
  <c r="H39" i="199"/>
  <c r="H40" i="199"/>
  <c r="H41" i="199"/>
  <c r="H42" i="199"/>
  <c r="H9" i="199"/>
  <c r="H57" i="199"/>
  <c r="H58" i="199"/>
  <c r="H59" i="199"/>
  <c r="H60" i="199"/>
  <c r="H61" i="199"/>
  <c r="H62" i="199"/>
  <c r="H63" i="199"/>
  <c r="H64" i="199"/>
  <c r="H65" i="199"/>
  <c r="H66" i="199"/>
  <c r="H67" i="199"/>
  <c r="H68" i="199"/>
  <c r="H69" i="199"/>
  <c r="H70" i="199"/>
  <c r="H71" i="199"/>
  <c r="H72" i="199"/>
  <c r="H73" i="199"/>
  <c r="H74" i="199"/>
  <c r="H75" i="199"/>
  <c r="H76" i="199"/>
  <c r="H77" i="199"/>
  <c r="H78" i="199"/>
  <c r="H79" i="199"/>
  <c r="H80" i="199"/>
  <c r="H81" i="199"/>
  <c r="H82" i="199"/>
  <c r="H83" i="199"/>
  <c r="H84" i="199"/>
  <c r="H85" i="199"/>
  <c r="H86" i="199"/>
  <c r="H87" i="199"/>
  <c r="H88" i="199"/>
  <c r="H89" i="199"/>
  <c r="H56" i="199"/>
  <c r="F77" i="312" l="1"/>
  <c r="J77" i="312" s="1"/>
  <c r="K77" i="312" s="1"/>
  <c r="AS79" i="102" s="1"/>
  <c r="AW79" i="102" s="1"/>
  <c r="AY79" i="102"/>
  <c r="F80" i="312"/>
  <c r="J80" i="312" s="1"/>
  <c r="K80" i="312" s="1"/>
  <c r="AS82" i="102" s="1"/>
  <c r="AW82" i="102" s="1"/>
  <c r="AY82" i="102"/>
  <c r="H90" i="199"/>
  <c r="I49" i="199" s="1"/>
  <c r="G154" i="195"/>
  <c r="G155" i="195"/>
  <c r="G156" i="195"/>
  <c r="G153" i="195"/>
  <c r="R37" i="195"/>
  <c r="R38" i="195"/>
  <c r="R39" i="195"/>
  <c r="R40" i="195"/>
  <c r="R41" i="195"/>
  <c r="R42" i="195"/>
  <c r="R43" i="195"/>
  <c r="R44" i="195"/>
  <c r="R45" i="195"/>
  <c r="R46" i="195"/>
  <c r="R47" i="195"/>
  <c r="R48" i="195"/>
  <c r="R49" i="195"/>
  <c r="R50" i="195"/>
  <c r="R51" i="195"/>
  <c r="R52" i="195"/>
  <c r="R53" i="195"/>
  <c r="R54" i="195"/>
  <c r="R55" i="195"/>
  <c r="I5" i="195" l="1"/>
  <c r="I6" i="195"/>
  <c r="I7" i="195"/>
  <c r="I8" i="195"/>
  <c r="I9" i="195"/>
  <c r="I10" i="195"/>
  <c r="I11" i="195"/>
  <c r="I12" i="195"/>
  <c r="I13" i="195"/>
  <c r="I14" i="195"/>
  <c r="I15" i="195"/>
  <c r="I16" i="195"/>
  <c r="I17" i="195"/>
  <c r="I18" i="195"/>
  <c r="I19" i="195"/>
  <c r="I20" i="195"/>
  <c r="I21" i="195"/>
  <c r="I22" i="195"/>
  <c r="I23" i="195"/>
  <c r="I24" i="195"/>
  <c r="I25" i="195"/>
  <c r="I26" i="195"/>
  <c r="I27" i="195"/>
  <c r="I28" i="195"/>
  <c r="I29" i="195"/>
  <c r="I30" i="195"/>
  <c r="I31" i="195"/>
  <c r="I32" i="195"/>
  <c r="I33" i="195"/>
  <c r="I34" i="195"/>
  <c r="I35" i="195"/>
  <c r="I36" i="195"/>
  <c r="I37" i="195"/>
  <c r="I38" i="195"/>
  <c r="I39" i="195"/>
  <c r="I40" i="195"/>
  <c r="I41" i="195"/>
  <c r="I42" i="195"/>
  <c r="I43" i="195"/>
  <c r="I44" i="195"/>
  <c r="I45" i="195"/>
  <c r="I46" i="195"/>
  <c r="I47" i="195"/>
  <c r="I48" i="195"/>
  <c r="I49" i="195"/>
  <c r="I50" i="195"/>
  <c r="I51" i="195"/>
  <c r="I52" i="195"/>
  <c r="I53" i="195"/>
  <c r="I54" i="195"/>
  <c r="I55" i="195"/>
  <c r="I56" i="195"/>
  <c r="I57" i="195"/>
  <c r="I58" i="195"/>
  <c r="I59" i="195"/>
  <c r="I60" i="195"/>
  <c r="I61" i="195"/>
  <c r="I62" i="195"/>
  <c r="I63" i="195"/>
  <c r="I64" i="195"/>
  <c r="I65" i="195"/>
  <c r="I66" i="195"/>
  <c r="I67" i="195"/>
  <c r="I68" i="195"/>
  <c r="I69" i="195"/>
  <c r="I70" i="195"/>
  <c r="I71" i="195"/>
  <c r="I72" i="195"/>
  <c r="I73" i="195"/>
  <c r="I74" i="195"/>
  <c r="I75" i="195"/>
  <c r="I76" i="195"/>
  <c r="I77" i="195"/>
  <c r="I78" i="195"/>
  <c r="I79" i="195"/>
  <c r="I80" i="195"/>
  <c r="I81" i="195"/>
  <c r="I82" i="195"/>
  <c r="I83" i="195"/>
  <c r="I84" i="195"/>
  <c r="I85" i="195"/>
  <c r="I86" i="195"/>
  <c r="I87" i="195"/>
  <c r="I88" i="195"/>
  <c r="I89" i="195"/>
  <c r="I90" i="195"/>
  <c r="I91" i="195"/>
  <c r="I92" i="195"/>
  <c r="I93" i="195"/>
  <c r="I94" i="195"/>
  <c r="I95" i="195"/>
  <c r="I96" i="195"/>
  <c r="I97" i="195"/>
  <c r="I98" i="195"/>
  <c r="I99" i="195"/>
  <c r="I100" i="195"/>
  <c r="I101" i="195"/>
  <c r="I102" i="195"/>
  <c r="I103" i="195"/>
  <c r="I104" i="195"/>
  <c r="I105" i="195"/>
  <c r="I106" i="195"/>
  <c r="I107" i="195"/>
  <c r="I108" i="195"/>
  <c r="I109" i="195"/>
  <c r="I110" i="195"/>
  <c r="I111" i="195"/>
  <c r="I112" i="195"/>
  <c r="I113" i="195"/>
  <c r="I114" i="195"/>
  <c r="I115" i="195"/>
  <c r="I116" i="195"/>
  <c r="I117" i="195"/>
  <c r="I118" i="195"/>
  <c r="I119" i="195"/>
  <c r="I120" i="195"/>
  <c r="I121" i="195"/>
  <c r="I122" i="195"/>
  <c r="I123" i="195"/>
  <c r="I124" i="195"/>
  <c r="I125" i="195"/>
  <c r="I126" i="195"/>
  <c r="I127" i="195"/>
  <c r="I128" i="195"/>
  <c r="I129" i="195"/>
  <c r="I130" i="195"/>
  <c r="I131" i="195"/>
  <c r="I132" i="195"/>
  <c r="I133" i="195"/>
  <c r="I134" i="195"/>
  <c r="I135" i="195"/>
  <c r="I136" i="195"/>
  <c r="I137" i="195"/>
  <c r="I138" i="195"/>
  <c r="I139" i="195"/>
  <c r="I140" i="195"/>
  <c r="I141" i="195"/>
  <c r="I142" i="195"/>
  <c r="I143" i="195"/>
  <c r="I4" i="195"/>
  <c r="F64" i="180"/>
  <c r="BF12" i="102" l="1"/>
  <c r="BF13" i="102"/>
  <c r="BF14" i="102"/>
  <c r="BF15" i="102"/>
  <c r="BF16" i="102"/>
  <c r="BF17" i="102"/>
  <c r="BF18" i="102"/>
  <c r="BF19" i="102"/>
  <c r="BF20" i="102"/>
  <c r="BF21" i="102"/>
  <c r="BF22" i="102"/>
  <c r="BF23" i="102"/>
  <c r="BG23" i="102" s="1"/>
  <c r="BF24" i="102"/>
  <c r="BF25" i="102"/>
  <c r="BF26" i="102"/>
  <c r="BF27" i="102"/>
  <c r="BF28" i="102"/>
  <c r="BF29" i="102"/>
  <c r="BF30" i="102"/>
  <c r="BF31" i="102"/>
  <c r="BF32" i="102"/>
  <c r="BF33" i="102"/>
  <c r="BF34" i="102"/>
  <c r="BF35" i="102"/>
  <c r="BF36" i="102"/>
  <c r="BF37" i="102"/>
  <c r="BF38" i="102"/>
  <c r="BF39" i="102"/>
  <c r="BF40" i="102"/>
  <c r="BF41" i="102"/>
  <c r="BF42" i="102"/>
  <c r="BF43" i="102"/>
  <c r="BF44" i="102"/>
  <c r="BF45" i="102"/>
  <c r="BF46" i="102"/>
  <c r="BF47" i="102"/>
  <c r="BF48" i="102"/>
  <c r="BF49" i="102"/>
  <c r="BF50" i="102"/>
  <c r="BF51" i="102"/>
  <c r="BF52" i="102"/>
  <c r="BF53" i="102"/>
  <c r="BF54" i="102"/>
  <c r="BF55" i="102"/>
  <c r="BF56" i="102"/>
  <c r="BF57" i="102"/>
  <c r="BG57" i="102" s="1"/>
  <c r="BF58" i="102"/>
  <c r="BF59" i="102"/>
  <c r="BF60" i="102"/>
  <c r="BF61" i="102"/>
  <c r="BF62" i="102"/>
  <c r="BF63" i="102"/>
  <c r="BF64" i="102"/>
  <c r="BF65" i="102"/>
  <c r="BF66" i="102"/>
  <c r="BF67" i="102"/>
  <c r="BF68" i="102"/>
  <c r="BF69" i="102"/>
  <c r="BF70" i="102"/>
  <c r="BF71" i="102"/>
  <c r="BF72" i="102"/>
  <c r="BF73" i="102"/>
  <c r="BF74" i="102"/>
  <c r="BF75" i="102"/>
  <c r="BF76" i="102"/>
  <c r="BF77" i="102"/>
  <c r="BF78" i="102"/>
  <c r="BF79" i="102"/>
  <c r="BG79" i="102" s="1"/>
  <c r="BF80" i="102"/>
  <c r="BF81" i="102"/>
  <c r="BF90" i="102"/>
  <c r="BF91" i="102"/>
  <c r="BF92" i="102"/>
  <c r="BF93" i="102"/>
  <c r="BF94" i="102"/>
  <c r="BF95" i="102"/>
  <c r="BF96" i="102"/>
  <c r="BF97" i="102"/>
  <c r="BF98" i="102"/>
  <c r="BF99" i="102"/>
  <c r="BF100" i="102"/>
  <c r="BF101" i="102"/>
  <c r="BF102" i="102"/>
  <c r="BF103" i="102"/>
  <c r="BF104" i="102"/>
  <c r="BF105" i="102"/>
  <c r="BF106" i="102"/>
  <c r="BF107" i="102"/>
  <c r="BF108" i="102"/>
  <c r="BF109" i="102"/>
  <c r="BF110" i="102"/>
  <c r="BF111" i="102"/>
  <c r="BF112" i="102"/>
  <c r="BF113" i="102"/>
  <c r="BF114" i="102"/>
  <c r="BF115" i="102"/>
  <c r="BF116" i="102"/>
  <c r="BF117" i="102"/>
  <c r="BF118" i="102"/>
  <c r="BF119" i="102"/>
  <c r="BF120" i="102"/>
  <c r="BF121" i="102"/>
  <c r="BF122" i="102"/>
  <c r="BF123" i="102"/>
  <c r="BF124" i="102"/>
  <c r="BF125" i="102"/>
  <c r="BF126" i="102"/>
  <c r="BF127" i="102"/>
  <c r="BF128" i="102"/>
  <c r="BF129" i="102"/>
  <c r="BF130" i="102"/>
  <c r="BF131" i="102"/>
  <c r="BF132" i="102"/>
  <c r="BF133" i="102"/>
  <c r="BF134" i="102"/>
  <c r="BF135" i="102"/>
  <c r="BF136" i="102"/>
  <c r="BF137" i="102"/>
  <c r="BF138" i="102"/>
  <c r="BF139" i="102"/>
  <c r="BF140" i="102"/>
  <c r="BF141" i="102"/>
  <c r="BF142" i="102"/>
  <c r="BF143" i="102"/>
  <c r="BF144" i="102"/>
  <c r="BF145" i="102"/>
  <c r="BF146" i="102"/>
  <c r="BF147" i="102"/>
  <c r="BF148" i="102"/>
  <c r="BF149" i="102"/>
  <c r="BF150" i="102"/>
  <c r="BF11" i="102"/>
  <c r="N89" i="188"/>
  <c r="BF89" i="102" l="1"/>
  <c r="M61" i="180"/>
  <c r="N61" i="180"/>
  <c r="O61" i="180"/>
  <c r="Q61" i="180"/>
  <c r="R61" i="180"/>
  <c r="S61" i="180"/>
  <c r="T61" i="180"/>
  <c r="U61" i="180"/>
  <c r="V61" i="180"/>
  <c r="W61" i="180"/>
  <c r="X61" i="180"/>
  <c r="Y61" i="180"/>
  <c r="AA61" i="180"/>
  <c r="M57" i="180" l="1"/>
  <c r="N57" i="180"/>
  <c r="O57" i="180"/>
  <c r="Q57" i="180"/>
  <c r="R57" i="180"/>
  <c r="S57" i="180"/>
  <c r="T57" i="180"/>
  <c r="U57" i="180"/>
  <c r="V57" i="180"/>
  <c r="W57" i="180"/>
  <c r="X57" i="180"/>
  <c r="Y57" i="180"/>
  <c r="AA57" i="180"/>
  <c r="F23" i="194" l="1"/>
  <c r="AG20" i="194"/>
  <c r="AL18" i="194"/>
  <c r="AF18" i="194"/>
  <c r="AF21" i="194" s="1"/>
  <c r="AE18" i="194"/>
  <c r="AE21" i="194" s="1"/>
  <c r="AD18" i="194"/>
  <c r="AD20" i="194" s="1"/>
  <c r="AO17" i="194"/>
  <c r="AN17" i="194"/>
  <c r="AC17" i="194"/>
  <c r="AB17" i="194"/>
  <c r="AA17" i="194"/>
  <c r="Z17" i="194"/>
  <c r="Y17" i="194"/>
  <c r="X17" i="194"/>
  <c r="W17" i="194"/>
  <c r="V17" i="194"/>
  <c r="U17" i="194"/>
  <c r="T17" i="194"/>
  <c r="S17" i="194"/>
  <c r="R17" i="194"/>
  <c r="Q17" i="194"/>
  <c r="P17" i="194"/>
  <c r="O17" i="194"/>
  <c r="N17" i="194"/>
  <c r="M17" i="194"/>
  <c r="L17" i="194"/>
  <c r="K17" i="194"/>
  <c r="J17" i="194"/>
  <c r="I17" i="194"/>
  <c r="H17" i="194"/>
  <c r="G17" i="194"/>
  <c r="F17" i="194"/>
  <c r="E17" i="194"/>
  <c r="D17" i="194"/>
  <c r="C17" i="194"/>
  <c r="C31" i="194" s="1"/>
  <c r="AO16" i="194"/>
  <c r="AN16" i="194"/>
  <c r="AC16" i="194"/>
  <c r="AB16" i="194"/>
  <c r="AA16" i="194"/>
  <c r="Z16" i="194"/>
  <c r="Y16" i="194"/>
  <c r="X16" i="194"/>
  <c r="W16" i="194"/>
  <c r="V16" i="194"/>
  <c r="U16" i="194"/>
  <c r="T16" i="194"/>
  <c r="S16" i="194"/>
  <c r="R16" i="194"/>
  <c r="Q16" i="194"/>
  <c r="P16" i="194"/>
  <c r="O16" i="194"/>
  <c r="N16" i="194"/>
  <c r="M16" i="194"/>
  <c r="L16" i="194"/>
  <c r="K16" i="194"/>
  <c r="J16" i="194"/>
  <c r="I16" i="194"/>
  <c r="H16" i="194"/>
  <c r="G16" i="194"/>
  <c r="F16" i="194"/>
  <c r="E16" i="194"/>
  <c r="D16" i="194"/>
  <c r="C16" i="194"/>
  <c r="AM16" i="194" s="1"/>
  <c r="AO15" i="194"/>
  <c r="AN15" i="194"/>
  <c r="AC15" i="194"/>
  <c r="AB15" i="194"/>
  <c r="AA15" i="194"/>
  <c r="Z15" i="194"/>
  <c r="Y15" i="194"/>
  <c r="X15" i="194"/>
  <c r="W15" i="194"/>
  <c r="V15" i="194"/>
  <c r="U15" i="194"/>
  <c r="T15" i="194"/>
  <c r="S15" i="194"/>
  <c r="R15" i="194"/>
  <c r="Q15" i="194"/>
  <c r="P15" i="194"/>
  <c r="O15" i="194"/>
  <c r="N15" i="194"/>
  <c r="M15" i="194"/>
  <c r="L15" i="194"/>
  <c r="K15" i="194"/>
  <c r="J15" i="194"/>
  <c r="I15" i="194"/>
  <c r="H15" i="194"/>
  <c r="G15" i="194"/>
  <c r="F15" i="194"/>
  <c r="E15" i="194"/>
  <c r="D15" i="194"/>
  <c r="C15" i="194"/>
  <c r="C29" i="194" s="1"/>
  <c r="AO14" i="194"/>
  <c r="AN14" i="194"/>
  <c r="AC14" i="194"/>
  <c r="AB14" i="194"/>
  <c r="AA14" i="194"/>
  <c r="Z14" i="194"/>
  <c r="Y14" i="194"/>
  <c r="X14" i="194"/>
  <c r="W14" i="194"/>
  <c r="V14" i="194"/>
  <c r="U14" i="194"/>
  <c r="T14" i="194"/>
  <c r="S14" i="194"/>
  <c r="R14" i="194"/>
  <c r="Q14" i="194"/>
  <c r="P14" i="194"/>
  <c r="O14" i="194"/>
  <c r="N14" i="194"/>
  <c r="M14" i="194"/>
  <c r="L14" i="194"/>
  <c r="K14" i="194"/>
  <c r="J14" i="194"/>
  <c r="I14" i="194"/>
  <c r="H14" i="194"/>
  <c r="G14" i="194"/>
  <c r="F14" i="194"/>
  <c r="E14" i="194"/>
  <c r="D14" i="194"/>
  <c r="C14" i="194"/>
  <c r="AM14" i="194" s="1"/>
  <c r="AO13" i="194"/>
  <c r="AN13" i="194"/>
  <c r="AC13" i="194"/>
  <c r="AB13" i="194"/>
  <c r="AA13" i="194"/>
  <c r="Z13" i="194"/>
  <c r="Y13" i="194"/>
  <c r="X13" i="194"/>
  <c r="W13" i="194"/>
  <c r="V13" i="194"/>
  <c r="U13" i="194"/>
  <c r="T13" i="194"/>
  <c r="S13" i="194"/>
  <c r="R13" i="194"/>
  <c r="Q13" i="194"/>
  <c r="P13" i="194"/>
  <c r="O13" i="194"/>
  <c r="N13" i="194"/>
  <c r="M13" i="194"/>
  <c r="L13" i="194"/>
  <c r="K13" i="194"/>
  <c r="J13" i="194"/>
  <c r="I13" i="194"/>
  <c r="H13" i="194"/>
  <c r="G13" i="194"/>
  <c r="F13" i="194"/>
  <c r="E13" i="194"/>
  <c r="D13" i="194"/>
  <c r="C13" i="194"/>
  <c r="C27" i="194" s="1"/>
  <c r="AO12" i="194"/>
  <c r="AN12" i="194"/>
  <c r="AC12" i="194"/>
  <c r="AB12" i="194"/>
  <c r="AA12" i="194"/>
  <c r="Z12" i="194"/>
  <c r="Y12" i="194"/>
  <c r="X12" i="194"/>
  <c r="W12" i="194"/>
  <c r="V12" i="194"/>
  <c r="U12" i="194"/>
  <c r="T12" i="194"/>
  <c r="S12" i="194"/>
  <c r="R12" i="194"/>
  <c r="Q12" i="194"/>
  <c r="P12" i="194"/>
  <c r="O12" i="194"/>
  <c r="N12" i="194"/>
  <c r="M12" i="194"/>
  <c r="L12" i="194"/>
  <c r="K12" i="194"/>
  <c r="J12" i="194"/>
  <c r="I12" i="194"/>
  <c r="H12" i="194"/>
  <c r="G12" i="194"/>
  <c r="F12" i="194"/>
  <c r="E12" i="194"/>
  <c r="D12" i="194"/>
  <c r="C12" i="194"/>
  <c r="AM12" i="194" s="1"/>
  <c r="AO11" i="194"/>
  <c r="AN11" i="194"/>
  <c r="AC11" i="194"/>
  <c r="AB11" i="194"/>
  <c r="AA11" i="194"/>
  <c r="Z11" i="194"/>
  <c r="Y11" i="194"/>
  <c r="X11" i="194"/>
  <c r="W11" i="194"/>
  <c r="V11" i="194"/>
  <c r="U11" i="194"/>
  <c r="T11" i="194"/>
  <c r="S11" i="194"/>
  <c r="R11" i="194"/>
  <c r="Q11" i="194"/>
  <c r="P11" i="194"/>
  <c r="O11" i="194"/>
  <c r="N11" i="194"/>
  <c r="M11" i="194"/>
  <c r="L11" i="194"/>
  <c r="K11" i="194"/>
  <c r="J11" i="194"/>
  <c r="I11" i="194"/>
  <c r="H11" i="194"/>
  <c r="G11" i="194"/>
  <c r="F11" i="194"/>
  <c r="E11" i="194"/>
  <c r="D11" i="194"/>
  <c r="C11" i="194"/>
  <c r="C25" i="194" s="1"/>
  <c r="AO10" i="194"/>
  <c r="AN10" i="194"/>
  <c r="AC10" i="194"/>
  <c r="AB10" i="194"/>
  <c r="AA10" i="194"/>
  <c r="Z10" i="194"/>
  <c r="Y10" i="194"/>
  <c r="X10" i="194"/>
  <c r="W10" i="194"/>
  <c r="V10" i="194"/>
  <c r="U10" i="194"/>
  <c r="T10" i="194"/>
  <c r="S10" i="194"/>
  <c r="R10" i="194"/>
  <c r="Q10" i="194"/>
  <c r="P10" i="194"/>
  <c r="O10" i="194"/>
  <c r="N10" i="194"/>
  <c r="M10" i="194"/>
  <c r="L10" i="194"/>
  <c r="K10" i="194"/>
  <c r="J10" i="194"/>
  <c r="I10" i="194"/>
  <c r="H10" i="194"/>
  <c r="G10" i="194"/>
  <c r="F10" i="194"/>
  <c r="E10" i="194"/>
  <c r="D10" i="194"/>
  <c r="C10" i="194"/>
  <c r="AM10" i="194" s="1"/>
  <c r="AO9" i="194"/>
  <c r="AN9" i="194"/>
  <c r="AC9" i="194"/>
  <c r="AB9" i="194"/>
  <c r="AA9" i="194"/>
  <c r="Z9" i="194"/>
  <c r="Y9" i="194"/>
  <c r="X9" i="194"/>
  <c r="W9" i="194"/>
  <c r="V9" i="194"/>
  <c r="U9" i="194"/>
  <c r="T9" i="194"/>
  <c r="S9" i="194"/>
  <c r="R9" i="194"/>
  <c r="Q9" i="194"/>
  <c r="P9" i="194"/>
  <c r="O9" i="194"/>
  <c r="N9" i="194"/>
  <c r="M9" i="194"/>
  <c r="L9" i="194"/>
  <c r="K9" i="194"/>
  <c r="J9" i="194"/>
  <c r="I9" i="194"/>
  <c r="H9" i="194"/>
  <c r="G9" i="194"/>
  <c r="F9" i="194"/>
  <c r="E9" i="194"/>
  <c r="D9" i="194"/>
  <c r="C9" i="194"/>
  <c r="AM9" i="194" s="1"/>
  <c r="AO8" i="194"/>
  <c r="AN8" i="194"/>
  <c r="AC8" i="194"/>
  <c r="AB8" i="194"/>
  <c r="AA8" i="194"/>
  <c r="Z8" i="194"/>
  <c r="Y8" i="194"/>
  <c r="X8" i="194"/>
  <c r="W8" i="194"/>
  <c r="V8" i="194"/>
  <c r="U8" i="194"/>
  <c r="T8" i="194"/>
  <c r="S8" i="194"/>
  <c r="R8" i="194"/>
  <c r="Q8" i="194"/>
  <c r="P8" i="194"/>
  <c r="O8" i="194"/>
  <c r="N8" i="194"/>
  <c r="M8" i="194"/>
  <c r="L8" i="194"/>
  <c r="K8" i="194"/>
  <c r="J8" i="194"/>
  <c r="I8" i="194"/>
  <c r="H8" i="194"/>
  <c r="G8" i="194"/>
  <c r="F8" i="194"/>
  <c r="E8" i="194"/>
  <c r="D8" i="194"/>
  <c r="C8" i="194"/>
  <c r="C22" i="194" s="1"/>
  <c r="AO7" i="194"/>
  <c r="AO18" i="194" s="1"/>
  <c r="AN7" i="194"/>
  <c r="AN18" i="194" s="1"/>
  <c r="AC7" i="194"/>
  <c r="AC18" i="194" s="1"/>
  <c r="AB7" i="194"/>
  <c r="AB18" i="194" s="1"/>
  <c r="AA7" i="194"/>
  <c r="AA18" i="194" s="1"/>
  <c r="Z7" i="194"/>
  <c r="Z18" i="194" s="1"/>
  <c r="Y7" i="194"/>
  <c r="Y18" i="194" s="1"/>
  <c r="X7" i="194"/>
  <c r="X18" i="194" s="1"/>
  <c r="W7" i="194"/>
  <c r="W18" i="194" s="1"/>
  <c r="V7" i="194"/>
  <c r="V18" i="194" s="1"/>
  <c r="U7" i="194"/>
  <c r="U18" i="194" s="1"/>
  <c r="T7" i="194"/>
  <c r="T18" i="194" s="1"/>
  <c r="S7" i="194"/>
  <c r="S18" i="194" s="1"/>
  <c r="R7" i="194"/>
  <c r="R18" i="194" s="1"/>
  <c r="Q7" i="194"/>
  <c r="Q18" i="194" s="1"/>
  <c r="P7" i="194"/>
  <c r="P18" i="194" s="1"/>
  <c r="O7" i="194"/>
  <c r="O18" i="194" s="1"/>
  <c r="N7" i="194"/>
  <c r="N18" i="194" s="1"/>
  <c r="M7" i="194"/>
  <c r="M18" i="194" s="1"/>
  <c r="L7" i="194"/>
  <c r="L18" i="194" s="1"/>
  <c r="K7" i="194"/>
  <c r="K18" i="194" s="1"/>
  <c r="J7" i="194"/>
  <c r="J18" i="194" s="1"/>
  <c r="I7" i="194"/>
  <c r="I18" i="194" s="1"/>
  <c r="H7" i="194"/>
  <c r="G7" i="194"/>
  <c r="G18" i="194" s="1"/>
  <c r="F7" i="194"/>
  <c r="F18" i="194" s="1"/>
  <c r="F20" i="194" s="1"/>
  <c r="E7" i="194"/>
  <c r="E18" i="194" s="1"/>
  <c r="E20" i="194" s="1"/>
  <c r="D7" i="194"/>
  <c r="D18" i="194" s="1"/>
  <c r="C7" i="194"/>
  <c r="C21" i="194" s="1"/>
  <c r="AP10" i="194" l="1"/>
  <c r="AQ7" i="194"/>
  <c r="AQ15" i="194"/>
  <c r="AQ8" i="194"/>
  <c r="AP16" i="194"/>
  <c r="AQ13" i="194"/>
  <c r="AP14" i="194"/>
  <c r="AP12" i="194"/>
  <c r="AP9" i="194"/>
  <c r="AQ17" i="194"/>
  <c r="AQ11" i="194"/>
  <c r="AE20" i="194"/>
  <c r="J20" i="194"/>
  <c r="J21" i="194"/>
  <c r="N20" i="194"/>
  <c r="N21" i="194"/>
  <c r="R20" i="194"/>
  <c r="R21" i="194"/>
  <c r="V20" i="194"/>
  <c r="V21" i="194"/>
  <c r="Z20" i="194"/>
  <c r="Z21" i="194"/>
  <c r="G20" i="194"/>
  <c r="G21" i="194"/>
  <c r="K20" i="194"/>
  <c r="K21" i="194"/>
  <c r="O20" i="194"/>
  <c r="O21" i="194"/>
  <c r="S20" i="194"/>
  <c r="S21" i="194"/>
  <c r="W20" i="194"/>
  <c r="W21" i="194"/>
  <c r="AA20" i="194"/>
  <c r="AA21" i="194"/>
  <c r="L21" i="194"/>
  <c r="L20" i="194"/>
  <c r="P21" i="194"/>
  <c r="P20" i="194"/>
  <c r="T21" i="194"/>
  <c r="T20" i="194"/>
  <c r="X21" i="194"/>
  <c r="X20" i="194"/>
  <c r="AB21" i="194"/>
  <c r="AB20" i="194"/>
  <c r="I21" i="194"/>
  <c r="I20" i="194"/>
  <c r="M21" i="194"/>
  <c r="M20" i="194"/>
  <c r="Q21" i="194"/>
  <c r="Q20" i="194"/>
  <c r="U21" i="194"/>
  <c r="U20" i="194"/>
  <c r="Y21" i="194"/>
  <c r="Y20" i="194"/>
  <c r="AC21" i="194"/>
  <c r="AC20" i="194"/>
  <c r="C18" i="194"/>
  <c r="D32" i="194" s="1"/>
  <c r="L24" i="194" s="1"/>
  <c r="AF20" i="194"/>
  <c r="D21" i="194"/>
  <c r="AR7" i="194" s="1"/>
  <c r="AD21" i="194"/>
  <c r="D22" i="194"/>
  <c r="AR8" i="194" s="1"/>
  <c r="C24" i="194"/>
  <c r="AQ10" i="194" s="1"/>
  <c r="D25" i="194"/>
  <c r="AR11" i="194" s="1"/>
  <c r="D27" i="194"/>
  <c r="AR13" i="194" s="1"/>
  <c r="D29" i="194"/>
  <c r="AR15" i="194" s="1"/>
  <c r="D31" i="194"/>
  <c r="AR17" i="194" s="1"/>
  <c r="H18" i="194"/>
  <c r="C23" i="194"/>
  <c r="D24" i="194"/>
  <c r="AR10" i="194" s="1"/>
  <c r="C26" i="194"/>
  <c r="AQ12" i="194" s="1"/>
  <c r="C28" i="194"/>
  <c r="AQ14" i="194" s="1"/>
  <c r="C30" i="194"/>
  <c r="AQ16" i="194" s="1"/>
  <c r="D23" i="194"/>
  <c r="AR9" i="194" s="1"/>
  <c r="D26" i="194"/>
  <c r="AR12" i="194" s="1"/>
  <c r="D28" i="194"/>
  <c r="AR14" i="194" s="1"/>
  <c r="D30" i="194"/>
  <c r="AR16" i="194" s="1"/>
  <c r="AM7" i="194"/>
  <c r="AM8" i="194"/>
  <c r="AP8" i="194" s="1"/>
  <c r="AM11" i="194"/>
  <c r="AP11" i="194" s="1"/>
  <c r="AM13" i="194"/>
  <c r="AP13" i="194" s="1"/>
  <c r="AM15" i="194"/>
  <c r="AP15" i="194" s="1"/>
  <c r="AM17" i="194"/>
  <c r="AP17" i="194" s="1"/>
  <c r="AR18" i="194" l="1"/>
  <c r="C32" i="194"/>
  <c r="F34" i="194" s="1"/>
  <c r="AQ9" i="194"/>
  <c r="AQ18" i="194"/>
  <c r="H21" i="194"/>
  <c r="H20" i="194"/>
  <c r="AM18" i="194"/>
  <c r="AP7" i="194"/>
  <c r="AP18" i="194" s="1"/>
  <c r="C31" i="193" l="1"/>
  <c r="AH15" i="193"/>
  <c r="AH14" i="193"/>
  <c r="AH13" i="193"/>
  <c r="C27" i="193"/>
  <c r="AH11" i="193"/>
  <c r="AH10" i="193"/>
  <c r="AH9" i="193"/>
  <c r="C23" i="193"/>
  <c r="AH7" i="193"/>
  <c r="AG17" i="193"/>
  <c r="AF17" i="193"/>
  <c r="AE17" i="193"/>
  <c r="AD17" i="193"/>
  <c r="AC17" i="193"/>
  <c r="AB17" i="193"/>
  <c r="AA17" i="193"/>
  <c r="Z17" i="193"/>
  <c r="Y17" i="193"/>
  <c r="X17" i="193"/>
  <c r="W17" i="193"/>
  <c r="V17" i="193"/>
  <c r="U17" i="193"/>
  <c r="T17" i="193"/>
  <c r="S17" i="193"/>
  <c r="R17" i="193"/>
  <c r="Q17" i="193"/>
  <c r="P17" i="193"/>
  <c r="O17" i="193"/>
  <c r="N17" i="193"/>
  <c r="M17" i="193"/>
  <c r="L17" i="193"/>
  <c r="K17" i="193"/>
  <c r="J17" i="193"/>
  <c r="I17" i="193"/>
  <c r="H17" i="193"/>
  <c r="G17" i="193"/>
  <c r="F17" i="193"/>
  <c r="E17" i="193"/>
  <c r="D17" i="193"/>
  <c r="AH6" i="193"/>
  <c r="C17" i="193" l="1"/>
  <c r="C24" i="193"/>
  <c r="C28" i="193"/>
  <c r="C21" i="193"/>
  <c r="C25" i="193"/>
  <c r="C29" i="193"/>
  <c r="C22" i="193"/>
  <c r="C26" i="193"/>
  <c r="C30" i="193"/>
  <c r="AH8" i="193"/>
  <c r="AH12" i="193"/>
  <c r="AH16" i="193"/>
  <c r="BK43" i="192"/>
  <c r="BJ43" i="192"/>
  <c r="BF43" i="192"/>
  <c r="BE43" i="192"/>
  <c r="BD43" i="192"/>
  <c r="BH42" i="192"/>
  <c r="AQ42" i="192"/>
  <c r="AY43" i="192" s="1"/>
  <c r="AO42" i="192"/>
  <c r="AJ42" i="192"/>
  <c r="AI42" i="192"/>
  <c r="AG42" i="192"/>
  <c r="AF42" i="192"/>
  <c r="AE42" i="192"/>
  <c r="AD42" i="192"/>
  <c r="AC42" i="192"/>
  <c r="AB42" i="192"/>
  <c r="AA42" i="192"/>
  <c r="Z42" i="192"/>
  <c r="Y42" i="192"/>
  <c r="X42" i="192"/>
  <c r="W42" i="192"/>
  <c r="V42" i="192"/>
  <c r="U42" i="192"/>
  <c r="T42" i="192"/>
  <c r="S42" i="192"/>
  <c r="R42" i="192"/>
  <c r="Q42" i="192"/>
  <c r="P42" i="192"/>
  <c r="O42" i="192"/>
  <c r="N42" i="192"/>
  <c r="M42" i="192"/>
  <c r="L42" i="192"/>
  <c r="K42" i="192"/>
  <c r="J42" i="192"/>
  <c r="I42" i="192"/>
  <c r="H42" i="192"/>
  <c r="G42" i="192"/>
  <c r="F42" i="192"/>
  <c r="E42" i="192"/>
  <c r="D42" i="192"/>
  <c r="C42" i="192"/>
  <c r="BH41" i="192"/>
  <c r="AU41" i="192"/>
  <c r="AT41" i="192"/>
  <c r="AR41" i="192"/>
  <c r="AV41" i="192" s="1"/>
  <c r="AP41" i="192"/>
  <c r="AM41" i="192"/>
  <c r="AN41" i="192" s="1"/>
  <c r="AL41" i="192"/>
  <c r="AH41" i="192"/>
  <c r="AS41" i="192" s="1"/>
  <c r="BH40" i="192"/>
  <c r="AU40" i="192"/>
  <c r="AT40" i="192"/>
  <c r="AR40" i="192"/>
  <c r="AV40" i="192" s="1"/>
  <c r="AP40" i="192"/>
  <c r="AM40" i="192"/>
  <c r="AN40" i="192" s="1"/>
  <c r="AL40" i="192"/>
  <c r="AH40" i="192"/>
  <c r="BH39" i="192"/>
  <c r="BA39" i="192"/>
  <c r="AY39" i="192"/>
  <c r="AU39" i="192"/>
  <c r="AT39" i="192"/>
  <c r="AR39" i="192"/>
  <c r="AV39" i="192" s="1"/>
  <c r="AP39" i="192"/>
  <c r="AX39" i="192" s="1"/>
  <c r="AM39" i="192"/>
  <c r="AN39" i="192" s="1"/>
  <c r="AL39" i="192"/>
  <c r="AH39" i="192"/>
  <c r="AK39" i="192" s="1"/>
  <c r="BH38" i="192"/>
  <c r="BA38" i="192"/>
  <c r="AY38" i="192"/>
  <c r="AU38" i="192"/>
  <c r="AT38" i="192"/>
  <c r="AR38" i="192"/>
  <c r="AZ38" i="192" s="1"/>
  <c r="AP38" i="192"/>
  <c r="AX38" i="192" s="1"/>
  <c r="AM38" i="192"/>
  <c r="AN38" i="192" s="1"/>
  <c r="AL38" i="192"/>
  <c r="AH38" i="192"/>
  <c r="BH37" i="192"/>
  <c r="BA37" i="192"/>
  <c r="AY37" i="192"/>
  <c r="AU37" i="192"/>
  <c r="AT37" i="192"/>
  <c r="AR37" i="192"/>
  <c r="AV37" i="192" s="1"/>
  <c r="AP37" i="192"/>
  <c r="AX37" i="192" s="1"/>
  <c r="AM37" i="192"/>
  <c r="AN37" i="192" s="1"/>
  <c r="AL37" i="192"/>
  <c r="AH37" i="192"/>
  <c r="AS37" i="192" s="1"/>
  <c r="BH36" i="192"/>
  <c r="BA36" i="192"/>
  <c r="AY36" i="192"/>
  <c r="AU36" i="192"/>
  <c r="AT36" i="192"/>
  <c r="AR36" i="192"/>
  <c r="AV36" i="192" s="1"/>
  <c r="AP36" i="192"/>
  <c r="AX36" i="192" s="1"/>
  <c r="AM36" i="192"/>
  <c r="AN36" i="192" s="1"/>
  <c r="AL36" i="192"/>
  <c r="AH36" i="192"/>
  <c r="BH35" i="192"/>
  <c r="BA35" i="192"/>
  <c r="AY35" i="192"/>
  <c r="AU35" i="192"/>
  <c r="AT35" i="192"/>
  <c r="AR35" i="192"/>
  <c r="AV35" i="192" s="1"/>
  <c r="AP35" i="192"/>
  <c r="AX35" i="192" s="1"/>
  <c r="AM35" i="192"/>
  <c r="AN35" i="192" s="1"/>
  <c r="AL35" i="192"/>
  <c r="AH35" i="192"/>
  <c r="AS35" i="192" s="1"/>
  <c r="BH34" i="192"/>
  <c r="BA34" i="192"/>
  <c r="AY34" i="192"/>
  <c r="AU34" i="192"/>
  <c r="AT34" i="192"/>
  <c r="AR34" i="192"/>
  <c r="AV34" i="192" s="1"/>
  <c r="AP34" i="192"/>
  <c r="AX34" i="192" s="1"/>
  <c r="AM34" i="192"/>
  <c r="AN34" i="192" s="1"/>
  <c r="AL34" i="192"/>
  <c r="AH34" i="192"/>
  <c r="AS34" i="192" s="1"/>
  <c r="BH33" i="192"/>
  <c r="BA33" i="192"/>
  <c r="AY33" i="192"/>
  <c r="AU33" i="192"/>
  <c r="AT33" i="192"/>
  <c r="AR33" i="192"/>
  <c r="AV33" i="192" s="1"/>
  <c r="AP33" i="192"/>
  <c r="AX33" i="192" s="1"/>
  <c r="AM33" i="192"/>
  <c r="AN33" i="192" s="1"/>
  <c r="AL33" i="192"/>
  <c r="AH33" i="192"/>
  <c r="BH32" i="192"/>
  <c r="BA32" i="192"/>
  <c r="AY32" i="192"/>
  <c r="AU32" i="192"/>
  <c r="AT32" i="192"/>
  <c r="AR32" i="192"/>
  <c r="AV32" i="192" s="1"/>
  <c r="AP32" i="192"/>
  <c r="AX32" i="192" s="1"/>
  <c r="AM32" i="192"/>
  <c r="AN32" i="192" s="1"/>
  <c r="AL32" i="192"/>
  <c r="AH32" i="192"/>
  <c r="AE64" i="192" s="1"/>
  <c r="AU31" i="192"/>
  <c r="AT31" i="192"/>
  <c r="AR31" i="192"/>
  <c r="AP31" i="192"/>
  <c r="AM31" i="192"/>
  <c r="AN31" i="192" s="1"/>
  <c r="AL31" i="192"/>
  <c r="AH31" i="192"/>
  <c r="A28" i="192"/>
  <c r="BK26" i="192"/>
  <c r="BJ26" i="192"/>
  <c r="BH26" i="192"/>
  <c r="BG26" i="192"/>
  <c r="BF26" i="192"/>
  <c r="BE26" i="192"/>
  <c r="BI25" i="192"/>
  <c r="AT25" i="192"/>
  <c r="AQ25" i="192"/>
  <c r="AY26" i="192" s="1"/>
  <c r="AO25" i="192"/>
  <c r="AJ25" i="192"/>
  <c r="AI25" i="192"/>
  <c r="AG25" i="192"/>
  <c r="AF25" i="192"/>
  <c r="AE25" i="192"/>
  <c r="AD25" i="192"/>
  <c r="AC25" i="192"/>
  <c r="AB25" i="192"/>
  <c r="AA25" i="192"/>
  <c r="Z25" i="192"/>
  <c r="Y25" i="192"/>
  <c r="X25" i="192"/>
  <c r="W25" i="192"/>
  <c r="V25" i="192"/>
  <c r="U25" i="192"/>
  <c r="T25" i="192"/>
  <c r="S25" i="192"/>
  <c r="R25" i="192"/>
  <c r="Q25" i="192"/>
  <c r="P25" i="192"/>
  <c r="O25" i="192"/>
  <c r="N25" i="192"/>
  <c r="M25" i="192"/>
  <c r="L25" i="192"/>
  <c r="K25" i="192"/>
  <c r="J25" i="192"/>
  <c r="I25" i="192"/>
  <c r="H25" i="192"/>
  <c r="G25" i="192"/>
  <c r="F25" i="192"/>
  <c r="E25" i="192"/>
  <c r="D25" i="192"/>
  <c r="C25" i="192"/>
  <c r="BL24" i="192"/>
  <c r="BI24" i="192"/>
  <c r="AU24" i="192"/>
  <c r="AR24" i="192"/>
  <c r="AV24" i="192" s="1"/>
  <c r="AP24" i="192"/>
  <c r="AM24" i="192"/>
  <c r="AN24" i="192" s="1"/>
  <c r="AL24" i="192"/>
  <c r="AH24" i="192"/>
  <c r="AK24" i="192" s="1"/>
  <c r="BL23" i="192"/>
  <c r="BI23" i="192"/>
  <c r="AU23" i="192"/>
  <c r="AR23" i="192"/>
  <c r="AV23" i="192" s="1"/>
  <c r="AP23" i="192"/>
  <c r="AM23" i="192"/>
  <c r="AN23" i="192" s="1"/>
  <c r="AL23" i="192"/>
  <c r="AH23" i="192"/>
  <c r="AK23" i="192" s="1"/>
  <c r="BL22" i="192"/>
  <c r="BI22" i="192"/>
  <c r="BA22" i="192"/>
  <c r="AY22" i="192"/>
  <c r="AU22" i="192"/>
  <c r="AR22" i="192"/>
  <c r="AV22" i="192" s="1"/>
  <c r="BC22" i="192" s="1"/>
  <c r="AP22" i="192"/>
  <c r="AX22" i="192" s="1"/>
  <c r="AM22" i="192"/>
  <c r="AN22" i="192" s="1"/>
  <c r="AL22" i="192"/>
  <c r="AH22" i="192"/>
  <c r="AA55" i="192" s="1"/>
  <c r="BL21" i="192"/>
  <c r="BI21" i="192"/>
  <c r="BA21" i="192"/>
  <c r="AY21" i="192"/>
  <c r="AU21" i="192"/>
  <c r="AR21" i="192"/>
  <c r="AV21" i="192" s="1"/>
  <c r="BC21" i="192" s="1"/>
  <c r="AP21" i="192"/>
  <c r="AX21" i="192" s="1"/>
  <c r="AM21" i="192"/>
  <c r="AN21" i="192" s="1"/>
  <c r="AL21" i="192"/>
  <c r="AH21" i="192"/>
  <c r="BL20" i="192"/>
  <c r="BI20" i="192"/>
  <c r="BA20" i="192"/>
  <c r="AY20" i="192"/>
  <c r="AU20" i="192"/>
  <c r="AR20" i="192"/>
  <c r="AV20" i="192" s="1"/>
  <c r="BC20" i="192" s="1"/>
  <c r="AP20" i="192"/>
  <c r="AX20" i="192" s="1"/>
  <c r="AM20" i="192"/>
  <c r="AN20" i="192" s="1"/>
  <c r="AL20" i="192"/>
  <c r="AH20" i="192"/>
  <c r="AA53" i="192" s="1"/>
  <c r="BL19" i="192"/>
  <c r="BI19" i="192"/>
  <c r="BA19" i="192"/>
  <c r="AY19" i="192"/>
  <c r="AU19" i="192"/>
  <c r="AR19" i="192"/>
  <c r="AZ19" i="192" s="1"/>
  <c r="AP19" i="192"/>
  <c r="AX19" i="192" s="1"/>
  <c r="AM19" i="192"/>
  <c r="AN19" i="192" s="1"/>
  <c r="AL19" i="192"/>
  <c r="AH19" i="192"/>
  <c r="AK19" i="192" s="1"/>
  <c r="BL18" i="192"/>
  <c r="BI18" i="192"/>
  <c r="BA18" i="192"/>
  <c r="AY18" i="192"/>
  <c r="AU18" i="192"/>
  <c r="AR18" i="192"/>
  <c r="AV18" i="192" s="1"/>
  <c r="BC18" i="192" s="1"/>
  <c r="AP18" i="192"/>
  <c r="AX18" i="192" s="1"/>
  <c r="AM18" i="192"/>
  <c r="AN18" i="192" s="1"/>
  <c r="AL18" i="192"/>
  <c r="AH18" i="192"/>
  <c r="C51" i="192" s="1"/>
  <c r="BL17" i="192"/>
  <c r="BI17" i="192"/>
  <c r="BA17" i="192"/>
  <c r="AY17" i="192"/>
  <c r="AU17" i="192"/>
  <c r="AR17" i="192"/>
  <c r="AZ17" i="192" s="1"/>
  <c r="AP17" i="192"/>
  <c r="AX17" i="192" s="1"/>
  <c r="AM17" i="192"/>
  <c r="AN17" i="192" s="1"/>
  <c r="AL17" i="192"/>
  <c r="AH17" i="192"/>
  <c r="BL16" i="192"/>
  <c r="BI16" i="192"/>
  <c r="BA16" i="192"/>
  <c r="AY16" i="192"/>
  <c r="AU16" i="192"/>
  <c r="AR16" i="192"/>
  <c r="AV16" i="192" s="1"/>
  <c r="BC16" i="192" s="1"/>
  <c r="AP16" i="192"/>
  <c r="AX16" i="192" s="1"/>
  <c r="AM16" i="192"/>
  <c r="AN16" i="192" s="1"/>
  <c r="AL16" i="192"/>
  <c r="AH16" i="192"/>
  <c r="AB49" i="192" s="1"/>
  <c r="BL15" i="192"/>
  <c r="BI15" i="192"/>
  <c r="BA15" i="192"/>
  <c r="AY15" i="192"/>
  <c r="AU15" i="192"/>
  <c r="AR15" i="192"/>
  <c r="AZ15" i="192" s="1"/>
  <c r="AP15" i="192"/>
  <c r="AX15" i="192" s="1"/>
  <c r="AM15" i="192"/>
  <c r="AN15" i="192" s="1"/>
  <c r="AL15" i="192"/>
  <c r="AH15" i="192"/>
  <c r="AK15" i="192" s="1"/>
  <c r="BL14" i="192"/>
  <c r="BI14" i="192"/>
  <c r="AU14" i="192"/>
  <c r="AR14" i="192"/>
  <c r="AV14" i="192" s="1"/>
  <c r="AP14" i="192"/>
  <c r="AM14" i="192"/>
  <c r="AL14" i="192"/>
  <c r="AH14" i="192"/>
  <c r="A8" i="192"/>
  <c r="BA25" i="192" l="1"/>
  <c r="AY24" i="192"/>
  <c r="AX24" i="192"/>
  <c r="BA42" i="192"/>
  <c r="AX41" i="192"/>
  <c r="AY23" i="192"/>
  <c r="AS20" i="192"/>
  <c r="BG43" i="192"/>
  <c r="BH43" i="192" s="1"/>
  <c r="AK22" i="192"/>
  <c r="AG51" i="192"/>
  <c r="AR42" i="192"/>
  <c r="AV42" i="192" s="1"/>
  <c r="AS22" i="192"/>
  <c r="BI26" i="192"/>
  <c r="AM25" i="192"/>
  <c r="AZ21" i="192"/>
  <c r="BB21" i="192" s="1"/>
  <c r="AX40" i="192"/>
  <c r="AX42" i="192"/>
  <c r="BA24" i="192"/>
  <c r="AY40" i="192"/>
  <c r="AY42" i="192"/>
  <c r="AS24" i="192"/>
  <c r="BA26" i="192"/>
  <c r="AT42" i="192"/>
  <c r="AS32" i="192"/>
  <c r="BA40" i="192"/>
  <c r="AK35" i="192"/>
  <c r="AK37" i="192"/>
  <c r="AX25" i="192"/>
  <c r="AZ35" i="192"/>
  <c r="BB35" i="192" s="1"/>
  <c r="AY41" i="192"/>
  <c r="BA41" i="192"/>
  <c r="AA57" i="192"/>
  <c r="AV15" i="192"/>
  <c r="BC15" i="192" s="1"/>
  <c r="AV17" i="192"/>
  <c r="BC17" i="192" s="1"/>
  <c r="BC23" i="192" s="1"/>
  <c r="AK32" i="192"/>
  <c r="AZ39" i="192"/>
  <c r="BB39" i="192" s="1"/>
  <c r="C32" i="193"/>
  <c r="AV19" i="192"/>
  <c r="BC19" i="192" s="1"/>
  <c r="BC25" i="192" s="1"/>
  <c r="AZ32" i="192"/>
  <c r="BB32" i="192" s="1"/>
  <c r="AZ34" i="192"/>
  <c r="BB34" i="192" s="1"/>
  <c r="BB38" i="192"/>
  <c r="L49" i="192"/>
  <c r="AN14" i="192"/>
  <c r="AN25" i="192" s="1"/>
  <c r="AS16" i="192"/>
  <c r="AY25" i="192"/>
  <c r="AK38" i="192"/>
  <c r="AV38" i="192"/>
  <c r="AX23" i="192"/>
  <c r="BA23" i="192"/>
  <c r="AS18" i="192"/>
  <c r="AH17" i="193"/>
  <c r="AH20" i="193" s="1"/>
  <c r="BC24" i="192"/>
  <c r="AE47" i="192"/>
  <c r="AA47" i="192"/>
  <c r="W47" i="192"/>
  <c r="S47" i="192"/>
  <c r="O47" i="192"/>
  <c r="K47" i="192"/>
  <c r="G47" i="192"/>
  <c r="C47" i="192"/>
  <c r="AH47" i="192"/>
  <c r="AD47" i="192"/>
  <c r="Z47" i="192"/>
  <c r="V47" i="192"/>
  <c r="R47" i="192"/>
  <c r="N47" i="192"/>
  <c r="J47" i="192"/>
  <c r="F47" i="192"/>
  <c r="AG47" i="192"/>
  <c r="AC47" i="192"/>
  <c r="Y47" i="192"/>
  <c r="U47" i="192"/>
  <c r="Q47" i="192"/>
  <c r="M47" i="192"/>
  <c r="I47" i="192"/>
  <c r="E47" i="192"/>
  <c r="AU25" i="192"/>
  <c r="AK14" i="192"/>
  <c r="AH63" i="192"/>
  <c r="AD63" i="192"/>
  <c r="Z63" i="192"/>
  <c r="V63" i="192"/>
  <c r="R63" i="192"/>
  <c r="N63" i="192"/>
  <c r="J63" i="192"/>
  <c r="F63" i="192"/>
  <c r="AG63" i="192"/>
  <c r="AC63" i="192"/>
  <c r="Y63" i="192"/>
  <c r="U63" i="192"/>
  <c r="Q63" i="192"/>
  <c r="M63" i="192"/>
  <c r="I63" i="192"/>
  <c r="E63" i="192"/>
  <c r="AF63" i="192"/>
  <c r="AB63" i="192"/>
  <c r="X63" i="192"/>
  <c r="T63" i="192"/>
  <c r="P63" i="192"/>
  <c r="L63" i="192"/>
  <c r="H63" i="192"/>
  <c r="D63" i="192"/>
  <c r="W63" i="192"/>
  <c r="G63" i="192"/>
  <c r="S63" i="192"/>
  <c r="C63" i="192"/>
  <c r="AE63" i="192"/>
  <c r="O63" i="192"/>
  <c r="AE48" i="192"/>
  <c r="AA48" i="192"/>
  <c r="W48" i="192"/>
  <c r="S48" i="192"/>
  <c r="O48" i="192"/>
  <c r="K48" i="192"/>
  <c r="G48" i="192"/>
  <c r="C48" i="192"/>
  <c r="AH48" i="192"/>
  <c r="AD48" i="192"/>
  <c r="Z48" i="192"/>
  <c r="V48" i="192"/>
  <c r="R48" i="192"/>
  <c r="N48" i="192"/>
  <c r="J48" i="192"/>
  <c r="F48" i="192"/>
  <c r="AG48" i="192"/>
  <c r="AC48" i="192"/>
  <c r="Y48" i="192"/>
  <c r="U48" i="192"/>
  <c r="Q48" i="192"/>
  <c r="M48" i="192"/>
  <c r="I48" i="192"/>
  <c r="E48" i="192"/>
  <c r="AH50" i="192"/>
  <c r="AD50" i="192"/>
  <c r="Z50" i="192"/>
  <c r="V50" i="192"/>
  <c r="R50" i="192"/>
  <c r="N50" i="192"/>
  <c r="J50" i="192"/>
  <c r="AG50" i="192"/>
  <c r="AB50" i="192"/>
  <c r="W50" i="192"/>
  <c r="Q50" i="192"/>
  <c r="L50" i="192"/>
  <c r="G50" i="192"/>
  <c r="C50" i="192"/>
  <c r="AF50" i="192"/>
  <c r="AA50" i="192"/>
  <c r="U50" i="192"/>
  <c r="P50" i="192"/>
  <c r="K50" i="192"/>
  <c r="F50" i="192"/>
  <c r="AE50" i="192"/>
  <c r="Y50" i="192"/>
  <c r="T50" i="192"/>
  <c r="O50" i="192"/>
  <c r="I50" i="192"/>
  <c r="E50" i="192"/>
  <c r="AH52" i="192"/>
  <c r="AD52" i="192"/>
  <c r="Z52" i="192"/>
  <c r="V52" i="192"/>
  <c r="R52" i="192"/>
  <c r="N52" i="192"/>
  <c r="J52" i="192"/>
  <c r="F52" i="192"/>
  <c r="AG52" i="192"/>
  <c r="AC52" i="192"/>
  <c r="Y52" i="192"/>
  <c r="U52" i="192"/>
  <c r="Q52" i="192"/>
  <c r="M52" i="192"/>
  <c r="I52" i="192"/>
  <c r="AF52" i="192"/>
  <c r="AB52" i="192"/>
  <c r="X52" i="192"/>
  <c r="T52" i="192"/>
  <c r="P52" i="192"/>
  <c r="L52" i="192"/>
  <c r="H52" i="192"/>
  <c r="D52" i="192"/>
  <c r="W52" i="192"/>
  <c r="G52" i="192"/>
  <c r="S52" i="192"/>
  <c r="E52" i="192"/>
  <c r="AE52" i="192"/>
  <c r="O52" i="192"/>
  <c r="C52" i="192"/>
  <c r="AH54" i="192"/>
  <c r="AD54" i="192"/>
  <c r="Z54" i="192"/>
  <c r="V54" i="192"/>
  <c r="R54" i="192"/>
  <c r="N54" i="192"/>
  <c r="J54" i="192"/>
  <c r="F54" i="192"/>
  <c r="AG54" i="192"/>
  <c r="AC54" i="192"/>
  <c r="Y54" i="192"/>
  <c r="U54" i="192"/>
  <c r="Q54" i="192"/>
  <c r="M54" i="192"/>
  <c r="I54" i="192"/>
  <c r="E54" i="192"/>
  <c r="AF54" i="192"/>
  <c r="AB54" i="192"/>
  <c r="X54" i="192"/>
  <c r="T54" i="192"/>
  <c r="P54" i="192"/>
  <c r="L54" i="192"/>
  <c r="H54" i="192"/>
  <c r="D54" i="192"/>
  <c r="W54" i="192"/>
  <c r="G54" i="192"/>
  <c r="S54" i="192"/>
  <c r="C54" i="192"/>
  <c r="AE54" i="192"/>
  <c r="O54" i="192"/>
  <c r="AH56" i="192"/>
  <c r="AD56" i="192"/>
  <c r="Z56" i="192"/>
  <c r="V56" i="192"/>
  <c r="R56" i="192"/>
  <c r="N56" i="192"/>
  <c r="J56" i="192"/>
  <c r="F56" i="192"/>
  <c r="AG56" i="192"/>
  <c r="AC56" i="192"/>
  <c r="Y56" i="192"/>
  <c r="U56" i="192"/>
  <c r="Q56" i="192"/>
  <c r="M56" i="192"/>
  <c r="I56" i="192"/>
  <c r="E56" i="192"/>
  <c r="AF56" i="192"/>
  <c r="AB56" i="192"/>
  <c r="X56" i="192"/>
  <c r="T56" i="192"/>
  <c r="P56" i="192"/>
  <c r="L56" i="192"/>
  <c r="H56" i="192"/>
  <c r="D56" i="192"/>
  <c r="W56" i="192"/>
  <c r="G56" i="192"/>
  <c r="S56" i="192"/>
  <c r="C56" i="192"/>
  <c r="AE56" i="192"/>
  <c r="O56" i="192"/>
  <c r="AK17" i="192"/>
  <c r="AK21" i="192"/>
  <c r="AR25" i="192"/>
  <c r="BL25" i="192"/>
  <c r="AN42" i="192"/>
  <c r="AH65" i="192"/>
  <c r="AD65" i="192"/>
  <c r="Z65" i="192"/>
  <c r="V65" i="192"/>
  <c r="R65" i="192"/>
  <c r="N65" i="192"/>
  <c r="J65" i="192"/>
  <c r="F65" i="192"/>
  <c r="AG65" i="192"/>
  <c r="AC65" i="192"/>
  <c r="X65" i="192"/>
  <c r="S65" i="192"/>
  <c r="M65" i="192"/>
  <c r="H65" i="192"/>
  <c r="C65" i="192"/>
  <c r="AB65" i="192"/>
  <c r="W65" i="192"/>
  <c r="Q65" i="192"/>
  <c r="L65" i="192"/>
  <c r="G65" i="192"/>
  <c r="AF65" i="192"/>
  <c r="AA65" i="192"/>
  <c r="U65" i="192"/>
  <c r="P65" i="192"/>
  <c r="K65" i="192"/>
  <c r="E65" i="192"/>
  <c r="O65" i="192"/>
  <c r="AE65" i="192"/>
  <c r="I65" i="192"/>
  <c r="Y65" i="192"/>
  <c r="D65" i="192"/>
  <c r="AH68" i="192"/>
  <c r="AD68" i="192"/>
  <c r="Z68" i="192"/>
  <c r="V68" i="192"/>
  <c r="R68" i="192"/>
  <c r="N68" i="192"/>
  <c r="J68" i="192"/>
  <c r="F68" i="192"/>
  <c r="AG68" i="192"/>
  <c r="AC68" i="192"/>
  <c r="Y68" i="192"/>
  <c r="U68" i="192"/>
  <c r="Q68" i="192"/>
  <c r="M68" i="192"/>
  <c r="I68" i="192"/>
  <c r="E68" i="192"/>
  <c r="AF68" i="192"/>
  <c r="AB68" i="192"/>
  <c r="X68" i="192"/>
  <c r="T68" i="192"/>
  <c r="P68" i="192"/>
  <c r="L68" i="192"/>
  <c r="H68" i="192"/>
  <c r="D68" i="192"/>
  <c r="AE68" i="192"/>
  <c r="AA68" i="192"/>
  <c r="W68" i="192"/>
  <c r="S68" i="192"/>
  <c r="O68" i="192"/>
  <c r="K68" i="192"/>
  <c r="G68" i="192"/>
  <c r="C68" i="192"/>
  <c r="AK36" i="192"/>
  <c r="L47" i="192"/>
  <c r="AB47" i="192"/>
  <c r="L48" i="192"/>
  <c r="AB48" i="192"/>
  <c r="M50" i="192"/>
  <c r="AA63" i="192"/>
  <c r="BB15" i="192"/>
  <c r="AE49" i="192"/>
  <c r="AA49" i="192"/>
  <c r="W49" i="192"/>
  <c r="S49" i="192"/>
  <c r="O49" i="192"/>
  <c r="K49" i="192"/>
  <c r="G49" i="192"/>
  <c r="C49" i="192"/>
  <c r="AH49" i="192"/>
  <c r="AD49" i="192"/>
  <c r="Z49" i="192"/>
  <c r="V49" i="192"/>
  <c r="R49" i="192"/>
  <c r="N49" i="192"/>
  <c r="J49" i="192"/>
  <c r="F49" i="192"/>
  <c r="AG49" i="192"/>
  <c r="AC49" i="192"/>
  <c r="Y49" i="192"/>
  <c r="U49" i="192"/>
  <c r="Q49" i="192"/>
  <c r="M49" i="192"/>
  <c r="I49" i="192"/>
  <c r="E49" i="192"/>
  <c r="AZ16" i="192"/>
  <c r="BB17" i="192"/>
  <c r="AH51" i="192"/>
  <c r="AD51" i="192"/>
  <c r="Z51" i="192"/>
  <c r="V51" i="192"/>
  <c r="R51" i="192"/>
  <c r="N51" i="192"/>
  <c r="J51" i="192"/>
  <c r="F51" i="192"/>
  <c r="AF51" i="192"/>
  <c r="AB51" i="192"/>
  <c r="X51" i="192"/>
  <c r="T51" i="192"/>
  <c r="P51" i="192"/>
  <c r="L51" i="192"/>
  <c r="H51" i="192"/>
  <c r="AE51" i="192"/>
  <c r="W51" i="192"/>
  <c r="O51" i="192"/>
  <c r="G51" i="192"/>
  <c r="AC51" i="192"/>
  <c r="U51" i="192"/>
  <c r="M51" i="192"/>
  <c r="E51" i="192"/>
  <c r="AA51" i="192"/>
  <c r="S51" i="192"/>
  <c r="K51" i="192"/>
  <c r="D51" i="192"/>
  <c r="AZ18" i="192"/>
  <c r="BB18" i="192" s="1"/>
  <c r="BB19" i="192"/>
  <c r="AH53" i="192"/>
  <c r="AD53" i="192"/>
  <c r="Z53" i="192"/>
  <c r="V53" i="192"/>
  <c r="R53" i="192"/>
  <c r="N53" i="192"/>
  <c r="J53" i="192"/>
  <c r="F53" i="192"/>
  <c r="AG53" i="192"/>
  <c r="AC53" i="192"/>
  <c r="Y53" i="192"/>
  <c r="U53" i="192"/>
  <c r="Q53" i="192"/>
  <c r="M53" i="192"/>
  <c r="I53" i="192"/>
  <c r="E53" i="192"/>
  <c r="AF53" i="192"/>
  <c r="AB53" i="192"/>
  <c r="X53" i="192"/>
  <c r="T53" i="192"/>
  <c r="P53" i="192"/>
  <c r="L53" i="192"/>
  <c r="H53" i="192"/>
  <c r="D53" i="192"/>
  <c r="W53" i="192"/>
  <c r="G53" i="192"/>
  <c r="S53" i="192"/>
  <c r="C53" i="192"/>
  <c r="AE53" i="192"/>
  <c r="O53" i="192"/>
  <c r="AZ20" i="192"/>
  <c r="AH55" i="192"/>
  <c r="AD55" i="192"/>
  <c r="Z55" i="192"/>
  <c r="V55" i="192"/>
  <c r="R55" i="192"/>
  <c r="N55" i="192"/>
  <c r="J55" i="192"/>
  <c r="F55" i="192"/>
  <c r="AG55" i="192"/>
  <c r="AC55" i="192"/>
  <c r="Y55" i="192"/>
  <c r="U55" i="192"/>
  <c r="Q55" i="192"/>
  <c r="M55" i="192"/>
  <c r="I55" i="192"/>
  <c r="E55" i="192"/>
  <c r="AF55" i="192"/>
  <c r="AB55" i="192"/>
  <c r="X55" i="192"/>
  <c r="T55" i="192"/>
  <c r="P55" i="192"/>
  <c r="L55" i="192"/>
  <c r="H55" i="192"/>
  <c r="D55" i="192"/>
  <c r="W55" i="192"/>
  <c r="G55" i="192"/>
  <c r="S55" i="192"/>
  <c r="C55" i="192"/>
  <c r="AE55" i="192"/>
  <c r="O55" i="192"/>
  <c r="AZ22" i="192"/>
  <c r="BB22" i="192" s="1"/>
  <c r="AH57" i="192"/>
  <c r="AD57" i="192"/>
  <c r="Z57" i="192"/>
  <c r="V57" i="192"/>
  <c r="R57" i="192"/>
  <c r="N57" i="192"/>
  <c r="J57" i="192"/>
  <c r="F57" i="192"/>
  <c r="AG57" i="192"/>
  <c r="AC57" i="192"/>
  <c r="Y57" i="192"/>
  <c r="U57" i="192"/>
  <c r="Q57" i="192"/>
  <c r="M57" i="192"/>
  <c r="I57" i="192"/>
  <c r="E57" i="192"/>
  <c r="AF57" i="192"/>
  <c r="AB57" i="192"/>
  <c r="X57" i="192"/>
  <c r="T57" i="192"/>
  <c r="P57" i="192"/>
  <c r="L57" i="192"/>
  <c r="H57" i="192"/>
  <c r="D57" i="192"/>
  <c r="W57" i="192"/>
  <c r="G57" i="192"/>
  <c r="S57" i="192"/>
  <c r="C57" i="192"/>
  <c r="AE57" i="192"/>
  <c r="O57" i="192"/>
  <c r="AK31" i="192"/>
  <c r="AP42" i="192"/>
  <c r="AX43" i="192" s="1"/>
  <c r="AU42" i="192"/>
  <c r="AK33" i="192"/>
  <c r="AZ33" i="192"/>
  <c r="BB33" i="192" s="1"/>
  <c r="AH66" i="192"/>
  <c r="AD66" i="192"/>
  <c r="Z66" i="192"/>
  <c r="V66" i="192"/>
  <c r="R66" i="192"/>
  <c r="N66" i="192"/>
  <c r="J66" i="192"/>
  <c r="F66" i="192"/>
  <c r="AG66" i="192"/>
  <c r="AC66" i="192"/>
  <c r="Y66" i="192"/>
  <c r="U66" i="192"/>
  <c r="Q66" i="192"/>
  <c r="M66" i="192"/>
  <c r="I66" i="192"/>
  <c r="E66" i="192"/>
  <c r="AF66" i="192"/>
  <c r="AB66" i="192"/>
  <c r="X66" i="192"/>
  <c r="T66" i="192"/>
  <c r="AE66" i="192"/>
  <c r="AA66" i="192"/>
  <c r="W66" i="192"/>
  <c r="S66" i="192"/>
  <c r="O66" i="192"/>
  <c r="K66" i="192"/>
  <c r="P66" i="192"/>
  <c r="D66" i="192"/>
  <c r="L66" i="192"/>
  <c r="C66" i="192"/>
  <c r="H66" i="192"/>
  <c r="G66" i="192"/>
  <c r="AH67" i="192"/>
  <c r="AD67" i="192"/>
  <c r="Z67" i="192"/>
  <c r="V67" i="192"/>
  <c r="R67" i="192"/>
  <c r="N67" i="192"/>
  <c r="J67" i="192"/>
  <c r="F67" i="192"/>
  <c r="AG67" i="192"/>
  <c r="AC67" i="192"/>
  <c r="Y67" i="192"/>
  <c r="U67" i="192"/>
  <c r="Q67" i="192"/>
  <c r="M67" i="192"/>
  <c r="I67" i="192"/>
  <c r="E67" i="192"/>
  <c r="AF67" i="192"/>
  <c r="AB67" i="192"/>
  <c r="X67" i="192"/>
  <c r="T67" i="192"/>
  <c r="P67" i="192"/>
  <c r="L67" i="192"/>
  <c r="H67" i="192"/>
  <c r="D67" i="192"/>
  <c r="AE67" i="192"/>
  <c r="AA67" i="192"/>
  <c r="W67" i="192"/>
  <c r="S67" i="192"/>
  <c r="O67" i="192"/>
  <c r="K67" i="192"/>
  <c r="G67" i="192"/>
  <c r="C67" i="192"/>
  <c r="P47" i="192"/>
  <c r="AF47" i="192"/>
  <c r="P48" i="192"/>
  <c r="AF48" i="192"/>
  <c r="P49" i="192"/>
  <c r="AF49" i="192"/>
  <c r="S50" i="192"/>
  <c r="I51" i="192"/>
  <c r="K52" i="192"/>
  <c r="K54" i="192"/>
  <c r="K56" i="192"/>
  <c r="K64" i="192"/>
  <c r="AS14" i="192"/>
  <c r="AS15" i="192"/>
  <c r="AK16" i="192"/>
  <c r="AS17" i="192"/>
  <c r="AK18" i="192"/>
  <c r="AS19" i="192"/>
  <c r="AK20" i="192"/>
  <c r="AS21" i="192"/>
  <c r="AS23" i="192"/>
  <c r="AH25" i="192"/>
  <c r="D58" i="192" s="1"/>
  <c r="AL25" i="192"/>
  <c r="AP25" i="192"/>
  <c r="AX26" i="192" s="1"/>
  <c r="AV31" i="192"/>
  <c r="AK34" i="192"/>
  <c r="AS36" i="192"/>
  <c r="AH72" i="192"/>
  <c r="AD72" i="192"/>
  <c r="Z72" i="192"/>
  <c r="V72" i="192"/>
  <c r="R72" i="192"/>
  <c r="N72" i="192"/>
  <c r="J72" i="192"/>
  <c r="F72" i="192"/>
  <c r="AG72" i="192"/>
  <c r="AC72" i="192"/>
  <c r="Y72" i="192"/>
  <c r="U72" i="192"/>
  <c r="Q72" i="192"/>
  <c r="M72" i="192"/>
  <c r="I72" i="192"/>
  <c r="E72" i="192"/>
  <c r="AF72" i="192"/>
  <c r="AB72" i="192"/>
  <c r="X72" i="192"/>
  <c r="T72" i="192"/>
  <c r="P72" i="192"/>
  <c r="L72" i="192"/>
  <c r="H72" i="192"/>
  <c r="D72" i="192"/>
  <c r="AE72" i="192"/>
  <c r="AA72" i="192"/>
  <c r="W72" i="192"/>
  <c r="S72" i="192"/>
  <c r="O72" i="192"/>
  <c r="K72" i="192"/>
  <c r="G72" i="192"/>
  <c r="C72" i="192"/>
  <c r="AS40" i="192"/>
  <c r="AK40" i="192"/>
  <c r="D47" i="192"/>
  <c r="T47" i="192"/>
  <c r="D48" i="192"/>
  <c r="T48" i="192"/>
  <c r="D49" i="192"/>
  <c r="T49" i="192"/>
  <c r="D50" i="192"/>
  <c r="X50" i="192"/>
  <c r="Q51" i="192"/>
  <c r="AA52" i="192"/>
  <c r="AA54" i="192"/>
  <c r="AA56" i="192"/>
  <c r="AM42" i="192"/>
  <c r="AS31" i="192"/>
  <c r="AH64" i="192"/>
  <c r="AD64" i="192"/>
  <c r="Z64" i="192"/>
  <c r="V64" i="192"/>
  <c r="R64" i="192"/>
  <c r="AC64" i="192"/>
  <c r="X64" i="192"/>
  <c r="S64" i="192"/>
  <c r="N64" i="192"/>
  <c r="J64" i="192"/>
  <c r="F64" i="192"/>
  <c r="AG64" i="192"/>
  <c r="AB64" i="192"/>
  <c r="W64" i="192"/>
  <c r="Q64" i="192"/>
  <c r="M64" i="192"/>
  <c r="I64" i="192"/>
  <c r="E64" i="192"/>
  <c r="AF64" i="192"/>
  <c r="AA64" i="192"/>
  <c r="U64" i="192"/>
  <c r="P64" i="192"/>
  <c r="L64" i="192"/>
  <c r="H64" i="192"/>
  <c r="D64" i="192"/>
  <c r="Y64" i="192"/>
  <c r="G64" i="192"/>
  <c r="T64" i="192"/>
  <c r="C64" i="192"/>
  <c r="O64" i="192"/>
  <c r="AS33" i="192"/>
  <c r="AL42" i="192"/>
  <c r="H47" i="192"/>
  <c r="X47" i="192"/>
  <c r="H48" i="192"/>
  <c r="X48" i="192"/>
  <c r="H49" i="192"/>
  <c r="X49" i="192"/>
  <c r="H50" i="192"/>
  <c r="AC50" i="192"/>
  <c r="Y51" i="192"/>
  <c r="K53" i="192"/>
  <c r="K55" i="192"/>
  <c r="K57" i="192"/>
  <c r="K63" i="192"/>
  <c r="T65" i="192"/>
  <c r="AZ36" i="192"/>
  <c r="AZ42" i="192" s="1"/>
  <c r="AH69" i="192"/>
  <c r="AD69" i="192"/>
  <c r="Z69" i="192"/>
  <c r="V69" i="192"/>
  <c r="R69" i="192"/>
  <c r="N69" i="192"/>
  <c r="J69" i="192"/>
  <c r="F69" i="192"/>
  <c r="AG69" i="192"/>
  <c r="AC69" i="192"/>
  <c r="Y69" i="192"/>
  <c r="U69" i="192"/>
  <c r="Q69" i="192"/>
  <c r="M69" i="192"/>
  <c r="I69" i="192"/>
  <c r="E69" i="192"/>
  <c r="AF69" i="192"/>
  <c r="AB69" i="192"/>
  <c r="X69" i="192"/>
  <c r="T69" i="192"/>
  <c r="P69" i="192"/>
  <c r="L69" i="192"/>
  <c r="H69" i="192"/>
  <c r="D69" i="192"/>
  <c r="AE69" i="192"/>
  <c r="AA69" i="192"/>
  <c r="W69" i="192"/>
  <c r="S69" i="192"/>
  <c r="O69" i="192"/>
  <c r="K69" i="192"/>
  <c r="G69" i="192"/>
  <c r="C69" i="192"/>
  <c r="AS38" i="192"/>
  <c r="AH73" i="192"/>
  <c r="AD73" i="192"/>
  <c r="Z73" i="192"/>
  <c r="V73" i="192"/>
  <c r="R73" i="192"/>
  <c r="N73" i="192"/>
  <c r="J73" i="192"/>
  <c r="F73" i="192"/>
  <c r="AG73" i="192"/>
  <c r="AC73" i="192"/>
  <c r="Y73" i="192"/>
  <c r="U73" i="192"/>
  <c r="Q73" i="192"/>
  <c r="M73" i="192"/>
  <c r="I73" i="192"/>
  <c r="E73" i="192"/>
  <c r="AF73" i="192"/>
  <c r="AB73" i="192"/>
  <c r="X73" i="192"/>
  <c r="T73" i="192"/>
  <c r="P73" i="192"/>
  <c r="L73" i="192"/>
  <c r="H73" i="192"/>
  <c r="D73" i="192"/>
  <c r="AE73" i="192"/>
  <c r="AA73" i="192"/>
  <c r="W73" i="192"/>
  <c r="S73" i="192"/>
  <c r="O73" i="192"/>
  <c r="K73" i="192"/>
  <c r="G73" i="192"/>
  <c r="C73" i="192"/>
  <c r="AH42" i="192"/>
  <c r="N43" i="192" s="1"/>
  <c r="AZ37" i="192"/>
  <c r="AH70" i="192"/>
  <c r="AD70" i="192"/>
  <c r="Z70" i="192"/>
  <c r="V70" i="192"/>
  <c r="R70" i="192"/>
  <c r="N70" i="192"/>
  <c r="J70" i="192"/>
  <c r="F70" i="192"/>
  <c r="AG70" i="192"/>
  <c r="AC70" i="192"/>
  <c r="Y70" i="192"/>
  <c r="U70" i="192"/>
  <c r="Q70" i="192"/>
  <c r="M70" i="192"/>
  <c r="I70" i="192"/>
  <c r="E70" i="192"/>
  <c r="AF70" i="192"/>
  <c r="AB70" i="192"/>
  <c r="X70" i="192"/>
  <c r="T70" i="192"/>
  <c r="P70" i="192"/>
  <c r="L70" i="192"/>
  <c r="H70" i="192"/>
  <c r="D70" i="192"/>
  <c r="AE70" i="192"/>
  <c r="AA70" i="192"/>
  <c r="W70" i="192"/>
  <c r="S70" i="192"/>
  <c r="O70" i="192"/>
  <c r="K70" i="192"/>
  <c r="G70" i="192"/>
  <c r="C70" i="192"/>
  <c r="AS39" i="192"/>
  <c r="AK41" i="192"/>
  <c r="BA43" i="192"/>
  <c r="AH71" i="192"/>
  <c r="AD71" i="192"/>
  <c r="Z71" i="192"/>
  <c r="V71" i="192"/>
  <c r="R71" i="192"/>
  <c r="N71" i="192"/>
  <c r="J71" i="192"/>
  <c r="F71" i="192"/>
  <c r="AG71" i="192"/>
  <c r="AC71" i="192"/>
  <c r="Y71" i="192"/>
  <c r="U71" i="192"/>
  <c r="Q71" i="192"/>
  <c r="M71" i="192"/>
  <c r="I71" i="192"/>
  <c r="E71" i="192"/>
  <c r="AF71" i="192"/>
  <c r="AB71" i="192"/>
  <c r="X71" i="192"/>
  <c r="T71" i="192"/>
  <c r="P71" i="192"/>
  <c r="L71" i="192"/>
  <c r="H71" i="192"/>
  <c r="D71" i="192"/>
  <c r="AE71" i="192"/>
  <c r="AA71" i="192"/>
  <c r="W71" i="192"/>
  <c r="S71" i="192"/>
  <c r="O71" i="192"/>
  <c r="K71" i="192"/>
  <c r="G71" i="192"/>
  <c r="C71" i="192"/>
  <c r="AZ43" i="192" l="1"/>
  <c r="AZ24" i="192"/>
  <c r="T26" i="192"/>
  <c r="L26" i="192"/>
  <c r="X43" i="192"/>
  <c r="T74" i="192"/>
  <c r="N58" i="192"/>
  <c r="K43" i="192"/>
  <c r="P74" i="192"/>
  <c r="F43" i="192"/>
  <c r="AB26" i="192"/>
  <c r="AZ40" i="192"/>
  <c r="BB40" i="192"/>
  <c r="S58" i="192"/>
  <c r="G43" i="192"/>
  <c r="C74" i="192"/>
  <c r="AF43" i="192"/>
  <c r="AG74" i="192"/>
  <c r="AA26" i="192"/>
  <c r="V58" i="192"/>
  <c r="E58" i="192"/>
  <c r="T43" i="192"/>
  <c r="H74" i="192"/>
  <c r="C43" i="192"/>
  <c r="AD74" i="192"/>
  <c r="H26" i="192"/>
  <c r="F58" i="192"/>
  <c r="S26" i="192"/>
  <c r="O58" i="192"/>
  <c r="AZ25" i="192"/>
  <c r="Q74" i="192"/>
  <c r="P43" i="192"/>
  <c r="D74" i="192"/>
  <c r="AA74" i="192"/>
  <c r="V74" i="192"/>
  <c r="D26" i="192"/>
  <c r="BL26" i="192" s="1"/>
  <c r="K26" i="192"/>
  <c r="H43" i="192"/>
  <c r="W74" i="192"/>
  <c r="AD43" i="192"/>
  <c r="N74" i="192"/>
  <c r="C26" i="192"/>
  <c r="AZ23" i="192"/>
  <c r="D43" i="192"/>
  <c r="AA43" i="192"/>
  <c r="S74" i="192"/>
  <c r="V43" i="192"/>
  <c r="F74" i="192"/>
  <c r="AC58" i="192"/>
  <c r="H58" i="192"/>
  <c r="AF74" i="192"/>
  <c r="W43" i="192"/>
  <c r="K74" i="192"/>
  <c r="R43" i="192"/>
  <c r="E43" i="192"/>
  <c r="AG43" i="192"/>
  <c r="U58" i="192"/>
  <c r="X74" i="192"/>
  <c r="S43" i="192"/>
  <c r="G74" i="192"/>
  <c r="X26" i="192"/>
  <c r="AD58" i="192"/>
  <c r="M58" i="192"/>
  <c r="AZ41" i="192"/>
  <c r="BB37" i="192"/>
  <c r="BB41" i="192" s="1"/>
  <c r="AH74" i="192"/>
  <c r="BB43" i="192"/>
  <c r="AM43" i="192"/>
  <c r="AH43" i="192"/>
  <c r="I43" i="192"/>
  <c r="AK42" i="192"/>
  <c r="Y43" i="192"/>
  <c r="R74" i="192"/>
  <c r="U43" i="192"/>
  <c r="AH58" i="192"/>
  <c r="AS25" i="192"/>
  <c r="AK25" i="192"/>
  <c r="AD26" i="192"/>
  <c r="V26" i="192"/>
  <c r="R26" i="192"/>
  <c r="J26" i="192"/>
  <c r="AC26" i="192"/>
  <c r="U26" i="192"/>
  <c r="M26" i="192"/>
  <c r="I26" i="192"/>
  <c r="AH26" i="192"/>
  <c r="Z26" i="192"/>
  <c r="N26" i="192"/>
  <c r="F26" i="192"/>
  <c r="AG26" i="192"/>
  <c r="Y26" i="192"/>
  <c r="Q26" i="192"/>
  <c r="E26" i="192"/>
  <c r="R58" i="192"/>
  <c r="AC74" i="192"/>
  <c r="M74" i="192"/>
  <c r="W26" i="192"/>
  <c r="G26" i="192"/>
  <c r="Y58" i="192"/>
  <c r="I58" i="192"/>
  <c r="AB58" i="192"/>
  <c r="G58" i="192"/>
  <c r="AF58" i="192"/>
  <c r="BB20" i="192"/>
  <c r="BB24" i="192" s="1"/>
  <c r="BB36" i="192"/>
  <c r="BB42" i="192" s="1"/>
  <c r="BB25" i="192"/>
  <c r="AC43" i="192"/>
  <c r="Y74" i="192"/>
  <c r="I74" i="192"/>
  <c r="T58" i="192"/>
  <c r="C58" i="192"/>
  <c r="X58" i="192"/>
  <c r="BB16" i="192"/>
  <c r="BB23" i="192" s="1"/>
  <c r="AA58" i="192"/>
  <c r="AS42" i="192"/>
  <c r="AZ26" i="192"/>
  <c r="BB26" i="192" s="1"/>
  <c r="AV25" i="192"/>
  <c r="BC26" i="192" s="1"/>
  <c r="AB43" i="192"/>
  <c r="L43" i="192"/>
  <c r="AB74" i="192"/>
  <c r="L74" i="192"/>
  <c r="AE43" i="192"/>
  <c r="O43" i="192"/>
  <c r="AE74" i="192"/>
  <c r="O74" i="192"/>
  <c r="Z43" i="192"/>
  <c r="J43" i="192"/>
  <c r="Z74" i="192"/>
  <c r="J74" i="192"/>
  <c r="Q43" i="192"/>
  <c r="AF26" i="192"/>
  <c r="P26" i="192"/>
  <c r="Z58" i="192"/>
  <c r="J58" i="192"/>
  <c r="M43" i="192"/>
  <c r="U74" i="192"/>
  <c r="E74" i="192"/>
  <c r="AE26" i="192"/>
  <c r="O26" i="192"/>
  <c r="AG58" i="192"/>
  <c r="Q58" i="192"/>
  <c r="L58" i="192"/>
  <c r="W58" i="192"/>
  <c r="P58" i="192"/>
  <c r="AE58" i="192"/>
  <c r="K58" i="192"/>
  <c r="D59" i="192" l="1"/>
  <c r="H59" i="192"/>
  <c r="C15" i="189"/>
  <c r="B15" i="189"/>
  <c r="F59" i="190" l="1"/>
  <c r="I83" i="190"/>
  <c r="I84" i="190"/>
  <c r="I85" i="190"/>
  <c r="G86" i="190"/>
  <c r="H86" i="190"/>
  <c r="D84" i="190"/>
  <c r="D85" i="190"/>
  <c r="D87" i="190"/>
  <c r="D78" i="190"/>
  <c r="D79" i="190"/>
  <c r="D80" i="190"/>
  <c r="D81" i="190"/>
  <c r="D82" i="190"/>
  <c r="D83" i="190"/>
  <c r="D74" i="190"/>
  <c r="D75" i="190"/>
  <c r="D76" i="190"/>
  <c r="D77" i="190"/>
  <c r="D68" i="190"/>
  <c r="D69" i="190"/>
  <c r="D70" i="190"/>
  <c r="D71" i="190"/>
  <c r="D72" i="190"/>
  <c r="D73" i="190"/>
  <c r="D64" i="190"/>
  <c r="D65" i="190"/>
  <c r="D66" i="190"/>
  <c r="D67" i="190"/>
  <c r="D58" i="190"/>
  <c r="D59" i="190"/>
  <c r="D60" i="190"/>
  <c r="D61" i="190"/>
  <c r="D62" i="190"/>
  <c r="D63" i="190"/>
  <c r="D56" i="190"/>
  <c r="D57" i="190"/>
  <c r="D52" i="190"/>
  <c r="D53" i="190"/>
  <c r="D54" i="190"/>
  <c r="D55" i="190"/>
  <c r="D47" i="190"/>
  <c r="D48" i="190"/>
  <c r="D49" i="190"/>
  <c r="D50" i="190"/>
  <c r="D51" i="190"/>
  <c r="D43" i="190"/>
  <c r="D44" i="190"/>
  <c r="D45" i="190"/>
  <c r="D46" i="190"/>
  <c r="D42" i="190"/>
  <c r="D41" i="190"/>
  <c r="D31" i="190"/>
  <c r="D32" i="190"/>
  <c r="D33" i="190"/>
  <c r="D34" i="190"/>
  <c r="D35" i="190"/>
  <c r="D36" i="190"/>
  <c r="D37" i="190"/>
  <c r="D38" i="190"/>
  <c r="D39" i="190"/>
  <c r="D40" i="190"/>
  <c r="D23" i="190"/>
  <c r="D24" i="190"/>
  <c r="D25" i="190"/>
  <c r="D26" i="190"/>
  <c r="D27" i="190"/>
  <c r="D28" i="190"/>
  <c r="D29" i="190"/>
  <c r="D30" i="190"/>
  <c r="D15" i="190"/>
  <c r="D16" i="190"/>
  <c r="D17" i="190"/>
  <c r="D18" i="190"/>
  <c r="D19" i="190"/>
  <c r="D20" i="190"/>
  <c r="D21" i="190"/>
  <c r="D22" i="190"/>
  <c r="D10" i="190"/>
  <c r="D11" i="190"/>
  <c r="D12" i="190"/>
  <c r="D13" i="190"/>
  <c r="D14" i="190"/>
  <c r="D9" i="190"/>
  <c r="I82" i="190"/>
  <c r="I81" i="190"/>
  <c r="W80" i="190"/>
  <c r="I80" i="190"/>
  <c r="W79" i="190"/>
  <c r="I79" i="190"/>
  <c r="W78" i="190"/>
  <c r="N78" i="190"/>
  <c r="L78" i="190"/>
  <c r="I78" i="190"/>
  <c r="I77" i="190"/>
  <c r="I76" i="190"/>
  <c r="I75" i="190"/>
  <c r="I74" i="190"/>
  <c r="W73" i="190"/>
  <c r="N73" i="190"/>
  <c r="L73" i="190"/>
  <c r="I73" i="190"/>
  <c r="W72" i="190"/>
  <c r="N72" i="190"/>
  <c r="L72" i="190"/>
  <c r="I72" i="190"/>
  <c r="W71" i="190"/>
  <c r="N71" i="190"/>
  <c r="L71" i="190"/>
  <c r="I71" i="190"/>
  <c r="W70" i="190"/>
  <c r="N70" i="190"/>
  <c r="L70" i="190"/>
  <c r="I70" i="190"/>
  <c r="W69" i="190"/>
  <c r="N69" i="190"/>
  <c r="L69" i="190"/>
  <c r="I69" i="190"/>
  <c r="W68" i="190"/>
  <c r="N68" i="190"/>
  <c r="L68" i="190"/>
  <c r="I68" i="190"/>
  <c r="W67" i="190"/>
  <c r="N67" i="190"/>
  <c r="L67" i="190"/>
  <c r="I67" i="190"/>
  <c r="W66" i="190"/>
  <c r="N66" i="190"/>
  <c r="L66" i="190"/>
  <c r="I66" i="190"/>
  <c r="W65" i="190"/>
  <c r="N65" i="190"/>
  <c r="L65" i="190"/>
  <c r="I65" i="190"/>
  <c r="W64" i="190"/>
  <c r="N64" i="190"/>
  <c r="L64" i="190"/>
  <c r="I64" i="190"/>
  <c r="W63" i="190"/>
  <c r="N63" i="190"/>
  <c r="L63" i="190"/>
  <c r="I63" i="190"/>
  <c r="W62" i="190"/>
  <c r="N62" i="190"/>
  <c r="L62" i="190"/>
  <c r="I62" i="190"/>
  <c r="W61" i="190"/>
  <c r="N61" i="190"/>
  <c r="L61" i="190"/>
  <c r="I61" i="190"/>
  <c r="W60" i="190"/>
  <c r="N60" i="190"/>
  <c r="L60" i="190"/>
  <c r="I60" i="190"/>
  <c r="W59" i="190"/>
  <c r="N59" i="190"/>
  <c r="L59" i="190"/>
  <c r="I59" i="190"/>
  <c r="W58" i="190"/>
  <c r="N58" i="190"/>
  <c r="L58" i="190"/>
  <c r="I58" i="190"/>
  <c r="W57" i="190"/>
  <c r="N57" i="190"/>
  <c r="L57" i="190"/>
  <c r="I57" i="190"/>
  <c r="W56" i="190"/>
  <c r="N56" i="190"/>
  <c r="L56" i="190"/>
  <c r="I56" i="190"/>
  <c r="W55" i="190"/>
  <c r="N55" i="190"/>
  <c r="L55" i="190"/>
  <c r="I55" i="190"/>
  <c r="W54" i="190"/>
  <c r="N54" i="190"/>
  <c r="L54" i="190"/>
  <c r="I54" i="190"/>
  <c r="W53" i="190"/>
  <c r="N53" i="190"/>
  <c r="L53" i="190"/>
  <c r="I53" i="190"/>
  <c r="W52" i="190"/>
  <c r="N52" i="190"/>
  <c r="L52" i="190"/>
  <c r="I52" i="190"/>
  <c r="W51" i="190"/>
  <c r="N51" i="190"/>
  <c r="L51" i="190"/>
  <c r="I51" i="190"/>
  <c r="W50" i="190"/>
  <c r="N50" i="190"/>
  <c r="L50" i="190"/>
  <c r="I50" i="190"/>
  <c r="W49" i="190"/>
  <c r="N49" i="190"/>
  <c r="L49" i="190"/>
  <c r="I49" i="190"/>
  <c r="W48" i="190"/>
  <c r="N48" i="190"/>
  <c r="L48" i="190"/>
  <c r="I48" i="190"/>
  <c r="W47" i="190"/>
  <c r="N47" i="190"/>
  <c r="L47" i="190"/>
  <c r="I47" i="190"/>
  <c r="W46" i="190"/>
  <c r="N46" i="190"/>
  <c r="L46" i="190"/>
  <c r="I46" i="190"/>
  <c r="W45" i="190"/>
  <c r="N45" i="190"/>
  <c r="L45" i="190"/>
  <c r="I45" i="190"/>
  <c r="W44" i="190"/>
  <c r="N44" i="190"/>
  <c r="L44" i="190"/>
  <c r="I44" i="190"/>
  <c r="W43" i="190"/>
  <c r="N43" i="190"/>
  <c r="L43" i="190"/>
  <c r="I43" i="190"/>
  <c r="W42" i="190"/>
  <c r="N42" i="190"/>
  <c r="L42" i="190"/>
  <c r="I42" i="190"/>
  <c r="W41" i="190"/>
  <c r="N41" i="190"/>
  <c r="L41" i="190"/>
  <c r="I41" i="190"/>
  <c r="W40" i="190"/>
  <c r="N40" i="190"/>
  <c r="L40" i="190"/>
  <c r="I40" i="190"/>
  <c r="W39" i="190"/>
  <c r="N39" i="190"/>
  <c r="L39" i="190"/>
  <c r="I39" i="190"/>
  <c r="W38" i="190"/>
  <c r="N38" i="190"/>
  <c r="L38" i="190"/>
  <c r="I38" i="190"/>
  <c r="W37" i="190"/>
  <c r="N37" i="190"/>
  <c r="L37" i="190"/>
  <c r="I37" i="190"/>
  <c r="W36" i="190"/>
  <c r="N36" i="190"/>
  <c r="L36" i="190"/>
  <c r="I36" i="190"/>
  <c r="W35" i="190"/>
  <c r="N35" i="190"/>
  <c r="L35" i="190"/>
  <c r="I35" i="190"/>
  <c r="W34" i="190"/>
  <c r="U34" i="190"/>
  <c r="N34" i="190"/>
  <c r="L34" i="190"/>
  <c r="I34" i="190"/>
  <c r="W33" i="190"/>
  <c r="N33" i="190"/>
  <c r="L33" i="190"/>
  <c r="I33" i="190"/>
  <c r="W32" i="190"/>
  <c r="N32" i="190"/>
  <c r="L32" i="190"/>
  <c r="I32" i="190"/>
  <c r="W31" i="190"/>
  <c r="N31" i="190"/>
  <c r="L31" i="190"/>
  <c r="I31" i="190"/>
  <c r="W30" i="190"/>
  <c r="N30" i="190"/>
  <c r="L30" i="190"/>
  <c r="I30" i="190"/>
  <c r="W29" i="190"/>
  <c r="N29" i="190"/>
  <c r="L29" i="190"/>
  <c r="I29" i="190"/>
  <c r="W28" i="190"/>
  <c r="N28" i="190"/>
  <c r="L28" i="190"/>
  <c r="I28" i="190"/>
  <c r="W27" i="190"/>
  <c r="N27" i="190"/>
  <c r="L27" i="190"/>
  <c r="I27" i="190"/>
  <c r="W26" i="190"/>
  <c r="N26" i="190"/>
  <c r="L26" i="190"/>
  <c r="I26" i="190"/>
  <c r="W25" i="190"/>
  <c r="N25" i="190"/>
  <c r="L25" i="190"/>
  <c r="I25" i="190"/>
  <c r="W24" i="190"/>
  <c r="N24" i="190"/>
  <c r="L24" i="190"/>
  <c r="I24" i="190"/>
  <c r="W23" i="190"/>
  <c r="N23" i="190"/>
  <c r="L23" i="190"/>
  <c r="I23" i="190"/>
  <c r="W22" i="190"/>
  <c r="N22" i="190"/>
  <c r="L22" i="190"/>
  <c r="I22" i="190"/>
  <c r="W21" i="190"/>
  <c r="N21" i="190"/>
  <c r="L21" i="190"/>
  <c r="I21" i="190"/>
  <c r="W20" i="190"/>
  <c r="N20" i="190"/>
  <c r="L20" i="190"/>
  <c r="I20" i="190"/>
  <c r="W19" i="190"/>
  <c r="N19" i="190"/>
  <c r="L19" i="190"/>
  <c r="I19" i="190"/>
  <c r="W18" i="190"/>
  <c r="N18" i="190"/>
  <c r="L18" i="190"/>
  <c r="I18" i="190"/>
  <c r="W17" i="190"/>
  <c r="N17" i="190"/>
  <c r="L17" i="190"/>
  <c r="I17" i="190"/>
  <c r="W16" i="190"/>
  <c r="N16" i="190"/>
  <c r="L16" i="190"/>
  <c r="I16" i="190"/>
  <c r="W15" i="190"/>
  <c r="N15" i="190"/>
  <c r="L15" i="190"/>
  <c r="I15" i="190"/>
  <c r="W14" i="190"/>
  <c r="N14" i="190"/>
  <c r="L14" i="190"/>
  <c r="I14" i="190"/>
  <c r="W13" i="190"/>
  <c r="N13" i="190"/>
  <c r="L13" i="190"/>
  <c r="I13" i="190"/>
  <c r="W12" i="190"/>
  <c r="N12" i="190"/>
  <c r="L12" i="190"/>
  <c r="I12" i="190"/>
  <c r="W11" i="190"/>
  <c r="N11" i="190"/>
  <c r="L11" i="190"/>
  <c r="I11" i="190"/>
  <c r="W10" i="190"/>
  <c r="N10" i="190"/>
  <c r="L10" i="190"/>
  <c r="I10" i="190"/>
  <c r="A10" i="190"/>
  <c r="A11" i="190" s="1"/>
  <c r="A12" i="190" s="1"/>
  <c r="A13" i="190" s="1"/>
  <c r="A14" i="190" s="1"/>
  <c r="A15" i="190" s="1"/>
  <c r="A16" i="190" s="1"/>
  <c r="A17" i="190" s="1"/>
  <c r="A18" i="190" s="1"/>
  <c r="A19" i="190" s="1"/>
  <c r="A20" i="190" s="1"/>
  <c r="A21" i="190" s="1"/>
  <c r="A22" i="190" s="1"/>
  <c r="A23" i="190" s="1"/>
  <c r="A24" i="190" s="1"/>
  <c r="A25" i="190" s="1"/>
  <c r="A26" i="190" s="1"/>
  <c r="A27" i="190" s="1"/>
  <c r="A28" i="190" s="1"/>
  <c r="A29" i="190" s="1"/>
  <c r="A30" i="190" s="1"/>
  <c r="A31" i="190" s="1"/>
  <c r="A32" i="190" s="1"/>
  <c r="A33" i="190" s="1"/>
  <c r="A34" i="190" s="1"/>
  <c r="A35" i="190" s="1"/>
  <c r="A36" i="190" s="1"/>
  <c r="A37" i="190" s="1"/>
  <c r="A38" i="190" s="1"/>
  <c r="A39" i="190" s="1"/>
  <c r="A40" i="190" s="1"/>
  <c r="A41" i="190" s="1"/>
  <c r="A42" i="190" s="1"/>
  <c r="A43" i="190" s="1"/>
  <c r="W9" i="190"/>
  <c r="N9" i="190"/>
  <c r="L9" i="190"/>
  <c r="I9" i="190"/>
  <c r="I86" i="190" l="1"/>
  <c r="D86" i="190"/>
  <c r="A44" i="190"/>
  <c r="A45" i="190" s="1"/>
  <c r="A46" i="190" s="1"/>
  <c r="A47" i="190" s="1"/>
  <c r="A48" i="190" s="1"/>
  <c r="A49" i="190" s="1"/>
  <c r="A50" i="190" s="1"/>
  <c r="A51" i="190" s="1"/>
  <c r="A52" i="190" s="1"/>
  <c r="A53" i="190" s="1"/>
  <c r="A54" i="190" s="1"/>
  <c r="A55" i="190" s="1"/>
  <c r="A56" i="190" l="1"/>
  <c r="A57" i="190" s="1"/>
  <c r="A58" i="190" s="1"/>
  <c r="A59" i="190" s="1"/>
  <c r="A60" i="190" s="1"/>
  <c r="A61" i="190" s="1"/>
  <c r="A62" i="190" s="1"/>
  <c r="A63" i="190" s="1"/>
  <c r="A64" i="190" s="1"/>
  <c r="A65" i="190" s="1"/>
  <c r="A66" i="190" s="1"/>
  <c r="A67" i="190" s="1"/>
  <c r="A68" i="190" s="1"/>
  <c r="A69" i="190" s="1"/>
  <c r="A70" i="190" s="1"/>
  <c r="A71" i="190" s="1"/>
  <c r="A72" i="190" s="1"/>
  <c r="A73" i="190" s="1"/>
  <c r="A74" i="190" s="1"/>
  <c r="A75" i="190" s="1"/>
  <c r="AU79" i="102"/>
  <c r="AR81" i="102"/>
  <c r="AL81" i="102"/>
  <c r="AR80" i="102"/>
  <c r="AL80" i="102"/>
  <c r="AR40" i="102"/>
  <c r="AL40" i="102"/>
  <c r="BA40" i="102" l="1"/>
  <c r="AP40" i="102"/>
  <c r="AP81" i="102"/>
  <c r="BA81" i="102"/>
  <c r="BA80" i="102"/>
  <c r="AP80" i="102"/>
  <c r="BD40" i="102"/>
  <c r="BD81" i="102"/>
  <c r="BD80" i="102"/>
  <c r="BG80" i="102"/>
  <c r="BG81" i="102"/>
  <c r="BG40" i="102"/>
  <c r="A76" i="190"/>
  <c r="A77" i="190" s="1"/>
  <c r="A78" i="190" s="1"/>
  <c r="A79" i="190" s="1"/>
  <c r="A80" i="190" s="1"/>
  <c r="A81" i="190" s="1"/>
  <c r="A82" i="190" s="1"/>
  <c r="A83" i="190" s="1"/>
  <c r="A84" i="190" s="1"/>
  <c r="A85" i="190" s="1"/>
  <c r="AU80" i="102"/>
  <c r="AU81" i="102"/>
  <c r="F78" i="312" l="1"/>
  <c r="J78" i="312" s="1"/>
  <c r="K78" i="312" s="1"/>
  <c r="AY80" i="102"/>
  <c r="F79" i="312"/>
  <c r="J79" i="312" s="1"/>
  <c r="K79" i="312" s="1"/>
  <c r="AY81" i="102"/>
  <c r="F38" i="312"/>
  <c r="J38" i="312" s="1"/>
  <c r="K38" i="312" s="1"/>
  <c r="AS40" i="102" s="1"/>
  <c r="AW40" i="102" s="1"/>
  <c r="AY40" i="102"/>
  <c r="AS80" i="102"/>
  <c r="AW80" i="102" s="1"/>
  <c r="AS81" i="102"/>
  <c r="AW81" i="102" s="1"/>
  <c r="B103" i="188"/>
  <c r="B102" i="188"/>
  <c r="B101" i="188"/>
  <c r="B100" i="188"/>
  <c r="D99" i="188"/>
  <c r="U9" i="188"/>
  <c r="AT80" i="102" l="1"/>
  <c r="D101" i="188"/>
  <c r="D100" i="188"/>
  <c r="D102" i="188"/>
  <c r="D103" i="188"/>
  <c r="H14" i="189"/>
  <c r="H15" i="189" s="1"/>
  <c r="E85" i="190" l="1"/>
  <c r="E83" i="190"/>
  <c r="E84" i="190"/>
  <c r="H7" i="187"/>
  <c r="H8" i="187"/>
  <c r="H9" i="187"/>
  <c r="H10" i="187"/>
  <c r="H11" i="187"/>
  <c r="H12" i="187"/>
  <c r="H13" i="187"/>
  <c r="H14" i="187"/>
  <c r="H15" i="187"/>
  <c r="H16" i="187"/>
  <c r="H17" i="187"/>
  <c r="H18" i="187"/>
  <c r="H19" i="187"/>
  <c r="H20" i="187"/>
  <c r="H21" i="187"/>
  <c r="H22" i="187"/>
  <c r="H23" i="187"/>
  <c r="H24" i="187"/>
  <c r="H25" i="187"/>
  <c r="H26" i="187"/>
  <c r="H27" i="187"/>
  <c r="H28" i="187"/>
  <c r="H29" i="187"/>
  <c r="H30" i="187"/>
  <c r="H31" i="187"/>
  <c r="H32" i="187"/>
  <c r="H33" i="187"/>
  <c r="H34" i="187"/>
  <c r="H35" i="187"/>
  <c r="H36" i="187"/>
  <c r="H37" i="187"/>
  <c r="H38" i="187"/>
  <c r="H39" i="187"/>
  <c r="H40" i="187"/>
  <c r="H41" i="187"/>
  <c r="H42" i="187"/>
  <c r="H43" i="187"/>
  <c r="H44" i="187"/>
  <c r="H45" i="187"/>
  <c r="H46" i="187"/>
  <c r="H47" i="187"/>
  <c r="H48" i="187"/>
  <c r="H49" i="187"/>
  <c r="H50" i="187"/>
  <c r="H51" i="187"/>
  <c r="H52" i="187"/>
  <c r="H53" i="187"/>
  <c r="H54" i="187"/>
  <c r="H55" i="187"/>
  <c r="H56" i="187"/>
  <c r="H57" i="187"/>
  <c r="H59" i="187"/>
  <c r="H60" i="187"/>
  <c r="H61" i="187"/>
  <c r="H62" i="187"/>
  <c r="H63" i="187"/>
  <c r="H64" i="187"/>
  <c r="H65" i="187"/>
  <c r="H66" i="187"/>
  <c r="H67" i="187"/>
  <c r="H68" i="187"/>
  <c r="H69" i="187"/>
  <c r="H70" i="187"/>
  <c r="H71" i="187"/>
  <c r="H72" i="187"/>
  <c r="H74" i="187"/>
  <c r="H75" i="187"/>
  <c r="H76" i="187"/>
  <c r="H77" i="187"/>
  <c r="H78" i="187"/>
  <c r="H79" i="187"/>
  <c r="H80" i="187"/>
  <c r="H81" i="187"/>
  <c r="H82" i="187"/>
  <c r="H83" i="187"/>
  <c r="H84" i="187"/>
  <c r="H85" i="187"/>
  <c r="H86" i="187"/>
  <c r="H87" i="187"/>
  <c r="H88" i="187"/>
  <c r="H90" i="187"/>
  <c r="H92" i="187"/>
  <c r="H93" i="187"/>
  <c r="H94" i="187"/>
  <c r="H95" i="187"/>
  <c r="H96" i="187"/>
  <c r="H97" i="187"/>
  <c r="H98" i="187"/>
  <c r="H99" i="187"/>
  <c r="H100" i="187"/>
  <c r="H101" i="187"/>
  <c r="H102" i="187"/>
  <c r="H103" i="187"/>
  <c r="H104" i="187"/>
  <c r="H105" i="187"/>
  <c r="H106" i="187"/>
  <c r="H107" i="187"/>
  <c r="H108" i="187"/>
  <c r="H109" i="187"/>
  <c r="H110" i="187"/>
  <c r="H111" i="187"/>
  <c r="H112" i="187"/>
  <c r="H113" i="187"/>
  <c r="H114" i="187"/>
  <c r="H115" i="187"/>
  <c r="H116" i="187"/>
  <c r="H117" i="187"/>
  <c r="H118" i="187"/>
  <c r="H119" i="187"/>
  <c r="H120" i="187"/>
  <c r="H121" i="187"/>
  <c r="H122" i="187"/>
  <c r="H123" i="187"/>
  <c r="H124" i="187"/>
  <c r="H125" i="187"/>
  <c r="H126" i="187"/>
  <c r="H127" i="187"/>
  <c r="H128" i="187"/>
  <c r="H129" i="187"/>
  <c r="H6" i="187"/>
  <c r="H142" i="185"/>
  <c r="H143" i="185"/>
  <c r="H144" i="185"/>
  <c r="H145" i="185"/>
  <c r="H146" i="185"/>
  <c r="H147" i="185"/>
  <c r="H148" i="185"/>
  <c r="H149" i="185"/>
  <c r="H150" i="185"/>
  <c r="H151" i="185"/>
  <c r="H152" i="185"/>
  <c r="H153" i="185"/>
  <c r="H154" i="185"/>
  <c r="H155" i="185"/>
  <c r="H156" i="185"/>
  <c r="H157" i="185"/>
  <c r="H158" i="185"/>
  <c r="H159" i="185"/>
  <c r="H160" i="185"/>
  <c r="H161" i="185"/>
  <c r="H162" i="185"/>
  <c r="H163" i="185"/>
  <c r="H164" i="185"/>
  <c r="H165" i="185"/>
  <c r="H166" i="185"/>
  <c r="H167" i="185"/>
  <c r="H168" i="185"/>
  <c r="H169" i="185"/>
  <c r="H170" i="185"/>
  <c r="H171" i="185"/>
  <c r="H172" i="185"/>
  <c r="H173" i="185"/>
  <c r="H174" i="185"/>
  <c r="H175" i="185"/>
  <c r="H176" i="185"/>
  <c r="H141" i="185"/>
  <c r="AA55" i="188" l="1"/>
  <c r="AB55" i="188" s="1"/>
  <c r="AA14" i="188"/>
  <c r="AB14" i="188" s="1"/>
  <c r="AA35" i="188"/>
  <c r="AB35" i="188" s="1"/>
  <c r="Y55" i="188"/>
  <c r="Z55" i="188" s="1"/>
  <c r="F84" i="190"/>
  <c r="J84" i="190" s="1"/>
  <c r="K84" i="190" s="1"/>
  <c r="Y14" i="188"/>
  <c r="Z14" i="188" s="1"/>
  <c r="F83" i="190"/>
  <c r="J83" i="190" s="1"/>
  <c r="K83" i="190" s="1"/>
  <c r="Y35" i="188"/>
  <c r="Z35" i="188" s="1"/>
  <c r="F85" i="190"/>
  <c r="J85" i="190" s="1"/>
  <c r="K85" i="190" s="1"/>
  <c r="AC35" i="188" s="1"/>
  <c r="AD35" i="188" s="1"/>
  <c r="AC55" i="188"/>
  <c r="AD55" i="188" s="1"/>
  <c r="AC14" i="188" l="1"/>
  <c r="AD14" i="188" s="1"/>
  <c r="F59" i="180"/>
  <c r="F58" i="180"/>
  <c r="L53" i="180"/>
  <c r="P50" i="180"/>
  <c r="Z50" i="180"/>
  <c r="L50" i="180"/>
  <c r="L46" i="180"/>
  <c r="L44" i="180"/>
  <c r="M54" i="180"/>
  <c r="N54" i="180"/>
  <c r="O54" i="180"/>
  <c r="Q54" i="180"/>
  <c r="R54" i="180"/>
  <c r="S54" i="180"/>
  <c r="T54" i="180"/>
  <c r="U54" i="180"/>
  <c r="V54" i="180"/>
  <c r="W54" i="180"/>
  <c r="X54" i="180"/>
  <c r="Y54" i="180"/>
  <c r="AA54" i="180"/>
  <c r="AB34" i="180"/>
  <c r="AB35" i="180"/>
  <c r="AB36" i="180"/>
  <c r="AB37" i="180"/>
  <c r="AB38" i="180"/>
  <c r="AB39" i="180"/>
  <c r="AB40" i="180"/>
  <c r="AB41" i="180"/>
  <c r="AB42" i="180"/>
  <c r="AB43" i="180"/>
  <c r="AB44" i="180"/>
  <c r="AB45" i="180"/>
  <c r="AB46" i="180"/>
  <c r="AB47" i="180"/>
  <c r="AB48" i="180"/>
  <c r="AB49" i="180"/>
  <c r="AB51" i="180"/>
  <c r="AB52" i="180"/>
  <c r="AB53" i="180"/>
  <c r="L33" i="180"/>
  <c r="Z33" i="180"/>
  <c r="P33" i="180"/>
  <c r="F60" i="180" l="1"/>
  <c r="AB50" i="180"/>
  <c r="L54" i="180"/>
  <c r="Z61" i="180"/>
  <c r="Z57" i="180"/>
  <c r="L61" i="180"/>
  <c r="L57" i="180"/>
  <c r="P54" i="180"/>
  <c r="P61" i="180"/>
  <c r="P57" i="180"/>
  <c r="Z54" i="180"/>
  <c r="AB33" i="180"/>
  <c r="AB61" i="180" s="1"/>
  <c r="N2" i="149"/>
  <c r="N3" i="149"/>
  <c r="N4" i="149"/>
  <c r="N5" i="149"/>
  <c r="N6" i="149"/>
  <c r="N7" i="149"/>
  <c r="N8" i="149"/>
  <c r="N1" i="149"/>
  <c r="AE85" i="173"/>
  <c r="I4" i="176"/>
  <c r="J4" i="176" s="1"/>
  <c r="I5" i="176"/>
  <c r="J5" i="176" s="1"/>
  <c r="I6" i="176"/>
  <c r="J6" i="176" s="1"/>
  <c r="I7" i="176"/>
  <c r="J7" i="176" s="1"/>
  <c r="I8" i="176"/>
  <c r="J8" i="176" s="1"/>
  <c r="I9" i="176"/>
  <c r="J9" i="176" s="1"/>
  <c r="I10" i="176"/>
  <c r="J10" i="176" s="1"/>
  <c r="I11" i="176"/>
  <c r="J11" i="176" s="1"/>
  <c r="I12" i="176"/>
  <c r="J12" i="176" s="1"/>
  <c r="I13" i="176"/>
  <c r="J13" i="176" s="1"/>
  <c r="I14" i="176"/>
  <c r="J14" i="176" s="1"/>
  <c r="I15" i="176"/>
  <c r="J15" i="176" s="1"/>
  <c r="I16" i="176"/>
  <c r="J16" i="176" s="1"/>
  <c r="I17" i="176"/>
  <c r="J17" i="176" s="1"/>
  <c r="I18" i="176"/>
  <c r="J18" i="176" s="1"/>
  <c r="I19" i="176"/>
  <c r="J19" i="176" s="1"/>
  <c r="I20" i="176"/>
  <c r="J20" i="176" s="1"/>
  <c r="I21" i="176"/>
  <c r="J21" i="176" s="1"/>
  <c r="I22" i="176"/>
  <c r="J22" i="176" s="1"/>
  <c r="I23" i="176"/>
  <c r="J23" i="176" s="1"/>
  <c r="I24" i="176"/>
  <c r="J24" i="176" s="1"/>
  <c r="I25" i="176"/>
  <c r="J25" i="176" s="1"/>
  <c r="I26" i="176"/>
  <c r="J26" i="176" s="1"/>
  <c r="I27" i="176"/>
  <c r="J27" i="176" s="1"/>
  <c r="I28" i="176"/>
  <c r="J28" i="176" s="1"/>
  <c r="I29" i="176"/>
  <c r="J29" i="176" s="1"/>
  <c r="I30" i="176"/>
  <c r="J30" i="176" s="1"/>
  <c r="I31" i="176"/>
  <c r="J31" i="176" s="1"/>
  <c r="I32" i="176"/>
  <c r="J32" i="176" s="1"/>
  <c r="I33" i="176"/>
  <c r="J33" i="176" s="1"/>
  <c r="I34" i="176"/>
  <c r="J34" i="176" s="1"/>
  <c r="I35" i="176"/>
  <c r="J35" i="176" s="1"/>
  <c r="I36" i="176"/>
  <c r="J36" i="176" s="1"/>
  <c r="I37" i="176"/>
  <c r="J37" i="176" s="1"/>
  <c r="I38" i="176"/>
  <c r="J38" i="176" s="1"/>
  <c r="I39" i="176"/>
  <c r="J39" i="176" s="1"/>
  <c r="I40" i="176"/>
  <c r="J40" i="176" s="1"/>
  <c r="I41" i="176"/>
  <c r="J41" i="176" s="1"/>
  <c r="I42" i="176"/>
  <c r="J42" i="176" s="1"/>
  <c r="I43" i="176"/>
  <c r="J43" i="176" s="1"/>
  <c r="I44" i="176"/>
  <c r="J44" i="176" s="1"/>
  <c r="I45" i="176"/>
  <c r="J45" i="176" s="1"/>
  <c r="I46" i="176"/>
  <c r="J46" i="176" s="1"/>
  <c r="I47" i="176"/>
  <c r="J47" i="176" s="1"/>
  <c r="I48" i="176"/>
  <c r="J48" i="176" s="1"/>
  <c r="I49" i="176"/>
  <c r="J49" i="176" s="1"/>
  <c r="I50" i="176"/>
  <c r="J50" i="176" s="1"/>
  <c r="I51" i="176"/>
  <c r="J51" i="176" s="1"/>
  <c r="I52" i="176"/>
  <c r="J52" i="176" s="1"/>
  <c r="I53" i="176"/>
  <c r="J53" i="176" s="1"/>
  <c r="I54" i="176"/>
  <c r="J54" i="176" s="1"/>
  <c r="I55" i="176"/>
  <c r="J55" i="176" s="1"/>
  <c r="I56" i="176"/>
  <c r="J56" i="176" s="1"/>
  <c r="I57" i="176"/>
  <c r="J57" i="176" s="1"/>
  <c r="I58" i="176"/>
  <c r="J58" i="176" s="1"/>
  <c r="I59" i="176"/>
  <c r="J59" i="176" s="1"/>
  <c r="I60" i="176"/>
  <c r="J60" i="176" s="1"/>
  <c r="I61" i="176"/>
  <c r="J61" i="176" s="1"/>
  <c r="I62" i="176"/>
  <c r="J62" i="176" s="1"/>
  <c r="I63" i="176"/>
  <c r="J63" i="176" s="1"/>
  <c r="I64" i="176"/>
  <c r="J64" i="176" s="1"/>
  <c r="I65" i="176"/>
  <c r="J65" i="176" s="1"/>
  <c r="I66" i="176"/>
  <c r="J66" i="176" s="1"/>
  <c r="I67" i="176"/>
  <c r="J67" i="176" s="1"/>
  <c r="I68" i="176"/>
  <c r="J68" i="176" s="1"/>
  <c r="I69" i="176"/>
  <c r="J69" i="176" s="1"/>
  <c r="I70" i="176"/>
  <c r="J70" i="176" s="1"/>
  <c r="I71" i="176"/>
  <c r="J71" i="176" s="1"/>
  <c r="I72" i="176"/>
  <c r="J72" i="176" s="1"/>
  <c r="I73" i="176"/>
  <c r="J73" i="176" s="1"/>
  <c r="I74" i="176"/>
  <c r="J74" i="176" s="1"/>
  <c r="I75" i="176"/>
  <c r="J75" i="176" s="1"/>
  <c r="I76" i="176"/>
  <c r="J76" i="176" s="1"/>
  <c r="I77" i="176"/>
  <c r="J77" i="176" s="1"/>
  <c r="I78" i="176"/>
  <c r="J78" i="176" s="1"/>
  <c r="I79" i="176"/>
  <c r="J79" i="176" s="1"/>
  <c r="I80" i="176"/>
  <c r="J80" i="176" s="1"/>
  <c r="I81" i="176"/>
  <c r="J81" i="176" s="1"/>
  <c r="I82" i="176"/>
  <c r="J82" i="176" s="1"/>
  <c r="I83" i="176"/>
  <c r="J83" i="176" s="1"/>
  <c r="I84" i="176"/>
  <c r="J84" i="176" s="1"/>
  <c r="I85" i="176"/>
  <c r="J85" i="176" s="1"/>
  <c r="I86" i="176"/>
  <c r="J86" i="176" s="1"/>
  <c r="I87" i="176"/>
  <c r="J87" i="176" s="1"/>
  <c r="I88" i="176"/>
  <c r="J88" i="176" s="1"/>
  <c r="I89" i="176"/>
  <c r="J89" i="176" s="1"/>
  <c r="I90" i="176"/>
  <c r="J90" i="176" s="1"/>
  <c r="I91" i="176"/>
  <c r="J91" i="176" s="1"/>
  <c r="I92" i="176"/>
  <c r="J92" i="176" s="1"/>
  <c r="I93" i="176"/>
  <c r="J93" i="176" s="1"/>
  <c r="I94" i="176"/>
  <c r="J94" i="176" s="1"/>
  <c r="I95" i="176"/>
  <c r="J95" i="176" s="1"/>
  <c r="I96" i="176"/>
  <c r="J96" i="176" s="1"/>
  <c r="I97" i="176"/>
  <c r="J97" i="176" s="1"/>
  <c r="I98" i="176"/>
  <c r="J98" i="176" s="1"/>
  <c r="I99" i="176"/>
  <c r="J99" i="176" s="1"/>
  <c r="I100" i="176"/>
  <c r="J100" i="176" s="1"/>
  <c r="I101" i="176"/>
  <c r="J101" i="176" s="1"/>
  <c r="I102" i="176"/>
  <c r="J102" i="176" s="1"/>
  <c r="I103" i="176"/>
  <c r="J103" i="176" s="1"/>
  <c r="I104" i="176"/>
  <c r="J104" i="176" s="1"/>
  <c r="I105" i="176"/>
  <c r="J105" i="176" s="1"/>
  <c r="I106" i="176"/>
  <c r="J106" i="176" s="1"/>
  <c r="I107" i="176"/>
  <c r="J107" i="176" s="1"/>
  <c r="I108" i="176"/>
  <c r="J108" i="176" s="1"/>
  <c r="I109" i="176"/>
  <c r="J109" i="176" s="1"/>
  <c r="I110" i="176"/>
  <c r="J110" i="176" s="1"/>
  <c r="I111" i="176"/>
  <c r="J111" i="176" s="1"/>
  <c r="I112" i="176"/>
  <c r="J112" i="176" s="1"/>
  <c r="I113" i="176"/>
  <c r="J113" i="176" s="1"/>
  <c r="I114" i="176"/>
  <c r="J114" i="176" s="1"/>
  <c r="I115" i="176"/>
  <c r="J115" i="176" s="1"/>
  <c r="I116" i="176"/>
  <c r="J116" i="176" s="1"/>
  <c r="I117" i="176"/>
  <c r="J117" i="176" s="1"/>
  <c r="I118" i="176"/>
  <c r="J118" i="176" s="1"/>
  <c r="I119" i="176"/>
  <c r="J119" i="176" s="1"/>
  <c r="I120" i="176"/>
  <c r="J120" i="176" s="1"/>
  <c r="I121" i="176"/>
  <c r="J121" i="176" s="1"/>
  <c r="I122" i="176"/>
  <c r="J122" i="176" s="1"/>
  <c r="I123" i="176"/>
  <c r="J123" i="176" s="1"/>
  <c r="I124" i="176"/>
  <c r="J124" i="176" s="1"/>
  <c r="I125" i="176"/>
  <c r="J125" i="176" s="1"/>
  <c r="I126" i="176"/>
  <c r="J126" i="176" s="1"/>
  <c r="I127" i="176"/>
  <c r="J127" i="176" s="1"/>
  <c r="I128" i="176"/>
  <c r="J128" i="176" s="1"/>
  <c r="I129" i="176"/>
  <c r="J129" i="176" s="1"/>
  <c r="I130" i="176"/>
  <c r="J130" i="176" s="1"/>
  <c r="I131" i="176"/>
  <c r="J131" i="176" s="1"/>
  <c r="I132" i="176"/>
  <c r="J132" i="176" s="1"/>
  <c r="I133" i="176"/>
  <c r="J133" i="176" s="1"/>
  <c r="I134" i="176"/>
  <c r="J134" i="176" s="1"/>
  <c r="I135" i="176"/>
  <c r="J135" i="176" s="1"/>
  <c r="I136" i="176"/>
  <c r="J136" i="176" s="1"/>
  <c r="I137" i="176"/>
  <c r="J137" i="176" s="1"/>
  <c r="I138" i="176"/>
  <c r="J138" i="176" s="1"/>
  <c r="I139" i="176"/>
  <c r="J139" i="176" s="1"/>
  <c r="I140" i="176"/>
  <c r="J140" i="176" s="1"/>
  <c r="I141" i="176"/>
  <c r="J141" i="176" s="1"/>
  <c r="I142" i="176"/>
  <c r="J142" i="176" s="1"/>
  <c r="I143" i="176"/>
  <c r="J143" i="176" s="1"/>
  <c r="I144" i="176"/>
  <c r="J144" i="176" s="1"/>
  <c r="I145" i="176"/>
  <c r="J145" i="176" s="1"/>
  <c r="I146" i="176"/>
  <c r="J146" i="176" s="1"/>
  <c r="I147" i="176"/>
  <c r="J147" i="176" s="1"/>
  <c r="I148" i="176"/>
  <c r="J148" i="176" s="1"/>
  <c r="I149" i="176"/>
  <c r="J149" i="176" s="1"/>
  <c r="I150" i="176"/>
  <c r="J150" i="176" s="1"/>
  <c r="I151" i="176"/>
  <c r="J151" i="176" s="1"/>
  <c r="I152" i="176"/>
  <c r="J152" i="176" s="1"/>
  <c r="I153" i="176"/>
  <c r="J153" i="176" s="1"/>
  <c r="I154" i="176"/>
  <c r="J154" i="176" s="1"/>
  <c r="I155" i="176"/>
  <c r="J155" i="176" s="1"/>
  <c r="I156" i="176"/>
  <c r="J156" i="176" s="1"/>
  <c r="I157" i="176"/>
  <c r="J157" i="176" s="1"/>
  <c r="I158" i="176"/>
  <c r="J158" i="176" s="1"/>
  <c r="I159" i="176"/>
  <c r="J159" i="176" s="1"/>
  <c r="I160" i="176"/>
  <c r="J160" i="176" s="1"/>
  <c r="I161" i="176"/>
  <c r="J161" i="176" s="1"/>
  <c r="I162" i="176"/>
  <c r="J162" i="176" s="1"/>
  <c r="I163" i="176"/>
  <c r="J163" i="176" s="1"/>
  <c r="I164" i="176"/>
  <c r="J164" i="176" s="1"/>
  <c r="I165" i="176"/>
  <c r="J165" i="176" s="1"/>
  <c r="I166" i="176"/>
  <c r="J166" i="176" s="1"/>
  <c r="I167" i="176"/>
  <c r="J167" i="176" s="1"/>
  <c r="I168" i="176"/>
  <c r="J168" i="176" s="1"/>
  <c r="I169" i="176"/>
  <c r="J169" i="176" s="1"/>
  <c r="I170" i="176"/>
  <c r="J170" i="176" s="1"/>
  <c r="I171" i="176"/>
  <c r="J171" i="176" s="1"/>
  <c r="I172" i="176"/>
  <c r="J172" i="176" s="1"/>
  <c r="I173" i="176"/>
  <c r="J173" i="176" s="1"/>
  <c r="I174" i="176"/>
  <c r="J174" i="176" s="1"/>
  <c r="I175" i="176"/>
  <c r="J175" i="176" s="1"/>
  <c r="I176" i="176"/>
  <c r="J176" i="176" s="1"/>
  <c r="I177" i="176"/>
  <c r="J177" i="176" s="1"/>
  <c r="I178" i="176"/>
  <c r="J178" i="176" s="1"/>
  <c r="I179" i="176"/>
  <c r="J179" i="176" s="1"/>
  <c r="I180" i="176"/>
  <c r="J180" i="176" s="1"/>
  <c r="I181" i="176"/>
  <c r="J181" i="176" s="1"/>
  <c r="I182" i="176"/>
  <c r="J182" i="176" s="1"/>
  <c r="I183" i="176"/>
  <c r="J183" i="176" s="1"/>
  <c r="I184" i="176"/>
  <c r="J184" i="176" s="1"/>
  <c r="I185" i="176"/>
  <c r="J185" i="176" s="1"/>
  <c r="I186" i="176"/>
  <c r="J186" i="176" s="1"/>
  <c r="I187" i="176"/>
  <c r="J187" i="176" s="1"/>
  <c r="I188" i="176"/>
  <c r="J188" i="176" s="1"/>
  <c r="I189" i="176"/>
  <c r="J189" i="176" s="1"/>
  <c r="I190" i="176"/>
  <c r="J190" i="176" s="1"/>
  <c r="I191" i="176"/>
  <c r="J191" i="176" s="1"/>
  <c r="I192" i="176"/>
  <c r="J192" i="176" s="1"/>
  <c r="I193" i="176"/>
  <c r="J193" i="176" s="1"/>
  <c r="I194" i="176"/>
  <c r="J194" i="176" s="1"/>
  <c r="I195" i="176"/>
  <c r="J195" i="176" s="1"/>
  <c r="I196" i="176"/>
  <c r="J196" i="176" s="1"/>
  <c r="I197" i="176"/>
  <c r="J197" i="176" s="1"/>
  <c r="I198" i="176"/>
  <c r="J198" i="176" s="1"/>
  <c r="I199" i="176"/>
  <c r="J199" i="176" s="1"/>
  <c r="I200" i="176"/>
  <c r="J200" i="176" s="1"/>
  <c r="I201" i="176"/>
  <c r="J201" i="176" s="1"/>
  <c r="I202" i="176"/>
  <c r="J202" i="176" s="1"/>
  <c r="I203" i="176"/>
  <c r="J203" i="176" s="1"/>
  <c r="I204" i="176"/>
  <c r="J204" i="176" s="1"/>
  <c r="I205" i="176"/>
  <c r="J205" i="176" s="1"/>
  <c r="I206" i="176"/>
  <c r="J206" i="176" s="1"/>
  <c r="I207" i="176"/>
  <c r="J207" i="176" s="1"/>
  <c r="I208" i="176"/>
  <c r="J208" i="176" s="1"/>
  <c r="I209" i="176"/>
  <c r="J209" i="176" s="1"/>
  <c r="I210" i="176"/>
  <c r="J210" i="176" s="1"/>
  <c r="I211" i="176"/>
  <c r="J211" i="176" s="1"/>
  <c r="I212" i="176"/>
  <c r="J212" i="176" s="1"/>
  <c r="I213" i="176"/>
  <c r="J213" i="176" s="1"/>
  <c r="I214" i="176"/>
  <c r="J214" i="176" s="1"/>
  <c r="I215" i="176"/>
  <c r="J215" i="176" s="1"/>
  <c r="I216" i="176"/>
  <c r="J216" i="176" s="1"/>
  <c r="I217" i="176"/>
  <c r="J217" i="176" s="1"/>
  <c r="I218" i="176"/>
  <c r="J218" i="176" s="1"/>
  <c r="I219" i="176"/>
  <c r="J219" i="176" s="1"/>
  <c r="I220" i="176"/>
  <c r="J220" i="176" s="1"/>
  <c r="I221" i="176"/>
  <c r="J221" i="176" s="1"/>
  <c r="I222" i="176"/>
  <c r="J222" i="176" s="1"/>
  <c r="I223" i="176"/>
  <c r="J223" i="176" s="1"/>
  <c r="I224" i="176"/>
  <c r="J224" i="176" s="1"/>
  <c r="I225" i="176"/>
  <c r="J225" i="176" s="1"/>
  <c r="I226" i="176"/>
  <c r="J226" i="176" s="1"/>
  <c r="I227" i="176"/>
  <c r="J227" i="176" s="1"/>
  <c r="I228" i="176"/>
  <c r="J228" i="176" s="1"/>
  <c r="I229" i="176"/>
  <c r="J229" i="176" s="1"/>
  <c r="I230" i="176"/>
  <c r="J230" i="176" s="1"/>
  <c r="I231" i="176"/>
  <c r="J231" i="176" s="1"/>
  <c r="I232" i="176"/>
  <c r="J232" i="176" s="1"/>
  <c r="I233" i="176"/>
  <c r="J233" i="176" s="1"/>
  <c r="I234" i="176"/>
  <c r="J234" i="176" s="1"/>
  <c r="I235" i="176"/>
  <c r="J235" i="176" s="1"/>
  <c r="I236" i="176"/>
  <c r="J236" i="176" s="1"/>
  <c r="I237" i="176"/>
  <c r="J237" i="176" s="1"/>
  <c r="I238" i="176"/>
  <c r="J238" i="176" s="1"/>
  <c r="I239" i="176"/>
  <c r="J239" i="176" s="1"/>
  <c r="I240" i="176"/>
  <c r="J240" i="176" s="1"/>
  <c r="I241" i="176"/>
  <c r="J241" i="176" s="1"/>
  <c r="I242" i="176"/>
  <c r="J242" i="176" s="1"/>
  <c r="I243" i="176"/>
  <c r="J243" i="176" s="1"/>
  <c r="I244" i="176"/>
  <c r="J244" i="176" s="1"/>
  <c r="I245" i="176"/>
  <c r="J245" i="176" s="1"/>
  <c r="I246" i="176"/>
  <c r="J246" i="176" s="1"/>
  <c r="I247" i="176"/>
  <c r="J247" i="176" s="1"/>
  <c r="I248" i="176"/>
  <c r="J248" i="176" s="1"/>
  <c r="I249" i="176"/>
  <c r="J249" i="176" s="1"/>
  <c r="I250" i="176"/>
  <c r="J250" i="176" s="1"/>
  <c r="I251" i="176"/>
  <c r="J251" i="176" s="1"/>
  <c r="I252" i="176"/>
  <c r="J252" i="176" s="1"/>
  <c r="I253" i="176"/>
  <c r="J253" i="176" s="1"/>
  <c r="I254" i="176"/>
  <c r="J254" i="176" s="1"/>
  <c r="I255" i="176"/>
  <c r="J255" i="176" s="1"/>
  <c r="I256" i="176"/>
  <c r="J256" i="176" s="1"/>
  <c r="I257" i="176"/>
  <c r="J257" i="176" s="1"/>
  <c r="I258" i="176"/>
  <c r="J258" i="176" s="1"/>
  <c r="I259" i="176"/>
  <c r="J259" i="176" s="1"/>
  <c r="I260" i="176"/>
  <c r="J260" i="176" s="1"/>
  <c r="I261" i="176"/>
  <c r="J261" i="176" s="1"/>
  <c r="I262" i="176"/>
  <c r="J262" i="176" s="1"/>
  <c r="I263" i="176"/>
  <c r="J263" i="176" s="1"/>
  <c r="I264" i="176"/>
  <c r="J264" i="176" s="1"/>
  <c r="I265" i="176"/>
  <c r="J265" i="176" s="1"/>
  <c r="I266" i="176"/>
  <c r="J266" i="176" s="1"/>
  <c r="I267" i="176"/>
  <c r="J267" i="176" s="1"/>
  <c r="I268" i="176"/>
  <c r="J268" i="176" s="1"/>
  <c r="I269" i="176"/>
  <c r="J269" i="176" s="1"/>
  <c r="I270" i="176"/>
  <c r="J270" i="176" s="1"/>
  <c r="I271" i="176"/>
  <c r="J271" i="176" s="1"/>
  <c r="I272" i="176"/>
  <c r="J272" i="176" s="1"/>
  <c r="I273" i="176"/>
  <c r="J273" i="176" s="1"/>
  <c r="I274" i="176"/>
  <c r="J274" i="176" s="1"/>
  <c r="I275" i="176"/>
  <c r="J275" i="176" s="1"/>
  <c r="I276" i="176"/>
  <c r="J276" i="176" s="1"/>
  <c r="I277" i="176"/>
  <c r="J277" i="176" s="1"/>
  <c r="I278" i="176"/>
  <c r="J278" i="176" s="1"/>
  <c r="I279" i="176"/>
  <c r="J279" i="176" s="1"/>
  <c r="I280" i="176"/>
  <c r="J280" i="176" s="1"/>
  <c r="I281" i="176"/>
  <c r="J281" i="176" s="1"/>
  <c r="I282" i="176"/>
  <c r="J282" i="176" s="1"/>
  <c r="I283" i="176"/>
  <c r="J283" i="176" s="1"/>
  <c r="I284" i="176"/>
  <c r="J284" i="176" s="1"/>
  <c r="I285" i="176"/>
  <c r="J285" i="176" s="1"/>
  <c r="I286" i="176"/>
  <c r="J286" i="176" s="1"/>
  <c r="I287" i="176"/>
  <c r="J287" i="176" s="1"/>
  <c r="I288" i="176"/>
  <c r="J288" i="176" s="1"/>
  <c r="I289" i="176"/>
  <c r="J289" i="176" s="1"/>
  <c r="I290" i="176"/>
  <c r="J290" i="176" s="1"/>
  <c r="I291" i="176"/>
  <c r="J291" i="176" s="1"/>
  <c r="I292" i="176"/>
  <c r="J292" i="176" s="1"/>
  <c r="I293" i="176"/>
  <c r="J293" i="176" s="1"/>
  <c r="I294" i="176"/>
  <c r="J294" i="176" s="1"/>
  <c r="I295" i="176"/>
  <c r="J295" i="176" s="1"/>
  <c r="I296" i="176"/>
  <c r="J296" i="176" s="1"/>
  <c r="I297" i="176"/>
  <c r="J297" i="176" s="1"/>
  <c r="I298" i="176"/>
  <c r="J298" i="176" s="1"/>
  <c r="I299" i="176"/>
  <c r="J299" i="176" s="1"/>
  <c r="I300" i="176"/>
  <c r="J300" i="176" s="1"/>
  <c r="I301" i="176"/>
  <c r="J301" i="176" s="1"/>
  <c r="I302" i="176"/>
  <c r="J302" i="176" s="1"/>
  <c r="I303" i="176"/>
  <c r="J303" i="176" s="1"/>
  <c r="I304" i="176"/>
  <c r="J304" i="176" s="1"/>
  <c r="I305" i="176"/>
  <c r="J305" i="176" s="1"/>
  <c r="I306" i="176"/>
  <c r="J306" i="176" s="1"/>
  <c r="I307" i="176"/>
  <c r="J307" i="176" s="1"/>
  <c r="I308" i="176"/>
  <c r="J308" i="176" s="1"/>
  <c r="I309" i="176"/>
  <c r="J309" i="176" s="1"/>
  <c r="I310" i="176"/>
  <c r="J310" i="176" s="1"/>
  <c r="I311" i="176"/>
  <c r="J311" i="176" s="1"/>
  <c r="I312" i="176"/>
  <c r="J312" i="176" s="1"/>
  <c r="I313" i="176"/>
  <c r="J313" i="176" s="1"/>
  <c r="I314" i="176"/>
  <c r="J314" i="176" s="1"/>
  <c r="I315" i="176"/>
  <c r="J315" i="176" s="1"/>
  <c r="I316" i="176"/>
  <c r="J316" i="176" s="1"/>
  <c r="I317" i="176"/>
  <c r="J317" i="176" s="1"/>
  <c r="I318" i="176"/>
  <c r="J318" i="176" s="1"/>
  <c r="I319" i="176"/>
  <c r="J319" i="176" s="1"/>
  <c r="I320" i="176"/>
  <c r="J320" i="176" s="1"/>
  <c r="I321" i="176"/>
  <c r="J321" i="176" s="1"/>
  <c r="I322" i="176"/>
  <c r="J322" i="176" s="1"/>
  <c r="I323" i="176"/>
  <c r="J323" i="176" s="1"/>
  <c r="I324" i="176"/>
  <c r="J324" i="176" s="1"/>
  <c r="I325" i="176"/>
  <c r="J325" i="176" s="1"/>
  <c r="I326" i="176"/>
  <c r="J326" i="176" s="1"/>
  <c r="I327" i="176"/>
  <c r="J327" i="176" s="1"/>
  <c r="I328" i="176"/>
  <c r="J328" i="176" s="1"/>
  <c r="I329" i="176"/>
  <c r="J329" i="176" s="1"/>
  <c r="I330" i="176"/>
  <c r="J330" i="176" s="1"/>
  <c r="I331" i="176"/>
  <c r="J331" i="176" s="1"/>
  <c r="I332" i="176"/>
  <c r="J332" i="176" s="1"/>
  <c r="I333" i="176"/>
  <c r="J333" i="176" s="1"/>
  <c r="I334" i="176"/>
  <c r="J334" i="176" s="1"/>
  <c r="I335" i="176"/>
  <c r="J335" i="176" s="1"/>
  <c r="I336" i="176"/>
  <c r="J336" i="176" s="1"/>
  <c r="I337" i="176"/>
  <c r="J337" i="176" s="1"/>
  <c r="I338" i="176"/>
  <c r="J338" i="176" s="1"/>
  <c r="I339" i="176"/>
  <c r="J339" i="176" s="1"/>
  <c r="I340" i="176"/>
  <c r="J340" i="176" s="1"/>
  <c r="I341" i="176"/>
  <c r="J341" i="176" s="1"/>
  <c r="I342" i="176"/>
  <c r="J342" i="176" s="1"/>
  <c r="I343" i="176"/>
  <c r="J343" i="176" s="1"/>
  <c r="I344" i="176"/>
  <c r="J344" i="176" s="1"/>
  <c r="I345" i="176"/>
  <c r="J345" i="176" s="1"/>
  <c r="I346" i="176"/>
  <c r="J346" i="176" s="1"/>
  <c r="I347" i="176"/>
  <c r="J347" i="176" s="1"/>
  <c r="I348" i="176"/>
  <c r="J348" i="176" s="1"/>
  <c r="I349" i="176"/>
  <c r="J349" i="176" s="1"/>
  <c r="I350" i="176"/>
  <c r="J350" i="176" s="1"/>
  <c r="I351" i="176"/>
  <c r="J351" i="176" s="1"/>
  <c r="I352" i="176"/>
  <c r="J352" i="176" s="1"/>
  <c r="I353" i="176"/>
  <c r="J353" i="176" s="1"/>
  <c r="I354" i="176"/>
  <c r="J354" i="176" s="1"/>
  <c r="I355" i="176"/>
  <c r="J355" i="176" s="1"/>
  <c r="I356" i="176"/>
  <c r="J356" i="176" s="1"/>
  <c r="I357" i="176"/>
  <c r="J357" i="176" s="1"/>
  <c r="I358" i="176"/>
  <c r="J358" i="176" s="1"/>
  <c r="I359" i="176"/>
  <c r="J359" i="176" s="1"/>
  <c r="I360" i="176"/>
  <c r="J360" i="176" s="1"/>
  <c r="I361" i="176"/>
  <c r="J361" i="176" s="1"/>
  <c r="I362" i="176"/>
  <c r="J362" i="176" s="1"/>
  <c r="I363" i="176"/>
  <c r="J363" i="176" s="1"/>
  <c r="I364" i="176"/>
  <c r="J364" i="176" s="1"/>
  <c r="I365" i="176"/>
  <c r="J365" i="176" s="1"/>
  <c r="I366" i="176"/>
  <c r="J366" i="176" s="1"/>
  <c r="I367" i="176"/>
  <c r="J367" i="176" s="1"/>
  <c r="I368" i="176"/>
  <c r="J368" i="176" s="1"/>
  <c r="I369" i="176"/>
  <c r="J369" i="176" s="1"/>
  <c r="I370" i="176"/>
  <c r="J370" i="176" s="1"/>
  <c r="I371" i="176"/>
  <c r="J371" i="176" s="1"/>
  <c r="I372" i="176"/>
  <c r="J372" i="176" s="1"/>
  <c r="I373" i="176"/>
  <c r="J373" i="176" s="1"/>
  <c r="I374" i="176"/>
  <c r="J374" i="176" s="1"/>
  <c r="C18" i="177"/>
  <c r="AI19" i="177" s="1"/>
  <c r="AJ42" i="178"/>
  <c r="AG42" i="178"/>
  <c r="AF42" i="178"/>
  <c r="AE42" i="178"/>
  <c r="AD42" i="178"/>
  <c r="AC42" i="178"/>
  <c r="AB42" i="178"/>
  <c r="AA42" i="178"/>
  <c r="Z42" i="178"/>
  <c r="Y42" i="178"/>
  <c r="X42" i="178"/>
  <c r="W42" i="178"/>
  <c r="V42" i="178"/>
  <c r="U42" i="178"/>
  <c r="T42" i="178"/>
  <c r="S42" i="178"/>
  <c r="R42" i="178"/>
  <c r="Q42" i="178"/>
  <c r="P42" i="178"/>
  <c r="O42" i="178"/>
  <c r="N42" i="178"/>
  <c r="M42" i="178"/>
  <c r="L42" i="178"/>
  <c r="K42" i="178"/>
  <c r="J42" i="178"/>
  <c r="I42" i="178"/>
  <c r="H42" i="178"/>
  <c r="G42" i="178"/>
  <c r="F42" i="178"/>
  <c r="E42" i="178"/>
  <c r="D42" i="178"/>
  <c r="C42" i="178"/>
  <c r="AH41" i="178"/>
  <c r="AH40" i="178"/>
  <c r="AH39" i="178"/>
  <c r="AH38" i="178"/>
  <c r="AH37" i="178"/>
  <c r="AH36" i="178"/>
  <c r="AH35" i="178"/>
  <c r="AH34" i="178"/>
  <c r="AH33" i="178"/>
  <c r="AH32" i="178"/>
  <c r="AH31" i="178"/>
  <c r="A28" i="178"/>
  <c r="AJ25" i="178"/>
  <c r="AI25" i="178"/>
  <c r="AG25" i="178"/>
  <c r="AF25" i="178"/>
  <c r="AE25" i="178"/>
  <c r="AD25" i="178"/>
  <c r="AC25" i="178"/>
  <c r="AB25" i="178"/>
  <c r="AA25" i="178"/>
  <c r="Z25" i="178"/>
  <c r="Y25" i="178"/>
  <c r="X25" i="178"/>
  <c r="W25" i="178"/>
  <c r="V25" i="178"/>
  <c r="U25" i="178"/>
  <c r="T25" i="178"/>
  <c r="S25" i="178"/>
  <c r="R25" i="178"/>
  <c r="Q25" i="178"/>
  <c r="P25" i="178"/>
  <c r="O25" i="178"/>
  <c r="N25" i="178"/>
  <c r="M25" i="178"/>
  <c r="L25" i="178"/>
  <c r="K25" i="178"/>
  <c r="J25" i="178"/>
  <c r="I25" i="178"/>
  <c r="H25" i="178"/>
  <c r="G25" i="178"/>
  <c r="F25" i="178"/>
  <c r="E25" i="178"/>
  <c r="D25" i="178"/>
  <c r="C25" i="178"/>
  <c r="AH24" i="178"/>
  <c r="AH23" i="178"/>
  <c r="Q56" i="178" s="1"/>
  <c r="R16" i="177" s="1"/>
  <c r="AH22" i="178"/>
  <c r="M55" i="178" s="1"/>
  <c r="N15" i="177" s="1"/>
  <c r="AH21" i="178"/>
  <c r="J54" i="178" s="1"/>
  <c r="K14" i="177" s="1"/>
  <c r="AH20" i="178"/>
  <c r="AH19" i="178"/>
  <c r="AD52" i="178" s="1"/>
  <c r="AE12" i="177" s="1"/>
  <c r="AH18" i="178"/>
  <c r="AA51" i="178" s="1"/>
  <c r="AB11" i="177" s="1"/>
  <c r="AH17" i="178"/>
  <c r="AH50" i="178" s="1"/>
  <c r="AH16" i="178"/>
  <c r="AH15" i="178"/>
  <c r="AD48" i="178" s="1"/>
  <c r="AE8" i="177" s="1"/>
  <c r="AH14" i="178"/>
  <c r="AH47" i="178" s="1"/>
  <c r="A8" i="178"/>
  <c r="AG3" i="162"/>
  <c r="AH3" i="162" s="1"/>
  <c r="AI3" i="162" s="1"/>
  <c r="AJ3" i="162" s="1"/>
  <c r="AK3" i="162" s="1"/>
  <c r="AL3" i="162" s="1"/>
  <c r="AM3" i="162" s="1"/>
  <c r="AN3" i="162" s="1"/>
  <c r="AO3" i="162" s="1"/>
  <c r="AP3" i="162" s="1"/>
  <c r="AQ3" i="162" s="1"/>
  <c r="AR3" i="162" s="1"/>
  <c r="AG4" i="162"/>
  <c r="AH4" i="162" s="1"/>
  <c r="AI4" i="162" s="1"/>
  <c r="AJ4" i="162" s="1"/>
  <c r="AK4" i="162" s="1"/>
  <c r="AL4" i="162" s="1"/>
  <c r="AM4" i="162" s="1"/>
  <c r="AN4" i="162" s="1"/>
  <c r="AO4" i="162" s="1"/>
  <c r="AP4" i="162" s="1"/>
  <c r="AQ4" i="162" s="1"/>
  <c r="AR4" i="162" s="1"/>
  <c r="AG6" i="162"/>
  <c r="AH6" i="162" s="1"/>
  <c r="AI6" i="162" s="1"/>
  <c r="AJ6" i="162" s="1"/>
  <c r="AK6" i="162" s="1"/>
  <c r="AL6" i="162" s="1"/>
  <c r="AM6" i="162" s="1"/>
  <c r="AN6" i="162" s="1"/>
  <c r="AO6" i="162" s="1"/>
  <c r="AP6" i="162" s="1"/>
  <c r="AQ6" i="162" s="1"/>
  <c r="AR6" i="162" s="1"/>
  <c r="AG8" i="162"/>
  <c r="AH8" i="162" s="1"/>
  <c r="AI8" i="162" s="1"/>
  <c r="AJ8" i="162" s="1"/>
  <c r="AK8" i="162" s="1"/>
  <c r="AL8" i="162" s="1"/>
  <c r="AM8" i="162" s="1"/>
  <c r="AN8" i="162" s="1"/>
  <c r="AO8" i="162" s="1"/>
  <c r="AP8" i="162" s="1"/>
  <c r="AQ8" i="162" s="1"/>
  <c r="AR8" i="162" s="1"/>
  <c r="N81" i="162"/>
  <c r="O81" i="162"/>
  <c r="P81" i="162"/>
  <c r="R81" i="162"/>
  <c r="S81" i="162"/>
  <c r="T81" i="162"/>
  <c r="U81" i="162"/>
  <c r="V81" i="162"/>
  <c r="W81" i="162"/>
  <c r="X81" i="162"/>
  <c r="Y81" i="162"/>
  <c r="Z81" i="162"/>
  <c r="AA81" i="162"/>
  <c r="AB81" i="162"/>
  <c r="AD81" i="162"/>
  <c r="M76" i="162"/>
  <c r="AG1" i="162" s="1"/>
  <c r="AH1" i="162" s="1"/>
  <c r="AI1" i="162" s="1"/>
  <c r="M62" i="162"/>
  <c r="AG7" i="162" s="1"/>
  <c r="AH7" i="162" s="1"/>
  <c r="AI7" i="162" s="1"/>
  <c r="AJ7" i="162" s="1"/>
  <c r="AK7" i="162" s="1"/>
  <c r="AL7" i="162" s="1"/>
  <c r="AM7" i="162" s="1"/>
  <c r="AN7" i="162" s="1"/>
  <c r="AO7" i="162" s="1"/>
  <c r="AP7" i="162" s="1"/>
  <c r="AQ7" i="162" s="1"/>
  <c r="AR7" i="162" s="1"/>
  <c r="Q55" i="162"/>
  <c r="AC55" i="162"/>
  <c r="M55" i="162"/>
  <c r="AG2" i="162" s="1"/>
  <c r="AH2" i="162" s="1"/>
  <c r="AI2" i="162" s="1"/>
  <c r="AJ2" i="162" s="1"/>
  <c r="AK2" i="162" s="1"/>
  <c r="AL2" i="162" s="1"/>
  <c r="AM2" i="162" s="1"/>
  <c r="AN2" i="162" s="1"/>
  <c r="AO2" i="162" s="1"/>
  <c r="AP2" i="162" s="1"/>
  <c r="AQ2" i="162" s="1"/>
  <c r="AR2" i="162" s="1"/>
  <c r="AE77" i="162"/>
  <c r="AE68" i="162"/>
  <c r="AE60" i="162"/>
  <c r="Q38" i="162"/>
  <c r="M38" i="162"/>
  <c r="AG5" i="162" s="1"/>
  <c r="AH5" i="162" s="1"/>
  <c r="AI5" i="162" s="1"/>
  <c r="AJ5" i="162" s="1"/>
  <c r="AK5" i="162" s="1"/>
  <c r="AL5" i="162" s="1"/>
  <c r="AM5" i="162" s="1"/>
  <c r="AN5" i="162" s="1"/>
  <c r="AO5" i="162" s="1"/>
  <c r="AP5" i="162" s="1"/>
  <c r="AQ5" i="162" s="1"/>
  <c r="AR5" i="162" s="1"/>
  <c r="G83" i="162"/>
  <c r="L87" i="162"/>
  <c r="I3" i="176"/>
  <c r="J3" i="176" s="1"/>
  <c r="Q81" i="162" l="1"/>
  <c r="AB63" i="180"/>
  <c r="AB65" i="180" s="1"/>
  <c r="AE55" i="162"/>
  <c r="W47" i="178"/>
  <c r="X7" i="177" s="1"/>
  <c r="R48" i="178"/>
  <c r="S8" i="177" s="1"/>
  <c r="AE38" i="162"/>
  <c r="W54" i="178"/>
  <c r="X14" i="177" s="1"/>
  <c r="AG56" i="178"/>
  <c r="AH16" i="177" s="1"/>
  <c r="J50" i="178"/>
  <c r="K10" i="177" s="1"/>
  <c r="R51" i="178"/>
  <c r="S11" i="177" s="1"/>
  <c r="AE76" i="162"/>
  <c r="K47" i="178"/>
  <c r="L7" i="177" s="1"/>
  <c r="N9" i="149"/>
  <c r="N11" i="149" s="1"/>
  <c r="O8" i="149" s="1"/>
  <c r="AB54" i="180"/>
  <c r="AB57" i="180"/>
  <c r="T59" i="180" s="1"/>
  <c r="T60" i="180" s="1"/>
  <c r="AE62" i="162"/>
  <c r="O47" i="178"/>
  <c r="P7" i="177" s="1"/>
  <c r="Z48" i="178"/>
  <c r="AA8" i="177" s="1"/>
  <c r="Z51" i="178"/>
  <c r="AA11" i="177" s="1"/>
  <c r="G55" i="178"/>
  <c r="H15" i="177" s="1"/>
  <c r="M81" i="162"/>
  <c r="S47" i="178"/>
  <c r="T7" i="177" s="1"/>
  <c r="AH48" i="178"/>
  <c r="AH51" i="178"/>
  <c r="AG55" i="178"/>
  <c r="AH15" i="177" s="1"/>
  <c r="AA47" i="178"/>
  <c r="AB7" i="177" s="1"/>
  <c r="R50" i="178"/>
  <c r="S10" i="177" s="1"/>
  <c r="R52" i="178"/>
  <c r="S12" i="177" s="1"/>
  <c r="AC81" i="162"/>
  <c r="AE47" i="178"/>
  <c r="AF7" i="177" s="1"/>
  <c r="Z50" i="178"/>
  <c r="AA10" i="177" s="1"/>
  <c r="Z52" i="178"/>
  <c r="AA12" i="177" s="1"/>
  <c r="J52" i="178"/>
  <c r="K12" i="177" s="1"/>
  <c r="C47" i="178"/>
  <c r="D7" i="177" s="1"/>
  <c r="C48" i="178"/>
  <c r="D8" i="177" s="1"/>
  <c r="AH52" i="178"/>
  <c r="G47" i="178"/>
  <c r="H7" i="177" s="1"/>
  <c r="J48" i="178"/>
  <c r="K8" i="177" s="1"/>
  <c r="J51" i="178"/>
  <c r="K11" i="177" s="1"/>
  <c r="AF63" i="178"/>
  <c r="AB63" i="178"/>
  <c r="X63" i="178"/>
  <c r="T63" i="178"/>
  <c r="P63" i="178"/>
  <c r="L63" i="178"/>
  <c r="H63" i="178"/>
  <c r="D63" i="178"/>
  <c r="AE63" i="178"/>
  <c r="AA63" i="178"/>
  <c r="W63" i="178"/>
  <c r="S63" i="178"/>
  <c r="O63" i="178"/>
  <c r="K63" i="178"/>
  <c r="G63" i="178"/>
  <c r="C63" i="178"/>
  <c r="AH63" i="178"/>
  <c r="AD63" i="178"/>
  <c r="Z63" i="178"/>
  <c r="V63" i="178"/>
  <c r="R63" i="178"/>
  <c r="N63" i="178"/>
  <c r="J63" i="178"/>
  <c r="F63" i="178"/>
  <c r="U63" i="178"/>
  <c r="E63" i="178"/>
  <c r="AG63" i="178"/>
  <c r="Q63" i="178"/>
  <c r="AC63" i="178"/>
  <c r="M63" i="178"/>
  <c r="I63" i="178"/>
  <c r="AG67" i="178"/>
  <c r="AC67" i="178"/>
  <c r="Y67" i="178"/>
  <c r="U67" i="178"/>
  <c r="Q67" i="178"/>
  <c r="M67" i="178"/>
  <c r="I67" i="178"/>
  <c r="E67" i="178"/>
  <c r="AE67" i="178"/>
  <c r="AA67" i="178"/>
  <c r="W67" i="178"/>
  <c r="S67" i="178"/>
  <c r="O67" i="178"/>
  <c r="K67" i="178"/>
  <c r="G67" i="178"/>
  <c r="C67" i="178"/>
  <c r="AH67" i="178"/>
  <c r="Z67" i="178"/>
  <c r="R67" i="178"/>
  <c r="J67" i="178"/>
  <c r="AF67" i="178"/>
  <c r="X67" i="178"/>
  <c r="P67" i="178"/>
  <c r="H67" i="178"/>
  <c r="AD67" i="178"/>
  <c r="V67" i="178"/>
  <c r="N67" i="178"/>
  <c r="F67" i="178"/>
  <c r="AB67" i="178"/>
  <c r="T67" i="178"/>
  <c r="L67" i="178"/>
  <c r="D67" i="178"/>
  <c r="AG71" i="178"/>
  <c r="AC71" i="178"/>
  <c r="Y71" i="178"/>
  <c r="U71" i="178"/>
  <c r="Q71" i="178"/>
  <c r="M71" i="178"/>
  <c r="I71" i="178"/>
  <c r="E71" i="178"/>
  <c r="AE71" i="178"/>
  <c r="AA71" i="178"/>
  <c r="W71" i="178"/>
  <c r="S71" i="178"/>
  <c r="O71" i="178"/>
  <c r="K71" i="178"/>
  <c r="G71" i="178"/>
  <c r="C71" i="178"/>
  <c r="AH71" i="178"/>
  <c r="Z71" i="178"/>
  <c r="R71" i="178"/>
  <c r="J71" i="178"/>
  <c r="AF71" i="178"/>
  <c r="X71" i="178"/>
  <c r="P71" i="178"/>
  <c r="H71" i="178"/>
  <c r="AD71" i="178"/>
  <c r="V71" i="178"/>
  <c r="N71" i="178"/>
  <c r="F71" i="178"/>
  <c r="AB71" i="178"/>
  <c r="T71" i="178"/>
  <c r="L71" i="178"/>
  <c r="D71" i="178"/>
  <c r="AH42" i="178"/>
  <c r="L43" i="178" s="1"/>
  <c r="AG49" i="178"/>
  <c r="AH9" i="177" s="1"/>
  <c r="AC49" i="178"/>
  <c r="AD9" i="177" s="1"/>
  <c r="Y49" i="178"/>
  <c r="Z9" i="177" s="1"/>
  <c r="U49" i="178"/>
  <c r="V9" i="177" s="1"/>
  <c r="Q49" i="178"/>
  <c r="R9" i="177" s="1"/>
  <c r="M49" i="178"/>
  <c r="N9" i="177" s="1"/>
  <c r="I49" i="178"/>
  <c r="J9" i="177" s="1"/>
  <c r="E49" i="178"/>
  <c r="F9" i="177" s="1"/>
  <c r="AF49" i="178"/>
  <c r="AG9" i="177" s="1"/>
  <c r="AB49" i="178"/>
  <c r="AC9" i="177" s="1"/>
  <c r="X49" i="178"/>
  <c r="Y9" i="177" s="1"/>
  <c r="T49" i="178"/>
  <c r="U9" i="177" s="1"/>
  <c r="P49" i="178"/>
  <c r="Q9" i="177" s="1"/>
  <c r="L49" i="178"/>
  <c r="M9" i="177" s="1"/>
  <c r="H49" i="178"/>
  <c r="I9" i="177" s="1"/>
  <c r="D49" i="178"/>
  <c r="E9" i="177" s="1"/>
  <c r="AE49" i="178"/>
  <c r="AF9" i="177" s="1"/>
  <c r="W49" i="178"/>
  <c r="X9" i="177" s="1"/>
  <c r="O49" i="178"/>
  <c r="P9" i="177" s="1"/>
  <c r="G49" i="178"/>
  <c r="H9" i="177" s="1"/>
  <c r="R49" i="178"/>
  <c r="S9" i="177" s="1"/>
  <c r="J49" i="178"/>
  <c r="K9" i="177" s="1"/>
  <c r="AD49" i="178"/>
  <c r="AE9" i="177" s="1"/>
  <c r="V49" i="178"/>
  <c r="W9" i="177" s="1"/>
  <c r="N49" i="178"/>
  <c r="O9" i="177" s="1"/>
  <c r="F49" i="178"/>
  <c r="G9" i="177" s="1"/>
  <c r="AA49" i="178"/>
  <c r="AB9" i="177" s="1"/>
  <c r="S49" i="178"/>
  <c r="T9" i="177" s="1"/>
  <c r="K49" i="178"/>
  <c r="L9" i="177" s="1"/>
  <c r="C49" i="178"/>
  <c r="D9" i="177" s="1"/>
  <c r="AH49" i="178"/>
  <c r="Z49" i="178"/>
  <c r="AA9" i="177" s="1"/>
  <c r="AG53" i="178"/>
  <c r="AH13" i="177" s="1"/>
  <c r="AC53" i="178"/>
  <c r="AD13" i="177" s="1"/>
  <c r="Y53" i="178"/>
  <c r="Z13" i="177" s="1"/>
  <c r="U53" i="178"/>
  <c r="V13" i="177" s="1"/>
  <c r="Q53" i="178"/>
  <c r="R13" i="177" s="1"/>
  <c r="M53" i="178"/>
  <c r="N13" i="177" s="1"/>
  <c r="I53" i="178"/>
  <c r="J13" i="177" s="1"/>
  <c r="E53" i="178"/>
  <c r="F13" i="177" s="1"/>
  <c r="AF53" i="178"/>
  <c r="AG13" i="177" s="1"/>
  <c r="AB53" i="178"/>
  <c r="AC13" i="177" s="1"/>
  <c r="X53" i="178"/>
  <c r="Y13" i="177" s="1"/>
  <c r="T53" i="178"/>
  <c r="U13" i="177" s="1"/>
  <c r="P53" i="178"/>
  <c r="Q13" i="177" s="1"/>
  <c r="L53" i="178"/>
  <c r="M13" i="177" s="1"/>
  <c r="H53" i="178"/>
  <c r="I13" i="177" s="1"/>
  <c r="D53" i="178"/>
  <c r="E13" i="177" s="1"/>
  <c r="AE53" i="178"/>
  <c r="AF13" i="177" s="1"/>
  <c r="W53" i="178"/>
  <c r="X13" i="177" s="1"/>
  <c r="O53" i="178"/>
  <c r="P13" i="177" s="1"/>
  <c r="G53" i="178"/>
  <c r="H13" i="177" s="1"/>
  <c r="Z53" i="178"/>
  <c r="AA13" i="177" s="1"/>
  <c r="J53" i="178"/>
  <c r="K13" i="177" s="1"/>
  <c r="AD53" i="178"/>
  <c r="AE13" i="177" s="1"/>
  <c r="V53" i="178"/>
  <c r="W13" i="177" s="1"/>
  <c r="N53" i="178"/>
  <c r="O13" i="177" s="1"/>
  <c r="F53" i="178"/>
  <c r="G13" i="177" s="1"/>
  <c r="AA53" i="178"/>
  <c r="AB13" i="177" s="1"/>
  <c r="S53" i="178"/>
  <c r="T13" i="177" s="1"/>
  <c r="K53" i="178"/>
  <c r="L13" i="177" s="1"/>
  <c r="C53" i="178"/>
  <c r="D13" i="177" s="1"/>
  <c r="AH53" i="178"/>
  <c r="R53" i="178"/>
  <c r="S13" i="177" s="1"/>
  <c r="AF57" i="178"/>
  <c r="AG17" i="177" s="1"/>
  <c r="AB57" i="178"/>
  <c r="AC17" i="177" s="1"/>
  <c r="X57" i="178"/>
  <c r="Y17" i="177" s="1"/>
  <c r="T57" i="178"/>
  <c r="U17" i="177" s="1"/>
  <c r="P57" i="178"/>
  <c r="Q17" i="177" s="1"/>
  <c r="L57" i="178"/>
  <c r="M17" i="177" s="1"/>
  <c r="H57" i="178"/>
  <c r="I17" i="177" s="1"/>
  <c r="D57" i="178"/>
  <c r="E17" i="177" s="1"/>
  <c r="AH57" i="178"/>
  <c r="AD57" i="178"/>
  <c r="AE17" i="177" s="1"/>
  <c r="Z57" i="178"/>
  <c r="AA17" i="177" s="1"/>
  <c r="V57" i="178"/>
  <c r="W17" i="177" s="1"/>
  <c r="R57" i="178"/>
  <c r="S17" i="177" s="1"/>
  <c r="N57" i="178"/>
  <c r="O17" i="177" s="1"/>
  <c r="J57" i="178"/>
  <c r="K17" i="177" s="1"/>
  <c r="F57" i="178"/>
  <c r="G17" i="177" s="1"/>
  <c r="AE57" i="178"/>
  <c r="AF17" i="177" s="1"/>
  <c r="W57" i="178"/>
  <c r="X17" i="177" s="1"/>
  <c r="O57" i="178"/>
  <c r="P17" i="177" s="1"/>
  <c r="G57" i="178"/>
  <c r="H17" i="177" s="1"/>
  <c r="AC57" i="178"/>
  <c r="AD17" i="177" s="1"/>
  <c r="U57" i="178"/>
  <c r="V17" i="177" s="1"/>
  <c r="M57" i="178"/>
  <c r="N17" i="177" s="1"/>
  <c r="E57" i="178"/>
  <c r="F17" i="177" s="1"/>
  <c r="AA57" i="178"/>
  <c r="AB17" i="177" s="1"/>
  <c r="S57" i="178"/>
  <c r="T17" i="177" s="1"/>
  <c r="K57" i="178"/>
  <c r="L17" i="177" s="1"/>
  <c r="C57" i="178"/>
  <c r="D17" i="177" s="1"/>
  <c r="Y57" i="178"/>
  <c r="Z17" i="177" s="1"/>
  <c r="AG57" i="178"/>
  <c r="AH17" i="177" s="1"/>
  <c r="Q57" i="178"/>
  <c r="R17" i="177" s="1"/>
  <c r="I57" i="178"/>
  <c r="J17" i="177" s="1"/>
  <c r="AH25" i="178"/>
  <c r="R26" i="178" s="1"/>
  <c r="Y63" i="178"/>
  <c r="AG50" i="178"/>
  <c r="AH10" i="177" s="1"/>
  <c r="AC50" i="178"/>
  <c r="AD10" i="177" s="1"/>
  <c r="Y50" i="178"/>
  <c r="Z10" i="177" s="1"/>
  <c r="U50" i="178"/>
  <c r="V10" i="177" s="1"/>
  <c r="Q50" i="178"/>
  <c r="R10" i="177" s="1"/>
  <c r="M50" i="178"/>
  <c r="N10" i="177" s="1"/>
  <c r="I50" i="178"/>
  <c r="J10" i="177" s="1"/>
  <c r="E50" i="178"/>
  <c r="F10" i="177" s="1"/>
  <c r="AF50" i="178"/>
  <c r="AG10" i="177" s="1"/>
  <c r="AB50" i="178"/>
  <c r="AC10" i="177" s="1"/>
  <c r="X50" i="178"/>
  <c r="Y10" i="177" s="1"/>
  <c r="T50" i="178"/>
  <c r="U10" i="177" s="1"/>
  <c r="P50" i="178"/>
  <c r="Q10" i="177" s="1"/>
  <c r="L50" i="178"/>
  <c r="M10" i="177" s="1"/>
  <c r="H50" i="178"/>
  <c r="I10" i="177" s="1"/>
  <c r="D50" i="178"/>
  <c r="E10" i="177" s="1"/>
  <c r="AH54" i="178"/>
  <c r="AD54" i="178"/>
  <c r="AE14" i="177" s="1"/>
  <c r="Z54" i="178"/>
  <c r="AA14" i="177" s="1"/>
  <c r="V54" i="178"/>
  <c r="W14" i="177" s="1"/>
  <c r="R54" i="178"/>
  <c r="S14" i="177" s="1"/>
  <c r="N54" i="178"/>
  <c r="O14" i="177" s="1"/>
  <c r="AG54" i="178"/>
  <c r="AH14" i="177" s="1"/>
  <c r="AC54" i="178"/>
  <c r="AD14" i="177" s="1"/>
  <c r="Y54" i="178"/>
  <c r="Z14" i="177" s="1"/>
  <c r="U54" i="178"/>
  <c r="V14" i="177" s="1"/>
  <c r="Q54" i="178"/>
  <c r="R14" i="177" s="1"/>
  <c r="M54" i="178"/>
  <c r="N14" i="177" s="1"/>
  <c r="I54" i="178"/>
  <c r="J14" i="177" s="1"/>
  <c r="E54" i="178"/>
  <c r="F14" i="177" s="1"/>
  <c r="AF54" i="178"/>
  <c r="AG14" i="177" s="1"/>
  <c r="AB54" i="178"/>
  <c r="AC14" i="177" s="1"/>
  <c r="X54" i="178"/>
  <c r="Y14" i="177" s="1"/>
  <c r="T54" i="178"/>
  <c r="U14" i="177" s="1"/>
  <c r="P54" i="178"/>
  <c r="Q14" i="177" s="1"/>
  <c r="L54" i="178"/>
  <c r="M14" i="177" s="1"/>
  <c r="H54" i="178"/>
  <c r="I14" i="177" s="1"/>
  <c r="D54" i="178"/>
  <c r="E14" i="177" s="1"/>
  <c r="AG64" i="178"/>
  <c r="AC64" i="178"/>
  <c r="Y64" i="178"/>
  <c r="U64" i="178"/>
  <c r="Q64" i="178"/>
  <c r="AE64" i="178"/>
  <c r="AA64" i="178"/>
  <c r="W64" i="178"/>
  <c r="S64" i="178"/>
  <c r="O64" i="178"/>
  <c r="AH64" i="178"/>
  <c r="Z64" i="178"/>
  <c r="R64" i="178"/>
  <c r="L64" i="178"/>
  <c r="H64" i="178"/>
  <c r="D64" i="178"/>
  <c r="AF64" i="178"/>
  <c r="X64" i="178"/>
  <c r="P64" i="178"/>
  <c r="K64" i="178"/>
  <c r="G64" i="178"/>
  <c r="C64" i="178"/>
  <c r="AD64" i="178"/>
  <c r="V64" i="178"/>
  <c r="N64" i="178"/>
  <c r="J64" i="178"/>
  <c r="F64" i="178"/>
  <c r="AB64" i="178"/>
  <c r="E64" i="178"/>
  <c r="T64" i="178"/>
  <c r="M64" i="178"/>
  <c r="AG68" i="178"/>
  <c r="AC68" i="178"/>
  <c r="Y68" i="178"/>
  <c r="U68" i="178"/>
  <c r="Q68" i="178"/>
  <c r="M68" i="178"/>
  <c r="I68" i="178"/>
  <c r="E68" i="178"/>
  <c r="AE68" i="178"/>
  <c r="AA68" i="178"/>
  <c r="W68" i="178"/>
  <c r="S68" i="178"/>
  <c r="O68" i="178"/>
  <c r="K68" i="178"/>
  <c r="G68" i="178"/>
  <c r="C68" i="178"/>
  <c r="AH68" i="178"/>
  <c r="Z68" i="178"/>
  <c r="R68" i="178"/>
  <c r="J68" i="178"/>
  <c r="AF68" i="178"/>
  <c r="X68" i="178"/>
  <c r="P68" i="178"/>
  <c r="H68" i="178"/>
  <c r="AD68" i="178"/>
  <c r="V68" i="178"/>
  <c r="N68" i="178"/>
  <c r="F68" i="178"/>
  <c r="AB68" i="178"/>
  <c r="T68" i="178"/>
  <c r="L68" i="178"/>
  <c r="AG72" i="178"/>
  <c r="AC72" i="178"/>
  <c r="Y72" i="178"/>
  <c r="U72" i="178"/>
  <c r="Q72" i="178"/>
  <c r="M72" i="178"/>
  <c r="I72" i="178"/>
  <c r="E72" i="178"/>
  <c r="AE72" i="178"/>
  <c r="AA72" i="178"/>
  <c r="W72" i="178"/>
  <c r="S72" i="178"/>
  <c r="O72" i="178"/>
  <c r="K72" i="178"/>
  <c r="G72" i="178"/>
  <c r="C72" i="178"/>
  <c r="AH72" i="178"/>
  <c r="Z72" i="178"/>
  <c r="R72" i="178"/>
  <c r="J72" i="178"/>
  <c r="AF72" i="178"/>
  <c r="X72" i="178"/>
  <c r="P72" i="178"/>
  <c r="H72" i="178"/>
  <c r="AD72" i="178"/>
  <c r="V72" i="178"/>
  <c r="N72" i="178"/>
  <c r="F72" i="178"/>
  <c r="AB72" i="178"/>
  <c r="T72" i="178"/>
  <c r="L72" i="178"/>
  <c r="D47" i="178"/>
  <c r="E7" i="177" s="1"/>
  <c r="H47" i="178"/>
  <c r="I7" i="177" s="1"/>
  <c r="L47" i="178"/>
  <c r="M7" i="177" s="1"/>
  <c r="P47" i="178"/>
  <c r="Q7" i="177" s="1"/>
  <c r="T47" i="178"/>
  <c r="U7" i="177" s="1"/>
  <c r="X47" i="178"/>
  <c r="Y7" i="177" s="1"/>
  <c r="AB47" i="178"/>
  <c r="AC7" i="177" s="1"/>
  <c r="AF47" i="178"/>
  <c r="AG7" i="177" s="1"/>
  <c r="D48" i="178"/>
  <c r="E8" i="177" s="1"/>
  <c r="K48" i="178"/>
  <c r="L8" i="177" s="1"/>
  <c r="S48" i="178"/>
  <c r="T8" i="177" s="1"/>
  <c r="AA48" i="178"/>
  <c r="AB8" i="177" s="1"/>
  <c r="C50" i="178"/>
  <c r="D10" i="177" s="1"/>
  <c r="F22" i="177" s="1"/>
  <c r="K50" i="178"/>
  <c r="L10" i="177" s="1"/>
  <c r="S50" i="178"/>
  <c r="T10" i="177" s="1"/>
  <c r="AA50" i="178"/>
  <c r="AB10" i="177" s="1"/>
  <c r="C51" i="178"/>
  <c r="D11" i="177" s="1"/>
  <c r="K51" i="178"/>
  <c r="L11" i="177" s="1"/>
  <c r="S51" i="178"/>
  <c r="T11" i="177" s="1"/>
  <c r="C52" i="178"/>
  <c r="D12" i="177" s="1"/>
  <c r="K52" i="178"/>
  <c r="L12" i="177" s="1"/>
  <c r="S52" i="178"/>
  <c r="T12" i="177" s="1"/>
  <c r="AA52" i="178"/>
  <c r="AB12" i="177" s="1"/>
  <c r="C54" i="178"/>
  <c r="D14" i="177" s="1"/>
  <c r="K54" i="178"/>
  <c r="L14" i="177" s="1"/>
  <c r="AA54" i="178"/>
  <c r="AB14" i="177" s="1"/>
  <c r="I56" i="178"/>
  <c r="J16" i="177" s="1"/>
  <c r="I64" i="178"/>
  <c r="D68" i="178"/>
  <c r="D72" i="178"/>
  <c r="AG51" i="178"/>
  <c r="AH11" i="177" s="1"/>
  <c r="AC51" i="178"/>
  <c r="AD11" i="177" s="1"/>
  <c r="Y51" i="178"/>
  <c r="Z11" i="177" s="1"/>
  <c r="U51" i="178"/>
  <c r="V11" i="177" s="1"/>
  <c r="Q51" i="178"/>
  <c r="R11" i="177" s="1"/>
  <c r="M51" i="178"/>
  <c r="N11" i="177" s="1"/>
  <c r="I51" i="178"/>
  <c r="J11" i="177" s="1"/>
  <c r="E51" i="178"/>
  <c r="F11" i="177" s="1"/>
  <c r="AF51" i="178"/>
  <c r="AG11" i="177" s="1"/>
  <c r="AB51" i="178"/>
  <c r="AC11" i="177" s="1"/>
  <c r="X51" i="178"/>
  <c r="Y11" i="177" s="1"/>
  <c r="T51" i="178"/>
  <c r="U11" i="177" s="1"/>
  <c r="P51" i="178"/>
  <c r="Q11" i="177" s="1"/>
  <c r="L51" i="178"/>
  <c r="M11" i="177" s="1"/>
  <c r="H51" i="178"/>
  <c r="I11" i="177" s="1"/>
  <c r="D51" i="178"/>
  <c r="E11" i="177" s="1"/>
  <c r="AF55" i="178"/>
  <c r="AG15" i="177" s="1"/>
  <c r="AB55" i="178"/>
  <c r="AC15" i="177" s="1"/>
  <c r="X55" i="178"/>
  <c r="Y15" i="177" s="1"/>
  <c r="T55" i="178"/>
  <c r="U15" i="177" s="1"/>
  <c r="P55" i="178"/>
  <c r="Q15" i="177" s="1"/>
  <c r="L55" i="178"/>
  <c r="M15" i="177" s="1"/>
  <c r="H55" i="178"/>
  <c r="I15" i="177" s="1"/>
  <c r="AH55" i="178"/>
  <c r="AD55" i="178"/>
  <c r="AE15" i="177" s="1"/>
  <c r="Z55" i="178"/>
  <c r="AA15" i="177" s="1"/>
  <c r="V55" i="178"/>
  <c r="W15" i="177" s="1"/>
  <c r="AE55" i="178"/>
  <c r="AF15" i="177" s="1"/>
  <c r="W55" i="178"/>
  <c r="X15" i="177" s="1"/>
  <c r="Q55" i="178"/>
  <c r="R15" i="177" s="1"/>
  <c r="K55" i="178"/>
  <c r="L15" i="177" s="1"/>
  <c r="F55" i="178"/>
  <c r="G15" i="177" s="1"/>
  <c r="AC55" i="178"/>
  <c r="AD15" i="177" s="1"/>
  <c r="U55" i="178"/>
  <c r="V15" i="177" s="1"/>
  <c r="O55" i="178"/>
  <c r="P15" i="177" s="1"/>
  <c r="J55" i="178"/>
  <c r="K15" i="177" s="1"/>
  <c r="E55" i="178"/>
  <c r="F15" i="177" s="1"/>
  <c r="AA55" i="178"/>
  <c r="AB15" i="177" s="1"/>
  <c r="S55" i="178"/>
  <c r="T15" i="177" s="1"/>
  <c r="N55" i="178"/>
  <c r="O15" i="177" s="1"/>
  <c r="I55" i="178"/>
  <c r="J15" i="177" s="1"/>
  <c r="D55" i="178"/>
  <c r="E15" i="177" s="1"/>
  <c r="AG65" i="178"/>
  <c r="AC65" i="178"/>
  <c r="Y65" i="178"/>
  <c r="U65" i="178"/>
  <c r="Q65" i="178"/>
  <c r="M65" i="178"/>
  <c r="I65" i="178"/>
  <c r="E65" i="178"/>
  <c r="AE65" i="178"/>
  <c r="AA65" i="178"/>
  <c r="W65" i="178"/>
  <c r="S65" i="178"/>
  <c r="O65" i="178"/>
  <c r="K65" i="178"/>
  <c r="G65" i="178"/>
  <c r="C65" i="178"/>
  <c r="AH65" i="178"/>
  <c r="Z65" i="178"/>
  <c r="R65" i="178"/>
  <c r="J65" i="178"/>
  <c r="AF65" i="178"/>
  <c r="X65" i="178"/>
  <c r="P65" i="178"/>
  <c r="H65" i="178"/>
  <c r="AD65" i="178"/>
  <c r="V65" i="178"/>
  <c r="N65" i="178"/>
  <c r="F65" i="178"/>
  <c r="AB65" i="178"/>
  <c r="T65" i="178"/>
  <c r="L65" i="178"/>
  <c r="AG69" i="178"/>
  <c r="AC69" i="178"/>
  <c r="Y69" i="178"/>
  <c r="U69" i="178"/>
  <c r="Q69" i="178"/>
  <c r="M69" i="178"/>
  <c r="I69" i="178"/>
  <c r="E69" i="178"/>
  <c r="AE69" i="178"/>
  <c r="AA69" i="178"/>
  <c r="W69" i="178"/>
  <c r="S69" i="178"/>
  <c r="O69" i="178"/>
  <c r="K69" i="178"/>
  <c r="G69" i="178"/>
  <c r="C69" i="178"/>
  <c r="AH69" i="178"/>
  <c r="Z69" i="178"/>
  <c r="R69" i="178"/>
  <c r="J69" i="178"/>
  <c r="AF69" i="178"/>
  <c r="X69" i="178"/>
  <c r="P69" i="178"/>
  <c r="H69" i="178"/>
  <c r="AD69" i="178"/>
  <c r="V69" i="178"/>
  <c r="N69" i="178"/>
  <c r="F69" i="178"/>
  <c r="AB69" i="178"/>
  <c r="T69" i="178"/>
  <c r="L69" i="178"/>
  <c r="AG73" i="178"/>
  <c r="AC73" i="178"/>
  <c r="Y73" i="178"/>
  <c r="U73" i="178"/>
  <c r="Q73" i="178"/>
  <c r="M73" i="178"/>
  <c r="I73" i="178"/>
  <c r="E73" i="178"/>
  <c r="AE73" i="178"/>
  <c r="AA73" i="178"/>
  <c r="W73" i="178"/>
  <c r="S73" i="178"/>
  <c r="O73" i="178"/>
  <c r="K73" i="178"/>
  <c r="G73" i="178"/>
  <c r="C73" i="178"/>
  <c r="AH73" i="178"/>
  <c r="Z73" i="178"/>
  <c r="R73" i="178"/>
  <c r="J73" i="178"/>
  <c r="AF73" i="178"/>
  <c r="X73" i="178"/>
  <c r="P73" i="178"/>
  <c r="H73" i="178"/>
  <c r="AD73" i="178"/>
  <c r="V73" i="178"/>
  <c r="N73" i="178"/>
  <c r="F73" i="178"/>
  <c r="AB73" i="178"/>
  <c r="T73" i="178"/>
  <c r="L73" i="178"/>
  <c r="E47" i="178"/>
  <c r="F7" i="177" s="1"/>
  <c r="I47" i="178"/>
  <c r="J7" i="177" s="1"/>
  <c r="M47" i="178"/>
  <c r="N7" i="177" s="1"/>
  <c r="Q47" i="178"/>
  <c r="R7" i="177" s="1"/>
  <c r="U47" i="178"/>
  <c r="V7" i="177" s="1"/>
  <c r="Y47" i="178"/>
  <c r="Z7" i="177" s="1"/>
  <c r="AC47" i="178"/>
  <c r="AD7" i="177" s="1"/>
  <c r="AG47" i="178"/>
  <c r="AH7" i="177" s="1"/>
  <c r="F48" i="178"/>
  <c r="G8" i="177" s="1"/>
  <c r="N48" i="178"/>
  <c r="O8" i="177" s="1"/>
  <c r="V48" i="178"/>
  <c r="W8" i="177" s="1"/>
  <c r="F50" i="178"/>
  <c r="G10" i="177" s="1"/>
  <c r="N50" i="178"/>
  <c r="O10" i="177" s="1"/>
  <c r="V50" i="178"/>
  <c r="W10" i="177" s="1"/>
  <c r="AD50" i="178"/>
  <c r="AE10" i="177" s="1"/>
  <c r="F51" i="178"/>
  <c r="G11" i="177" s="1"/>
  <c r="N51" i="178"/>
  <c r="O11" i="177" s="1"/>
  <c r="V51" i="178"/>
  <c r="W11" i="177" s="1"/>
  <c r="AD51" i="178"/>
  <c r="AE11" i="177" s="1"/>
  <c r="F52" i="178"/>
  <c r="G12" i="177" s="1"/>
  <c r="N52" i="178"/>
  <c r="O12" i="177" s="1"/>
  <c r="V52" i="178"/>
  <c r="W12" i="177" s="1"/>
  <c r="F54" i="178"/>
  <c r="G14" i="177" s="1"/>
  <c r="O54" i="178"/>
  <c r="P14" i="177" s="1"/>
  <c r="AE54" i="178"/>
  <c r="AF14" i="177" s="1"/>
  <c r="R55" i="178"/>
  <c r="S15" i="177" s="1"/>
  <c r="D65" i="178"/>
  <c r="D69" i="178"/>
  <c r="D73" i="178"/>
  <c r="AG48" i="178"/>
  <c r="AH8" i="177" s="1"/>
  <c r="AC48" i="178"/>
  <c r="AD8" i="177" s="1"/>
  <c r="Y48" i="178"/>
  <c r="Z8" i="177" s="1"/>
  <c r="U48" i="178"/>
  <c r="V8" i="177" s="1"/>
  <c r="Q48" i="178"/>
  <c r="R8" i="177" s="1"/>
  <c r="M48" i="178"/>
  <c r="N8" i="177" s="1"/>
  <c r="I48" i="178"/>
  <c r="J8" i="177" s="1"/>
  <c r="E48" i="178"/>
  <c r="F8" i="177" s="1"/>
  <c r="AF48" i="178"/>
  <c r="AG8" i="177" s="1"/>
  <c r="AB48" i="178"/>
  <c r="AC8" i="177" s="1"/>
  <c r="X48" i="178"/>
  <c r="Y8" i="177" s="1"/>
  <c r="T48" i="178"/>
  <c r="U8" i="177" s="1"/>
  <c r="P48" i="178"/>
  <c r="Q8" i="177" s="1"/>
  <c r="L48" i="178"/>
  <c r="M8" i="177" s="1"/>
  <c r="H48" i="178"/>
  <c r="I8" i="177" s="1"/>
  <c r="AG52" i="178"/>
  <c r="AH12" i="177" s="1"/>
  <c r="AC52" i="178"/>
  <c r="AD12" i="177" s="1"/>
  <c r="Y52" i="178"/>
  <c r="Z12" i="177" s="1"/>
  <c r="U52" i="178"/>
  <c r="V12" i="177" s="1"/>
  <c r="Q52" i="178"/>
  <c r="R12" i="177" s="1"/>
  <c r="M52" i="178"/>
  <c r="N12" i="177" s="1"/>
  <c r="I52" i="178"/>
  <c r="J12" i="177" s="1"/>
  <c r="E52" i="178"/>
  <c r="F12" i="177" s="1"/>
  <c r="AF52" i="178"/>
  <c r="AG12" i="177" s="1"/>
  <c r="AB52" i="178"/>
  <c r="AC12" i="177" s="1"/>
  <c r="X52" i="178"/>
  <c r="Y12" i="177" s="1"/>
  <c r="T52" i="178"/>
  <c r="U12" i="177" s="1"/>
  <c r="P52" i="178"/>
  <c r="Q12" i="177" s="1"/>
  <c r="L52" i="178"/>
  <c r="M12" i="177" s="1"/>
  <c r="H52" i="178"/>
  <c r="I12" i="177" s="1"/>
  <c r="D52" i="178"/>
  <c r="E12" i="177" s="1"/>
  <c r="AF56" i="178"/>
  <c r="AG16" i="177" s="1"/>
  <c r="AB56" i="178"/>
  <c r="AC16" i="177" s="1"/>
  <c r="X56" i="178"/>
  <c r="Y16" i="177" s="1"/>
  <c r="T56" i="178"/>
  <c r="U16" i="177" s="1"/>
  <c r="P56" i="178"/>
  <c r="Q16" i="177" s="1"/>
  <c r="L56" i="178"/>
  <c r="M16" i="177" s="1"/>
  <c r="H56" i="178"/>
  <c r="I16" i="177" s="1"/>
  <c r="D56" i="178"/>
  <c r="E16" i="177" s="1"/>
  <c r="AH56" i="178"/>
  <c r="AD56" i="178"/>
  <c r="AE16" i="177" s="1"/>
  <c r="Z56" i="178"/>
  <c r="AA16" i="177" s="1"/>
  <c r="V56" i="178"/>
  <c r="W16" i="177" s="1"/>
  <c r="R56" i="178"/>
  <c r="S16" i="177" s="1"/>
  <c r="N56" i="178"/>
  <c r="O16" i="177" s="1"/>
  <c r="J56" i="178"/>
  <c r="K16" i="177" s="1"/>
  <c r="F56" i="178"/>
  <c r="G16" i="177" s="1"/>
  <c r="AE56" i="178"/>
  <c r="AF16" i="177" s="1"/>
  <c r="W56" i="178"/>
  <c r="X16" i="177" s="1"/>
  <c r="O56" i="178"/>
  <c r="P16" i="177" s="1"/>
  <c r="G56" i="178"/>
  <c r="H16" i="177" s="1"/>
  <c r="AC56" i="178"/>
  <c r="AD16" i="177" s="1"/>
  <c r="U56" i="178"/>
  <c r="V16" i="177" s="1"/>
  <c r="M56" i="178"/>
  <c r="N16" i="177" s="1"/>
  <c r="E56" i="178"/>
  <c r="F16" i="177" s="1"/>
  <c r="AA56" i="178"/>
  <c r="AB16" i="177" s="1"/>
  <c r="S56" i="178"/>
  <c r="T16" i="177" s="1"/>
  <c r="K56" i="178"/>
  <c r="L16" i="177" s="1"/>
  <c r="C56" i="178"/>
  <c r="D16" i="177" s="1"/>
  <c r="AG66" i="178"/>
  <c r="AC66" i="178"/>
  <c r="Y66" i="178"/>
  <c r="U66" i="178"/>
  <c r="Q66" i="178"/>
  <c r="M66" i="178"/>
  <c r="I66" i="178"/>
  <c r="E66" i="178"/>
  <c r="AE66" i="178"/>
  <c r="AA66" i="178"/>
  <c r="W66" i="178"/>
  <c r="S66" i="178"/>
  <c r="O66" i="178"/>
  <c r="K66" i="178"/>
  <c r="G66" i="178"/>
  <c r="C66" i="178"/>
  <c r="AH66" i="178"/>
  <c r="Z66" i="178"/>
  <c r="R66" i="178"/>
  <c r="J66" i="178"/>
  <c r="AF66" i="178"/>
  <c r="X66" i="178"/>
  <c r="P66" i="178"/>
  <c r="H66" i="178"/>
  <c r="AD66" i="178"/>
  <c r="V66" i="178"/>
  <c r="N66" i="178"/>
  <c r="F66" i="178"/>
  <c r="AB66" i="178"/>
  <c r="T66" i="178"/>
  <c r="L66" i="178"/>
  <c r="AG70" i="178"/>
  <c r="AC70" i="178"/>
  <c r="Y70" i="178"/>
  <c r="U70" i="178"/>
  <c r="Q70" i="178"/>
  <c r="M70" i="178"/>
  <c r="I70" i="178"/>
  <c r="E70" i="178"/>
  <c r="AE70" i="178"/>
  <c r="AA70" i="178"/>
  <c r="W70" i="178"/>
  <c r="S70" i="178"/>
  <c r="O70" i="178"/>
  <c r="K70" i="178"/>
  <c r="G70" i="178"/>
  <c r="C70" i="178"/>
  <c r="AH70" i="178"/>
  <c r="Z70" i="178"/>
  <c r="R70" i="178"/>
  <c r="J70" i="178"/>
  <c r="AF70" i="178"/>
  <c r="X70" i="178"/>
  <c r="P70" i="178"/>
  <c r="H70" i="178"/>
  <c r="AD70" i="178"/>
  <c r="V70" i="178"/>
  <c r="N70" i="178"/>
  <c r="F70" i="178"/>
  <c r="AB70" i="178"/>
  <c r="T70" i="178"/>
  <c r="L70" i="178"/>
  <c r="F47" i="178"/>
  <c r="G7" i="177" s="1"/>
  <c r="J47" i="178"/>
  <c r="K7" i="177" s="1"/>
  <c r="N47" i="178"/>
  <c r="O7" i="177" s="1"/>
  <c r="R47" i="178"/>
  <c r="S7" i="177" s="1"/>
  <c r="V47" i="178"/>
  <c r="W7" i="177" s="1"/>
  <c r="Z47" i="178"/>
  <c r="AA7" i="177" s="1"/>
  <c r="AD47" i="178"/>
  <c r="AE7" i="177" s="1"/>
  <c r="G48" i="178"/>
  <c r="H8" i="177" s="1"/>
  <c r="O48" i="178"/>
  <c r="P8" i="177" s="1"/>
  <c r="W48" i="178"/>
  <c r="X8" i="177" s="1"/>
  <c r="AE48" i="178"/>
  <c r="AF8" i="177" s="1"/>
  <c r="G50" i="178"/>
  <c r="H10" i="177" s="1"/>
  <c r="O50" i="178"/>
  <c r="P10" i="177" s="1"/>
  <c r="W50" i="178"/>
  <c r="X10" i="177" s="1"/>
  <c r="AE50" i="178"/>
  <c r="AF10" i="177" s="1"/>
  <c r="G51" i="178"/>
  <c r="H11" i="177" s="1"/>
  <c r="O51" i="178"/>
  <c r="P11" i="177" s="1"/>
  <c r="W51" i="178"/>
  <c r="X11" i="177" s="1"/>
  <c r="AE51" i="178"/>
  <c r="AF11" i="177" s="1"/>
  <c r="G52" i="178"/>
  <c r="H12" i="177" s="1"/>
  <c r="O52" i="178"/>
  <c r="P12" i="177" s="1"/>
  <c r="W52" i="178"/>
  <c r="X12" i="177" s="1"/>
  <c r="AE52" i="178"/>
  <c r="AF12" i="177" s="1"/>
  <c r="G54" i="178"/>
  <c r="H14" i="177" s="1"/>
  <c r="S54" i="178"/>
  <c r="T14" i="177" s="1"/>
  <c r="C55" i="178"/>
  <c r="D15" i="177" s="1"/>
  <c r="Y55" i="178"/>
  <c r="Z15" i="177" s="1"/>
  <c r="Y56" i="178"/>
  <c r="Z16" i="177" s="1"/>
  <c r="D66" i="178"/>
  <c r="D70" i="178"/>
  <c r="AG9" i="162"/>
  <c r="AI9" i="162"/>
  <c r="AJ1" i="162"/>
  <c r="AH9" i="162"/>
  <c r="H14" i="174"/>
  <c r="F43" i="178" l="1"/>
  <c r="I74" i="178"/>
  <c r="J43" i="178"/>
  <c r="T43" i="178"/>
  <c r="G74" i="178"/>
  <c r="V74" i="178"/>
  <c r="E74" i="178"/>
  <c r="C74" i="178"/>
  <c r="R74" i="178"/>
  <c r="D43" i="178"/>
  <c r="AE81" i="162"/>
  <c r="X18" i="177"/>
  <c r="T74" i="178"/>
  <c r="C58" i="178"/>
  <c r="O18" i="177"/>
  <c r="AG58" i="178"/>
  <c r="L18" i="177"/>
  <c r="AC58" i="178"/>
  <c r="H58" i="178"/>
  <c r="I26" i="178"/>
  <c r="R18" i="177"/>
  <c r="F26" i="177"/>
  <c r="AA18" i="177"/>
  <c r="V43" i="178"/>
  <c r="S74" i="178"/>
  <c r="E58" i="178"/>
  <c r="AI8" i="177"/>
  <c r="F18" i="177"/>
  <c r="T58" i="178"/>
  <c r="U18" i="177"/>
  <c r="U74" i="178"/>
  <c r="O58" i="178"/>
  <c r="N26" i="178"/>
  <c r="AB74" i="178"/>
  <c r="L74" i="178"/>
  <c r="H18" i="177"/>
  <c r="AI14" i="177"/>
  <c r="AD26" i="178"/>
  <c r="U58" i="178"/>
  <c r="AI12" i="177"/>
  <c r="Z26" i="178"/>
  <c r="W18" i="177"/>
  <c r="O74" i="178"/>
  <c r="AH18" i="177"/>
  <c r="AD74" i="178"/>
  <c r="P58" i="178"/>
  <c r="F24" i="177"/>
  <c r="Q18" i="177"/>
  <c r="Q74" i="178"/>
  <c r="K58" i="178"/>
  <c r="J26" i="178"/>
  <c r="X43" i="178"/>
  <c r="H43" i="178"/>
  <c r="AE74" i="178"/>
  <c r="AG74" i="178"/>
  <c r="Z43" i="178"/>
  <c r="W74" i="178"/>
  <c r="M58" i="178"/>
  <c r="R43" i="178"/>
  <c r="F28" i="177"/>
  <c r="S18" i="177"/>
  <c r="N43" i="178"/>
  <c r="K74" i="178"/>
  <c r="AD18" i="177"/>
  <c r="Z74" i="178"/>
  <c r="L58" i="178"/>
  <c r="M18" i="177"/>
  <c r="M74" i="178"/>
  <c r="Y26" i="178"/>
  <c r="G58" i="178"/>
  <c r="AI10" i="177"/>
  <c r="F26" i="178"/>
  <c r="X74" i="178"/>
  <c r="H74" i="178"/>
  <c r="F20" i="177"/>
  <c r="Z18" i="177"/>
  <c r="I18" i="177"/>
  <c r="AG26" i="178"/>
  <c r="F19" i="177"/>
  <c r="AI7" i="177"/>
  <c r="AB18" i="177"/>
  <c r="AI11" i="177"/>
  <c r="F23" i="177"/>
  <c r="AE58" i="178"/>
  <c r="P18" i="177"/>
  <c r="AI15" i="177"/>
  <c r="F27" i="177"/>
  <c r="K18" i="177"/>
  <c r="V18" i="177"/>
  <c r="D58" i="178"/>
  <c r="E18" i="177"/>
  <c r="G18" i="177"/>
  <c r="AI16" i="177"/>
  <c r="N74" i="178"/>
  <c r="AG18" i="177"/>
  <c r="AA58" i="178"/>
  <c r="AI13" i="177"/>
  <c r="F25" i="177"/>
  <c r="AI9" i="177"/>
  <c r="F21" i="177"/>
  <c r="AF43" i="178"/>
  <c r="P43" i="178"/>
  <c r="D74" i="178"/>
  <c r="AD43" i="178"/>
  <c r="AA74" i="178"/>
  <c r="Q58" i="178"/>
  <c r="N18" i="177"/>
  <c r="J74" i="178"/>
  <c r="AB58" i="178"/>
  <c r="AC18" i="177"/>
  <c r="AC74" i="178"/>
  <c r="W58" i="178"/>
  <c r="V26" i="178"/>
  <c r="AF74" i="178"/>
  <c r="P74" i="178"/>
  <c r="Q26" i="178"/>
  <c r="AF58" i="178"/>
  <c r="AE18" i="177"/>
  <c r="J18" i="177"/>
  <c r="F74" i="178"/>
  <c r="X58" i="178"/>
  <c r="Y18" i="177"/>
  <c r="Y74" i="178"/>
  <c r="S58" i="178"/>
  <c r="D18" i="177"/>
  <c r="AI17" i="177"/>
  <c r="F29" i="177"/>
  <c r="AB43" i="178"/>
  <c r="AF18" i="177"/>
  <c r="T18" i="177"/>
  <c r="AH58" i="178"/>
  <c r="AE26" i="178"/>
  <c r="AA26" i="178"/>
  <c r="W26" i="178"/>
  <c r="S26" i="178"/>
  <c r="O26" i="178"/>
  <c r="K26" i="178"/>
  <c r="G26" i="178"/>
  <c r="G28" i="178" s="1"/>
  <c r="C26" i="178"/>
  <c r="AH26" i="178"/>
  <c r="X26" i="178"/>
  <c r="H26" i="178"/>
  <c r="T26" i="178"/>
  <c r="D26" i="178"/>
  <c r="AF26" i="178"/>
  <c r="P26" i="178"/>
  <c r="AB26" i="178"/>
  <c r="L26" i="178"/>
  <c r="Z58" i="178"/>
  <c r="R58" i="178"/>
  <c r="J58" i="178"/>
  <c r="AC26" i="178"/>
  <c r="M26" i="178"/>
  <c r="Y58" i="178"/>
  <c r="I58" i="178"/>
  <c r="AD58" i="178"/>
  <c r="V58" i="178"/>
  <c r="N58" i="178"/>
  <c r="F58" i="178"/>
  <c r="U26" i="178"/>
  <c r="E26" i="178"/>
  <c r="AH74" i="178"/>
  <c r="AH43" i="178"/>
  <c r="AA43" i="178"/>
  <c r="S43" i="178"/>
  <c r="K43" i="178"/>
  <c r="AG43" i="178"/>
  <c r="AC43" i="178"/>
  <c r="Y43" i="178"/>
  <c r="U43" i="178"/>
  <c r="Q43" i="178"/>
  <c r="M43" i="178"/>
  <c r="I43" i="178"/>
  <c r="E43" i="178"/>
  <c r="AE43" i="178"/>
  <c r="W43" i="178"/>
  <c r="O43" i="178"/>
  <c r="C43" i="178"/>
  <c r="G43" i="178"/>
  <c r="AJ9" i="162"/>
  <c r="AK1" i="162"/>
  <c r="I85" i="175"/>
  <c r="F57" i="175"/>
  <c r="F78" i="175"/>
  <c r="G86" i="175"/>
  <c r="H86" i="175"/>
  <c r="D10" i="175"/>
  <c r="D45" i="175"/>
  <c r="D49" i="175"/>
  <c r="D68" i="175"/>
  <c r="D69" i="175"/>
  <c r="D70" i="175"/>
  <c r="D71" i="175"/>
  <c r="D72" i="175"/>
  <c r="D73" i="175"/>
  <c r="D74" i="175"/>
  <c r="D75" i="175"/>
  <c r="D76" i="175"/>
  <c r="D77" i="175"/>
  <c r="D78" i="175"/>
  <c r="D79" i="175"/>
  <c r="D80" i="175"/>
  <c r="D81" i="175"/>
  <c r="D82" i="175"/>
  <c r="D83" i="175"/>
  <c r="D84" i="175"/>
  <c r="D85" i="175"/>
  <c r="D9" i="175"/>
  <c r="C15" i="174"/>
  <c r="B15" i="174"/>
  <c r="H15" i="174"/>
  <c r="I84" i="175"/>
  <c r="I83" i="175"/>
  <c r="I82" i="175"/>
  <c r="I81" i="175"/>
  <c r="I80" i="175"/>
  <c r="I79" i="175"/>
  <c r="I78" i="175"/>
  <c r="I77" i="175"/>
  <c r="I76" i="175"/>
  <c r="I75" i="175"/>
  <c r="I74" i="175"/>
  <c r="I73" i="175"/>
  <c r="I72" i="175"/>
  <c r="I71" i="175"/>
  <c r="I70" i="175"/>
  <c r="I69" i="175"/>
  <c r="I68" i="175"/>
  <c r="I67" i="175"/>
  <c r="I66" i="175"/>
  <c r="I65" i="175"/>
  <c r="I64" i="175"/>
  <c r="I63" i="175"/>
  <c r="I62" i="175"/>
  <c r="I61" i="175"/>
  <c r="I60" i="175"/>
  <c r="I59" i="175"/>
  <c r="I58" i="175"/>
  <c r="I57" i="175"/>
  <c r="I56" i="175"/>
  <c r="I55" i="175"/>
  <c r="I54" i="175"/>
  <c r="I53" i="175"/>
  <c r="I52" i="175"/>
  <c r="I51" i="175"/>
  <c r="I50" i="175"/>
  <c r="I49" i="175"/>
  <c r="I48" i="175"/>
  <c r="I47" i="175"/>
  <c r="I46" i="175"/>
  <c r="I45" i="175"/>
  <c r="I44" i="175"/>
  <c r="I43" i="175"/>
  <c r="I42" i="175"/>
  <c r="I41" i="175"/>
  <c r="I40" i="175"/>
  <c r="I39" i="175"/>
  <c r="I38" i="175"/>
  <c r="I37" i="175"/>
  <c r="I36" i="175"/>
  <c r="I35" i="175"/>
  <c r="U34" i="175"/>
  <c r="I34" i="175"/>
  <c r="I33" i="175"/>
  <c r="I32" i="175"/>
  <c r="I31" i="175"/>
  <c r="I30" i="175"/>
  <c r="I29" i="175"/>
  <c r="I28" i="175"/>
  <c r="I27" i="175"/>
  <c r="I26" i="175"/>
  <c r="I25" i="175"/>
  <c r="I24" i="175"/>
  <c r="I23" i="175"/>
  <c r="I22" i="175"/>
  <c r="I21" i="175"/>
  <c r="I20" i="175"/>
  <c r="I19" i="175"/>
  <c r="I18" i="175"/>
  <c r="I17" i="175"/>
  <c r="I16" i="175"/>
  <c r="I15" i="175"/>
  <c r="I14" i="175"/>
  <c r="I13" i="175"/>
  <c r="I12" i="175"/>
  <c r="I11" i="175"/>
  <c r="I10" i="175"/>
  <c r="A10" i="175"/>
  <c r="A11" i="175" s="1"/>
  <c r="A12" i="175" s="1"/>
  <c r="A13" i="175" s="1"/>
  <c r="A14" i="175" s="1"/>
  <c r="A15" i="175" s="1"/>
  <c r="A16" i="175" s="1"/>
  <c r="A17" i="175" s="1"/>
  <c r="A18" i="175" s="1"/>
  <c r="A19" i="175" s="1"/>
  <c r="A20" i="175" s="1"/>
  <c r="A21" i="175" s="1"/>
  <c r="A22" i="175" s="1"/>
  <c r="A23" i="175" s="1"/>
  <c r="A24" i="175" s="1"/>
  <c r="A25" i="175" s="1"/>
  <c r="A26" i="175" s="1"/>
  <c r="A27" i="175" s="1"/>
  <c r="A28" i="175" s="1"/>
  <c r="A29" i="175" s="1"/>
  <c r="A30" i="175" s="1"/>
  <c r="A31" i="175" s="1"/>
  <c r="A32" i="175" s="1"/>
  <c r="A33" i="175" s="1"/>
  <c r="A34" i="175" s="1"/>
  <c r="A35" i="175" s="1"/>
  <c r="A36" i="175" s="1"/>
  <c r="A37" i="175" s="1"/>
  <c r="A38" i="175" s="1"/>
  <c r="A39" i="175" s="1"/>
  <c r="A40" i="175" s="1"/>
  <c r="A41" i="175" s="1"/>
  <c r="A42" i="175" s="1"/>
  <c r="A43" i="175" s="1"/>
  <c r="A44" i="175" s="1"/>
  <c r="A45" i="175" s="1"/>
  <c r="A46" i="175" s="1"/>
  <c r="A47" i="175" s="1"/>
  <c r="A48" i="175" s="1"/>
  <c r="A49" i="175" s="1"/>
  <c r="A50" i="175" s="1"/>
  <c r="A51" i="175" s="1"/>
  <c r="A52" i="175" s="1"/>
  <c r="A53" i="175" s="1"/>
  <c r="A54" i="175" s="1"/>
  <c r="A55" i="175" s="1"/>
  <c r="A56" i="175" s="1"/>
  <c r="A57" i="175" s="1"/>
  <c r="A58" i="175" s="1"/>
  <c r="A59" i="175" s="1"/>
  <c r="A60" i="175" s="1"/>
  <c r="A61" i="175" s="1"/>
  <c r="A62" i="175" s="1"/>
  <c r="A63" i="175" s="1"/>
  <c r="A64" i="175" s="1"/>
  <c r="A65" i="175" s="1"/>
  <c r="A66" i="175" s="1"/>
  <c r="A67" i="175" s="1"/>
  <c r="A68" i="175" s="1"/>
  <c r="A69" i="175" s="1"/>
  <c r="A70" i="175" s="1"/>
  <c r="A71" i="175" s="1"/>
  <c r="A72" i="175" s="1"/>
  <c r="A73" i="175" s="1"/>
  <c r="A74" i="175" s="1"/>
  <c r="A75" i="175" s="1"/>
  <c r="A76" i="175" s="1"/>
  <c r="A77" i="175" s="1"/>
  <c r="A78" i="175" s="1"/>
  <c r="A79" i="175" s="1"/>
  <c r="A80" i="175" s="1"/>
  <c r="A81" i="175" s="1"/>
  <c r="A82" i="175" s="1"/>
  <c r="A83" i="175" s="1"/>
  <c r="A84" i="175" s="1"/>
  <c r="A85" i="175" s="1"/>
  <c r="I9" i="175"/>
  <c r="AR78" i="102"/>
  <c r="AL78" i="102"/>
  <c r="BA78" i="102" l="1"/>
  <c r="AP78" i="102"/>
  <c r="BD78" i="102"/>
  <c r="BG78" i="102"/>
  <c r="E28" i="178"/>
  <c r="H28" i="178" s="1"/>
  <c r="F30" i="177"/>
  <c r="F28" i="178"/>
  <c r="AL1" i="162"/>
  <c r="AK9" i="162"/>
  <c r="AU78" i="102"/>
  <c r="I86" i="175"/>
  <c r="F76" i="312" l="1"/>
  <c r="J76" i="312" s="1"/>
  <c r="K76" i="312" s="1"/>
  <c r="AS78" i="102" s="1"/>
  <c r="AW78" i="102" s="1"/>
  <c r="AY78" i="102"/>
  <c r="AM1" i="162"/>
  <c r="AL9" i="162"/>
  <c r="H63" i="165"/>
  <c r="H64" i="165"/>
  <c r="H65" i="165"/>
  <c r="H66" i="165"/>
  <c r="H67" i="165"/>
  <c r="H68" i="165"/>
  <c r="H69" i="165"/>
  <c r="H70" i="165"/>
  <c r="H71" i="165"/>
  <c r="H72" i="165"/>
  <c r="H73" i="165"/>
  <c r="H74" i="165"/>
  <c r="H75" i="165"/>
  <c r="H76" i="165"/>
  <c r="H77" i="165"/>
  <c r="H78" i="165"/>
  <c r="H79" i="165"/>
  <c r="H80" i="165"/>
  <c r="H81" i="165"/>
  <c r="H82" i="165"/>
  <c r="H83" i="165"/>
  <c r="H84" i="165"/>
  <c r="H85" i="165"/>
  <c r="H86" i="165"/>
  <c r="H87" i="165"/>
  <c r="H88" i="165"/>
  <c r="H89" i="165"/>
  <c r="H90" i="165"/>
  <c r="H62" i="165"/>
  <c r="G6" i="164"/>
  <c r="G7" i="164"/>
  <c r="G8" i="164"/>
  <c r="G9" i="164"/>
  <c r="G10" i="164"/>
  <c r="G11" i="164"/>
  <c r="G12" i="164"/>
  <c r="G13" i="164"/>
  <c r="G14" i="164"/>
  <c r="G15" i="164"/>
  <c r="G16" i="164"/>
  <c r="G17" i="164"/>
  <c r="G18" i="164"/>
  <c r="G19" i="164"/>
  <c r="G20" i="164"/>
  <c r="G23" i="164"/>
  <c r="G24" i="164"/>
  <c r="G27" i="164"/>
  <c r="G28" i="164"/>
  <c r="G29" i="164"/>
  <c r="G30" i="164"/>
  <c r="G31" i="164"/>
  <c r="G32" i="164"/>
  <c r="G33" i="164"/>
  <c r="G35" i="164"/>
  <c r="G36" i="164"/>
  <c r="G38" i="164"/>
  <c r="G40" i="164"/>
  <c r="G43" i="164"/>
  <c r="G47" i="164"/>
  <c r="G49" i="164"/>
  <c r="G50" i="164"/>
  <c r="G51" i="164"/>
  <c r="G52" i="164"/>
  <c r="G53" i="164"/>
  <c r="G54" i="164"/>
  <c r="G56" i="164"/>
  <c r="G59" i="164"/>
  <c r="G60" i="164"/>
  <c r="G61" i="164"/>
  <c r="G62" i="164"/>
  <c r="G63" i="164"/>
  <c r="G64" i="164"/>
  <c r="G65" i="164"/>
  <c r="G66" i="164"/>
  <c r="G67" i="164"/>
  <c r="G68" i="164"/>
  <c r="G69" i="164"/>
  <c r="G70" i="164"/>
  <c r="G71" i="164"/>
  <c r="G72" i="164"/>
  <c r="G73" i="164"/>
  <c r="AZ99" i="102"/>
  <c r="AZ107" i="102"/>
  <c r="G29" i="149"/>
  <c r="F36" i="160"/>
  <c r="F31" i="160"/>
  <c r="F30" i="160"/>
  <c r="BR14" i="102"/>
  <c r="BR17" i="102"/>
  <c r="BR18" i="102"/>
  <c r="BR19" i="102"/>
  <c r="BR20" i="102"/>
  <c r="BR11" i="102"/>
  <c r="BR21" i="102" s="1"/>
  <c r="BR13" i="102"/>
  <c r="BR16" i="102"/>
  <c r="BR12" i="102"/>
  <c r="AL77" i="102"/>
  <c r="AR77" i="102"/>
  <c r="Q86" i="148"/>
  <c r="R86" i="148"/>
  <c r="S86" i="148"/>
  <c r="T86" i="148"/>
  <c r="U86" i="148"/>
  <c r="V86" i="148"/>
  <c r="W86" i="148"/>
  <c r="X67" i="148"/>
  <c r="P86" i="148"/>
  <c r="O86" i="148"/>
  <c r="N86" i="148"/>
  <c r="N88" i="148" s="1"/>
  <c r="M86" i="148"/>
  <c r="L86" i="148"/>
  <c r="K86" i="148"/>
  <c r="J86" i="148"/>
  <c r="I86" i="148"/>
  <c r="H86" i="148"/>
  <c r="U9" i="148"/>
  <c r="AA67" i="148"/>
  <c r="AB67" i="148" s="1"/>
  <c r="Q85" i="132"/>
  <c r="R85" i="132"/>
  <c r="S85" i="132"/>
  <c r="T85" i="132"/>
  <c r="U85" i="132"/>
  <c r="V85" i="132"/>
  <c r="W85" i="132"/>
  <c r="J12" i="137"/>
  <c r="N12" i="137"/>
  <c r="Q12" i="137"/>
  <c r="R12" i="137"/>
  <c r="T12" i="137"/>
  <c r="Q55" i="130"/>
  <c r="S55" i="130"/>
  <c r="T55" i="130"/>
  <c r="U55" i="130"/>
  <c r="V55" i="130"/>
  <c r="W55" i="130"/>
  <c r="X55" i="130"/>
  <c r="Y55" i="130"/>
  <c r="Z55" i="130"/>
  <c r="AA55" i="130"/>
  <c r="AC55" i="130"/>
  <c r="N30" i="130"/>
  <c r="AD30" i="130" s="1"/>
  <c r="R37" i="130"/>
  <c r="N37" i="130"/>
  <c r="P36" i="130"/>
  <c r="P55" i="130" s="1"/>
  <c r="O36" i="130"/>
  <c r="AB36" i="130"/>
  <c r="N36" i="130"/>
  <c r="N34" i="130"/>
  <c r="AD34" i="130" s="1"/>
  <c r="AB33" i="130"/>
  <c r="R33" i="130"/>
  <c r="N31" i="130"/>
  <c r="AD31" i="130" s="1"/>
  <c r="R18" i="130"/>
  <c r="N18" i="130"/>
  <c r="AD19" i="130"/>
  <c r="AD20" i="130"/>
  <c r="AD21" i="130"/>
  <c r="AD22" i="130"/>
  <c r="AD23" i="130"/>
  <c r="AD24" i="130"/>
  <c r="AD25" i="130"/>
  <c r="AD26" i="130"/>
  <c r="AD27" i="130"/>
  <c r="AD28" i="130"/>
  <c r="AD29" i="130"/>
  <c r="AD32" i="130"/>
  <c r="AD35" i="130"/>
  <c r="AD38" i="130"/>
  <c r="AD39" i="130"/>
  <c r="AD40" i="130"/>
  <c r="AD41" i="130"/>
  <c r="AD42" i="130"/>
  <c r="AD43" i="130"/>
  <c r="AD44" i="130"/>
  <c r="AD45" i="130"/>
  <c r="AD46" i="130"/>
  <c r="AD47" i="130"/>
  <c r="L60" i="130"/>
  <c r="H10" i="134"/>
  <c r="I10" i="134" s="1"/>
  <c r="H11" i="134"/>
  <c r="I11" i="134" s="1"/>
  <c r="H12" i="134"/>
  <c r="I12" i="134" s="1"/>
  <c r="H13" i="134"/>
  <c r="I13" i="134" s="1"/>
  <c r="H14" i="134"/>
  <c r="I14" i="134" s="1"/>
  <c r="H15" i="134"/>
  <c r="I15" i="134" s="1"/>
  <c r="H16" i="134"/>
  <c r="I16" i="134" s="1"/>
  <c r="H17" i="134"/>
  <c r="I17" i="134" s="1"/>
  <c r="H18" i="134"/>
  <c r="I18" i="134" s="1"/>
  <c r="H19" i="134"/>
  <c r="I19" i="134" s="1"/>
  <c r="H20" i="134"/>
  <c r="I20" i="134" s="1"/>
  <c r="H21" i="134"/>
  <c r="I21" i="134" s="1"/>
  <c r="H22" i="134"/>
  <c r="I22" i="134" s="1"/>
  <c r="H23" i="134"/>
  <c r="I23" i="134" s="1"/>
  <c r="H24" i="134"/>
  <c r="I24" i="134" s="1"/>
  <c r="H25" i="134"/>
  <c r="I25" i="134" s="1"/>
  <c r="H26" i="134"/>
  <c r="I26" i="134" s="1"/>
  <c r="H27" i="134"/>
  <c r="I27" i="134" s="1"/>
  <c r="H28" i="134"/>
  <c r="I28" i="134" s="1"/>
  <c r="H29" i="134"/>
  <c r="I29" i="134" s="1"/>
  <c r="H30" i="134"/>
  <c r="I30" i="134" s="1"/>
  <c r="H31" i="134"/>
  <c r="I31" i="134" s="1"/>
  <c r="H32" i="134"/>
  <c r="I32" i="134" s="1"/>
  <c r="H33" i="134"/>
  <c r="I33" i="134" s="1"/>
  <c r="H34" i="134"/>
  <c r="I34" i="134" s="1"/>
  <c r="H35" i="134"/>
  <c r="I35" i="134" s="1"/>
  <c r="H36" i="134"/>
  <c r="I36" i="134" s="1"/>
  <c r="H37" i="134"/>
  <c r="I37" i="134" s="1"/>
  <c r="H38" i="134"/>
  <c r="I38" i="134" s="1"/>
  <c r="H39" i="134"/>
  <c r="I39" i="134" s="1"/>
  <c r="H40" i="134"/>
  <c r="I40" i="134" s="1"/>
  <c r="H41" i="134"/>
  <c r="I41" i="134" s="1"/>
  <c r="H42" i="134"/>
  <c r="I42" i="134" s="1"/>
  <c r="H43" i="134"/>
  <c r="I43" i="134" s="1"/>
  <c r="H44" i="134"/>
  <c r="I44" i="134" s="1"/>
  <c r="H45" i="134"/>
  <c r="I45" i="134" s="1"/>
  <c r="H46" i="134"/>
  <c r="I46" i="134" s="1"/>
  <c r="H47" i="134"/>
  <c r="I47" i="134" s="1"/>
  <c r="H48" i="134"/>
  <c r="I48" i="134" s="1"/>
  <c r="H49" i="134"/>
  <c r="I49" i="134" s="1"/>
  <c r="H50" i="134"/>
  <c r="I50" i="134" s="1"/>
  <c r="H52" i="134"/>
  <c r="I52" i="134" s="1"/>
  <c r="H53" i="134"/>
  <c r="I53" i="134" s="1"/>
  <c r="H54" i="134"/>
  <c r="I54" i="134" s="1"/>
  <c r="H55" i="134"/>
  <c r="I55" i="134" s="1"/>
  <c r="H56" i="134"/>
  <c r="I56" i="134" s="1"/>
  <c r="H57" i="134"/>
  <c r="I57" i="134" s="1"/>
  <c r="H58" i="134"/>
  <c r="I58" i="134" s="1"/>
  <c r="H59" i="134"/>
  <c r="I59" i="134" s="1"/>
  <c r="H60" i="134"/>
  <c r="I60" i="134" s="1"/>
  <c r="H61" i="134"/>
  <c r="I61" i="134" s="1"/>
  <c r="H62" i="134"/>
  <c r="I62" i="134" s="1"/>
  <c r="H63" i="134"/>
  <c r="I63" i="134" s="1"/>
  <c r="H64" i="134"/>
  <c r="I64" i="134" s="1"/>
  <c r="H65" i="134"/>
  <c r="I65" i="134" s="1"/>
  <c r="H66" i="134"/>
  <c r="I66" i="134" s="1"/>
  <c r="H67" i="134"/>
  <c r="I67" i="134" s="1"/>
  <c r="H68" i="134"/>
  <c r="I68" i="134" s="1"/>
  <c r="H69" i="134"/>
  <c r="I69" i="134" s="1"/>
  <c r="H70" i="134"/>
  <c r="I70" i="134" s="1"/>
  <c r="H71" i="134"/>
  <c r="I71" i="134" s="1"/>
  <c r="H72" i="134"/>
  <c r="I72" i="134" s="1"/>
  <c r="H73" i="134"/>
  <c r="I73" i="134" s="1"/>
  <c r="H74" i="134"/>
  <c r="I74" i="134" s="1"/>
  <c r="H75" i="134"/>
  <c r="I75" i="134" s="1"/>
  <c r="H76" i="134"/>
  <c r="I76" i="134" s="1"/>
  <c r="H77" i="134"/>
  <c r="I77" i="134" s="1"/>
  <c r="H78" i="134"/>
  <c r="I78" i="134" s="1"/>
  <c r="H79" i="134"/>
  <c r="I79" i="134" s="1"/>
  <c r="H80" i="134"/>
  <c r="I80" i="134" s="1"/>
  <c r="H81" i="134"/>
  <c r="I81" i="134" s="1"/>
  <c r="H82" i="134"/>
  <c r="I82" i="134" s="1"/>
  <c r="H83" i="134"/>
  <c r="I83" i="134" s="1"/>
  <c r="H84" i="134"/>
  <c r="I84" i="134" s="1"/>
  <c r="H85" i="134"/>
  <c r="I85" i="134" s="1"/>
  <c r="H9" i="134"/>
  <c r="H86" i="134" s="1"/>
  <c r="F35" i="134"/>
  <c r="F80" i="134"/>
  <c r="E80" i="134"/>
  <c r="G86" i="134"/>
  <c r="I51" i="134"/>
  <c r="E9" i="134"/>
  <c r="P85" i="132"/>
  <c r="O85" i="132"/>
  <c r="N85" i="132"/>
  <c r="M85" i="132"/>
  <c r="M88" i="132" s="1"/>
  <c r="L85" i="132"/>
  <c r="K85" i="132"/>
  <c r="J85" i="132"/>
  <c r="I85" i="132"/>
  <c r="H85" i="132"/>
  <c r="U9" i="132"/>
  <c r="Q28" i="131"/>
  <c r="S28" i="131" s="1"/>
  <c r="P10" i="130"/>
  <c r="Q10" i="130"/>
  <c r="D11" i="131"/>
  <c r="C11" i="131" s="1"/>
  <c r="D12" i="131"/>
  <c r="C12" i="131" s="1"/>
  <c r="D13" i="131"/>
  <c r="C13" i="131" s="1"/>
  <c r="D14" i="131"/>
  <c r="C14" i="131" s="1"/>
  <c r="D15" i="131"/>
  <c r="C15" i="131" s="1"/>
  <c r="D16" i="131"/>
  <c r="C16" i="131" s="1"/>
  <c r="D17" i="131"/>
  <c r="C17" i="131" s="1"/>
  <c r="D18" i="131"/>
  <c r="C18" i="131" s="1"/>
  <c r="D19" i="131"/>
  <c r="C19" i="131" s="1"/>
  <c r="D20" i="131"/>
  <c r="C20" i="131" s="1"/>
  <c r="D21" i="131"/>
  <c r="C21" i="131" s="1"/>
  <c r="D22" i="131"/>
  <c r="C22" i="131" s="1"/>
  <c r="D23" i="131"/>
  <c r="C23" i="131" s="1"/>
  <c r="D24" i="131"/>
  <c r="C24" i="131" s="1"/>
  <c r="D25" i="131"/>
  <c r="C25" i="131" s="1"/>
  <c r="D26" i="131"/>
  <c r="C26" i="131" s="1"/>
  <c r="D27" i="131"/>
  <c r="C27" i="131" s="1"/>
  <c r="D28" i="131"/>
  <c r="C28" i="131" s="1"/>
  <c r="D29" i="131"/>
  <c r="C29" i="131" s="1"/>
  <c r="D30" i="131"/>
  <c r="C30" i="131" s="1"/>
  <c r="D31" i="131"/>
  <c r="C31" i="131" s="1"/>
  <c r="D32" i="131"/>
  <c r="C32" i="131" s="1"/>
  <c r="D33" i="131"/>
  <c r="C33" i="131" s="1"/>
  <c r="D34" i="131"/>
  <c r="C34" i="131" s="1"/>
  <c r="D35" i="131"/>
  <c r="C35" i="131" s="1"/>
  <c r="D36" i="131"/>
  <c r="C36" i="131" s="1"/>
  <c r="D10" i="131"/>
  <c r="C10" i="131" s="1"/>
  <c r="D19" i="130"/>
  <c r="C19" i="130" s="1"/>
  <c r="D20" i="130"/>
  <c r="C20" i="130" s="1"/>
  <c r="D21" i="130"/>
  <c r="C21" i="130" s="1"/>
  <c r="D22" i="130"/>
  <c r="C22" i="130" s="1"/>
  <c r="D23" i="130"/>
  <c r="C23" i="130" s="1"/>
  <c r="D24" i="130"/>
  <c r="C24" i="130" s="1"/>
  <c r="D25" i="130"/>
  <c r="C25" i="130" s="1"/>
  <c r="D26" i="130"/>
  <c r="C26" i="130" s="1"/>
  <c r="D27" i="130"/>
  <c r="C27" i="130" s="1"/>
  <c r="D28" i="130"/>
  <c r="C28" i="130" s="1"/>
  <c r="D29" i="130"/>
  <c r="C29" i="130" s="1"/>
  <c r="D30" i="130"/>
  <c r="C30" i="130" s="1"/>
  <c r="D31" i="130"/>
  <c r="C31" i="130" s="1"/>
  <c r="D32" i="130"/>
  <c r="C32" i="130" s="1"/>
  <c r="D33" i="130"/>
  <c r="C33" i="130" s="1"/>
  <c r="D34" i="130"/>
  <c r="C34" i="130" s="1"/>
  <c r="D35" i="130"/>
  <c r="C35" i="130" s="1"/>
  <c r="D36" i="130"/>
  <c r="C36" i="130" s="1"/>
  <c r="D37" i="130"/>
  <c r="C37" i="130" s="1"/>
  <c r="D38" i="130"/>
  <c r="C38" i="130" s="1"/>
  <c r="D39" i="130"/>
  <c r="C39" i="130" s="1"/>
  <c r="D40" i="130"/>
  <c r="C40" i="130" s="1"/>
  <c r="D41" i="130"/>
  <c r="C41" i="130" s="1"/>
  <c r="D42" i="130"/>
  <c r="C42" i="130" s="1"/>
  <c r="D43" i="130"/>
  <c r="C43" i="130" s="1"/>
  <c r="D44" i="130"/>
  <c r="C44" i="130" s="1"/>
  <c r="D45" i="130"/>
  <c r="C45" i="130" s="1"/>
  <c r="D46" i="130"/>
  <c r="C46" i="130" s="1"/>
  <c r="D47" i="130"/>
  <c r="C47" i="130" s="1"/>
  <c r="D18" i="130"/>
  <c r="C18" i="130" s="1"/>
  <c r="E79" i="134"/>
  <c r="E10" i="134"/>
  <c r="E11" i="134"/>
  <c r="E13" i="134"/>
  <c r="E15" i="134"/>
  <c r="E17" i="134"/>
  <c r="E18" i="134"/>
  <c r="E19" i="134"/>
  <c r="E20" i="134"/>
  <c r="E21" i="134"/>
  <c r="E22" i="134"/>
  <c r="E23" i="134"/>
  <c r="E24" i="134"/>
  <c r="E25" i="134"/>
  <c r="E26" i="134"/>
  <c r="E28" i="134"/>
  <c r="E29" i="134"/>
  <c r="E30" i="134"/>
  <c r="E31" i="134"/>
  <c r="E33" i="134"/>
  <c r="E34" i="134"/>
  <c r="E36" i="134"/>
  <c r="E38" i="134"/>
  <c r="E39" i="134"/>
  <c r="E40" i="134"/>
  <c r="E42" i="134"/>
  <c r="E44" i="134"/>
  <c r="E45" i="134"/>
  <c r="E46" i="134"/>
  <c r="E47" i="134"/>
  <c r="E49" i="134"/>
  <c r="E52" i="134"/>
  <c r="E53" i="134"/>
  <c r="E55" i="134"/>
  <c r="E58" i="134"/>
  <c r="E59" i="134"/>
  <c r="E60" i="134"/>
  <c r="E62" i="134"/>
  <c r="E63" i="134"/>
  <c r="E64" i="134"/>
  <c r="E66" i="134"/>
  <c r="E67" i="134"/>
  <c r="E68" i="134"/>
  <c r="E69" i="134"/>
  <c r="E71" i="134"/>
  <c r="E73" i="134"/>
  <c r="E75" i="134"/>
  <c r="E77" i="134"/>
  <c r="E78" i="134"/>
  <c r="E81" i="134"/>
  <c r="AL11" i="102"/>
  <c r="AP11" i="102" s="1"/>
  <c r="AY11" i="102" s="1"/>
  <c r="AZ106" i="102"/>
  <c r="AL76" i="102"/>
  <c r="AR76" i="102"/>
  <c r="BN89" i="102"/>
  <c r="AR75" i="102"/>
  <c r="AL75" i="102"/>
  <c r="AR74" i="102"/>
  <c r="AR73" i="102"/>
  <c r="AL73" i="102"/>
  <c r="AR72" i="102"/>
  <c r="AL72" i="102"/>
  <c r="AR71" i="102"/>
  <c r="AL71" i="102"/>
  <c r="AR70" i="102"/>
  <c r="AL70" i="102"/>
  <c r="AR69" i="102"/>
  <c r="AL69" i="102"/>
  <c r="AR68" i="102"/>
  <c r="AL68" i="102"/>
  <c r="BU67" i="102"/>
  <c r="AR67" i="102"/>
  <c r="AL67" i="102"/>
  <c r="CT66" i="102"/>
  <c r="CU66" i="102" s="1"/>
  <c r="BU66" i="102"/>
  <c r="AR66" i="102"/>
  <c r="AL66" i="102"/>
  <c r="CT65" i="102"/>
  <c r="CU65" i="102" s="1"/>
  <c r="BU65" i="102"/>
  <c r="AR65" i="102"/>
  <c r="AL65" i="102"/>
  <c r="CT64" i="102"/>
  <c r="CU64" i="102" s="1"/>
  <c r="BU64" i="102"/>
  <c r="AR64" i="102"/>
  <c r="AL64" i="102"/>
  <c r="CT63" i="102"/>
  <c r="CU63" i="102" s="1"/>
  <c r="CN63" i="102"/>
  <c r="CO63" i="102" s="1"/>
  <c r="BU63" i="102"/>
  <c r="CT62" i="102"/>
  <c r="CU62" i="102" s="1"/>
  <c r="CN62" i="102"/>
  <c r="CO62" i="102" s="1"/>
  <c r="BU62" i="102"/>
  <c r="D65" i="175"/>
  <c r="CT61" i="102"/>
  <c r="CU61" i="102" s="1"/>
  <c r="CN61" i="102"/>
  <c r="CO61" i="102" s="1"/>
  <c r="CI61" i="102"/>
  <c r="CB61" i="102"/>
  <c r="BU61" i="102"/>
  <c r="D64" i="175"/>
  <c r="D63" i="175"/>
  <c r="CT60" i="102"/>
  <c r="CU60" i="102" s="1"/>
  <c r="CN60" i="102"/>
  <c r="CO60" i="102" s="1"/>
  <c r="CI60" i="102"/>
  <c r="CB60" i="102"/>
  <c r="BU60" i="102"/>
  <c r="D61" i="175"/>
  <c r="CT59" i="102"/>
  <c r="CU59" i="102" s="1"/>
  <c r="CN59" i="102"/>
  <c r="CO59" i="102" s="1"/>
  <c r="CI59" i="102"/>
  <c r="CB59" i="102"/>
  <c r="BU59" i="102"/>
  <c r="CT58" i="102"/>
  <c r="CU58" i="102" s="1"/>
  <c r="CN58" i="102"/>
  <c r="CO58" i="102" s="1"/>
  <c r="CI58" i="102"/>
  <c r="CB58" i="102"/>
  <c r="BU58" i="102"/>
  <c r="D59" i="175"/>
  <c r="CT57" i="102"/>
  <c r="CU57" i="102" s="1"/>
  <c r="CN57" i="102"/>
  <c r="CO57" i="102" s="1"/>
  <c r="CI57" i="102"/>
  <c r="CB57" i="102"/>
  <c r="BU57" i="102"/>
  <c r="X75" i="148"/>
  <c r="X74" i="132"/>
  <c r="D57" i="175"/>
  <c r="CT56" i="102"/>
  <c r="CU56" i="102" s="1"/>
  <c r="CN56" i="102"/>
  <c r="CO56" i="102" s="1"/>
  <c r="CB56" i="102"/>
  <c r="BU56" i="102"/>
  <c r="CT55" i="102"/>
  <c r="CU55" i="102" s="1"/>
  <c r="CN55" i="102"/>
  <c r="CO55" i="102" s="1"/>
  <c r="CI55" i="102"/>
  <c r="CB55" i="102"/>
  <c r="BU55" i="102"/>
  <c r="CT54" i="102"/>
  <c r="CU54" i="102" s="1"/>
  <c r="CN54" i="102"/>
  <c r="CO54" i="102" s="1"/>
  <c r="CI54" i="102"/>
  <c r="CB54" i="102"/>
  <c r="BU54" i="102"/>
  <c r="D54" i="175"/>
  <c r="CT53" i="102"/>
  <c r="CU53" i="102" s="1"/>
  <c r="CN53" i="102"/>
  <c r="CO53" i="102" s="1"/>
  <c r="CI53" i="102"/>
  <c r="CB53" i="102"/>
  <c r="BU53" i="102"/>
  <c r="CT52" i="102"/>
  <c r="CU52" i="102" s="1"/>
  <c r="CN52" i="102"/>
  <c r="CO52" i="102" s="1"/>
  <c r="CI52" i="102"/>
  <c r="CB52" i="102"/>
  <c r="BU52" i="102"/>
  <c r="D52" i="175"/>
  <c r="CT51" i="102"/>
  <c r="CU51" i="102" s="1"/>
  <c r="CN51" i="102"/>
  <c r="CO51" i="102" s="1"/>
  <c r="CI51" i="102"/>
  <c r="CB51" i="102"/>
  <c r="BU51" i="102"/>
  <c r="CT50" i="102"/>
  <c r="CU50" i="102" s="1"/>
  <c r="CN50" i="102"/>
  <c r="CO50" i="102" s="1"/>
  <c r="CI50" i="102"/>
  <c r="CB50" i="102"/>
  <c r="BU50" i="102"/>
  <c r="D50" i="175"/>
  <c r="CT49" i="102"/>
  <c r="CU49" i="102" s="1"/>
  <c r="CN49" i="102"/>
  <c r="CO49" i="102" s="1"/>
  <c r="CI49" i="102"/>
  <c r="CB49" i="102"/>
  <c r="BU49" i="102"/>
  <c r="AR49" i="102"/>
  <c r="AL49" i="102"/>
  <c r="CT48" i="102"/>
  <c r="CU48" i="102" s="1"/>
  <c r="CN48" i="102"/>
  <c r="CO48" i="102" s="1"/>
  <c r="CI48" i="102"/>
  <c r="CB48" i="102"/>
  <c r="BU48" i="102"/>
  <c r="CT47" i="102"/>
  <c r="CU47" i="102" s="1"/>
  <c r="CN47" i="102"/>
  <c r="CO47" i="102" s="1"/>
  <c r="CI47" i="102"/>
  <c r="CB47" i="102"/>
  <c r="BU47" i="102"/>
  <c r="D47" i="175"/>
  <c r="CT46" i="102"/>
  <c r="CU46" i="102" s="1"/>
  <c r="CN46" i="102"/>
  <c r="CO46" i="102" s="1"/>
  <c r="CI46" i="102"/>
  <c r="CB46" i="102"/>
  <c r="BU46" i="102"/>
  <c r="CT45" i="102"/>
  <c r="CU45" i="102" s="1"/>
  <c r="CN45" i="102"/>
  <c r="CO45" i="102" s="1"/>
  <c r="CI45" i="102"/>
  <c r="CB45" i="102"/>
  <c r="BU45" i="102"/>
  <c r="AR45" i="102"/>
  <c r="AL45" i="102"/>
  <c r="CT44" i="102"/>
  <c r="CU44" i="102" s="1"/>
  <c r="CN44" i="102"/>
  <c r="CO44" i="102" s="1"/>
  <c r="CI44" i="102"/>
  <c r="CB44" i="102"/>
  <c r="BU44" i="102"/>
  <c r="CT43" i="102"/>
  <c r="CU43" i="102" s="1"/>
  <c r="CN43" i="102"/>
  <c r="CO43" i="102" s="1"/>
  <c r="CI43" i="102"/>
  <c r="CB43" i="102"/>
  <c r="BU43" i="102"/>
  <c r="X56" i="148"/>
  <c r="CT42" i="102"/>
  <c r="CU42" i="102" s="1"/>
  <c r="CN42" i="102"/>
  <c r="CO42" i="102" s="1"/>
  <c r="CI42" i="102"/>
  <c r="CB42" i="102"/>
  <c r="BU42" i="102"/>
  <c r="CT41" i="102"/>
  <c r="CU41" i="102" s="1"/>
  <c r="CN41" i="102"/>
  <c r="CO41" i="102" s="1"/>
  <c r="CI41" i="102"/>
  <c r="CB41" i="102"/>
  <c r="BU41" i="102"/>
  <c r="CT40" i="102"/>
  <c r="CU40" i="102" s="1"/>
  <c r="CN40" i="102"/>
  <c r="CO40" i="102" s="1"/>
  <c r="CI40" i="102"/>
  <c r="CB40" i="102"/>
  <c r="BU40" i="102"/>
  <c r="BV40" i="102" s="1"/>
  <c r="D39" i="175"/>
  <c r="CT39" i="102"/>
  <c r="CU39" i="102" s="1"/>
  <c r="CN39" i="102"/>
  <c r="CO39" i="102" s="1"/>
  <c r="CI39" i="102"/>
  <c r="BU39" i="102"/>
  <c r="CT38" i="102"/>
  <c r="CU38" i="102" s="1"/>
  <c r="CN38" i="102"/>
  <c r="CO38" i="102" s="1"/>
  <c r="CB38" i="102"/>
  <c r="BU38" i="102"/>
  <c r="CT37" i="102"/>
  <c r="CU37" i="102" s="1"/>
  <c r="CN37" i="102"/>
  <c r="CO37" i="102" s="1"/>
  <c r="CI37" i="102"/>
  <c r="CB37" i="102"/>
  <c r="BU37" i="102"/>
  <c r="CT36" i="102"/>
  <c r="CU36" i="102" s="1"/>
  <c r="CN36" i="102"/>
  <c r="CO36" i="102" s="1"/>
  <c r="CI36" i="102"/>
  <c r="CB36" i="102"/>
  <c r="BU36" i="102"/>
  <c r="CT35" i="102"/>
  <c r="CU35" i="102" s="1"/>
  <c r="CN35" i="102"/>
  <c r="CO35" i="102" s="1"/>
  <c r="CI35" i="102"/>
  <c r="CB35" i="102"/>
  <c r="BU35" i="102"/>
  <c r="CT34" i="102"/>
  <c r="CU34" i="102" s="1"/>
  <c r="CN34" i="102"/>
  <c r="CO34" i="102" s="1"/>
  <c r="CI34" i="102"/>
  <c r="CB34" i="102"/>
  <c r="BU34" i="102"/>
  <c r="CT33" i="102"/>
  <c r="CU33" i="102" s="1"/>
  <c r="CN33" i="102"/>
  <c r="CO33" i="102" s="1"/>
  <c r="CI33" i="102"/>
  <c r="CB33" i="102"/>
  <c r="BU33" i="102"/>
  <c r="AR33" i="102"/>
  <c r="CT32" i="102"/>
  <c r="CU32" i="102" s="1"/>
  <c r="CN32" i="102"/>
  <c r="CO32" i="102" s="1"/>
  <c r="CI32" i="102"/>
  <c r="CB32" i="102"/>
  <c r="BU32" i="102"/>
  <c r="CT31" i="102"/>
  <c r="CU31" i="102" s="1"/>
  <c r="CN31" i="102"/>
  <c r="CO31" i="102" s="1"/>
  <c r="CB31" i="102"/>
  <c r="BU31" i="102"/>
  <c r="D30" i="175"/>
  <c r="CT30" i="102"/>
  <c r="CU30" i="102" s="1"/>
  <c r="CN30" i="102"/>
  <c r="CO30" i="102" s="1"/>
  <c r="CI30" i="102"/>
  <c r="CB30" i="102"/>
  <c r="BU30" i="102"/>
  <c r="CT29" i="102"/>
  <c r="CU29" i="102" s="1"/>
  <c r="CN29" i="102"/>
  <c r="CO29" i="102" s="1"/>
  <c r="CI29" i="102"/>
  <c r="CB29" i="102"/>
  <c r="BU29" i="102"/>
  <c r="CT28" i="102"/>
  <c r="CU28" i="102" s="1"/>
  <c r="CN28" i="102"/>
  <c r="CO28" i="102" s="1"/>
  <c r="CI28" i="102"/>
  <c r="CB28" i="102"/>
  <c r="BU28" i="102"/>
  <c r="E27" i="134"/>
  <c r="CT27" i="102"/>
  <c r="CU27" i="102" s="1"/>
  <c r="CN27" i="102"/>
  <c r="CO27" i="102" s="1"/>
  <c r="CI27" i="102"/>
  <c r="CB27" i="102"/>
  <c r="BU27" i="102"/>
  <c r="CT26" i="102"/>
  <c r="CU26" i="102" s="1"/>
  <c r="CN26" i="102"/>
  <c r="CO26" i="102" s="1"/>
  <c r="CI26" i="102"/>
  <c r="CB26" i="102"/>
  <c r="BU26" i="102"/>
  <c r="CT25" i="102"/>
  <c r="CU25" i="102" s="1"/>
  <c r="CN25" i="102"/>
  <c r="CO25" i="102" s="1"/>
  <c r="CI25" i="102"/>
  <c r="CB25" i="102"/>
  <c r="BU25" i="102"/>
  <c r="CT24" i="102"/>
  <c r="CU24" i="102" s="1"/>
  <c r="CN24" i="102"/>
  <c r="CO24" i="102" s="1"/>
  <c r="CI24" i="102"/>
  <c r="CB24" i="102"/>
  <c r="BU24" i="102"/>
  <c r="CT23" i="102"/>
  <c r="CU23" i="102" s="1"/>
  <c r="CN23" i="102"/>
  <c r="CO23" i="102" s="1"/>
  <c r="CI23" i="102"/>
  <c r="CB23" i="102"/>
  <c r="BU23" i="102"/>
  <c r="D22" i="175"/>
  <c r="CT22" i="102"/>
  <c r="CU22" i="102" s="1"/>
  <c r="CN22" i="102"/>
  <c r="CO22" i="102" s="1"/>
  <c r="CI22" i="102"/>
  <c r="CB22" i="102"/>
  <c r="BU22" i="102"/>
  <c r="CT21" i="102"/>
  <c r="CU21" i="102" s="1"/>
  <c r="CN21" i="102"/>
  <c r="CO21" i="102" s="1"/>
  <c r="CI21" i="102"/>
  <c r="CB21" i="102"/>
  <c r="BU21" i="102"/>
  <c r="CT20" i="102"/>
  <c r="CU20" i="102" s="1"/>
  <c r="CN20" i="102"/>
  <c r="CO20" i="102" s="1"/>
  <c r="CI20" i="102"/>
  <c r="CB20" i="102"/>
  <c r="BU20" i="102"/>
  <c r="D19" i="175"/>
  <c r="CT19" i="102"/>
  <c r="CU19" i="102" s="1"/>
  <c r="CN19" i="102"/>
  <c r="CO19" i="102" s="1"/>
  <c r="CI19" i="102"/>
  <c r="CB19" i="102"/>
  <c r="BU19" i="102"/>
  <c r="CT18" i="102"/>
  <c r="CU18" i="102" s="1"/>
  <c r="CN18" i="102"/>
  <c r="CO18" i="102" s="1"/>
  <c r="CI18" i="102"/>
  <c r="CB18" i="102"/>
  <c r="BU18" i="102"/>
  <c r="D17" i="175"/>
  <c r="CT17" i="102"/>
  <c r="CU17" i="102" s="1"/>
  <c r="CN17" i="102"/>
  <c r="CO17" i="102" s="1"/>
  <c r="CI17" i="102"/>
  <c r="CB17" i="102"/>
  <c r="BU17" i="102"/>
  <c r="CT16" i="102"/>
  <c r="CU16" i="102" s="1"/>
  <c r="CN16" i="102"/>
  <c r="CO16" i="102" s="1"/>
  <c r="CI16" i="102"/>
  <c r="CB16" i="102"/>
  <c r="BU16" i="102"/>
  <c r="CT15" i="102"/>
  <c r="CU15" i="102" s="1"/>
  <c r="CN15" i="102"/>
  <c r="CO15" i="102" s="1"/>
  <c r="CI15" i="102"/>
  <c r="CB15" i="102"/>
  <c r="BU15" i="102"/>
  <c r="CT14" i="102"/>
  <c r="CU14" i="102" s="1"/>
  <c r="CN14" i="102"/>
  <c r="CO14" i="102" s="1"/>
  <c r="CI14" i="102"/>
  <c r="CB14" i="102"/>
  <c r="BU14" i="102"/>
  <c r="AR14" i="102"/>
  <c r="CT13" i="102"/>
  <c r="CU13" i="102" s="1"/>
  <c r="CN13" i="102"/>
  <c r="CO13" i="102" s="1"/>
  <c r="CI13" i="102"/>
  <c r="CB13" i="102"/>
  <c r="BU13" i="102"/>
  <c r="BU12" i="102"/>
  <c r="BQ19" i="102" s="1"/>
  <c r="AR12" i="102"/>
  <c r="AL12" i="102"/>
  <c r="CT11" i="102"/>
  <c r="CU11" i="102" s="1"/>
  <c r="CN11" i="102"/>
  <c r="CO11" i="102" s="1"/>
  <c r="CI11" i="102"/>
  <c r="CB11" i="102"/>
  <c r="BU11" i="102"/>
  <c r="AR11" i="102"/>
  <c r="CL40" i="102"/>
  <c r="CL43" i="102"/>
  <c r="CL42" i="102"/>
  <c r="CL24" i="102"/>
  <c r="CL22" i="102"/>
  <c r="CL19" i="102"/>
  <c r="CL26" i="102"/>
  <c r="CL23" i="102"/>
  <c r="CL15" i="102"/>
  <c r="CL32" i="102"/>
  <c r="CL33" i="102"/>
  <c r="CL14" i="102"/>
  <c r="CL54" i="102"/>
  <c r="CL53" i="102"/>
  <c r="CL51" i="102"/>
  <c r="CL49" i="102"/>
  <c r="CL47" i="102"/>
  <c r="CL39" i="102"/>
  <c r="CL38" i="102"/>
  <c r="CL36" i="102"/>
  <c r="CL52" i="102"/>
  <c r="CL59" i="102"/>
  <c r="CL58" i="102"/>
  <c r="CL21" i="102"/>
  <c r="CL60" i="102"/>
  <c r="CL56" i="102"/>
  <c r="CL45" i="102"/>
  <c r="CL44" i="102"/>
  <c r="E84" i="134"/>
  <c r="E85" i="134"/>
  <c r="E35" i="134"/>
  <c r="E12" i="134"/>
  <c r="E41" i="134"/>
  <c r="E48" i="134"/>
  <c r="E56" i="134"/>
  <c r="E16" i="134"/>
  <c r="E83" i="134"/>
  <c r="E72" i="134"/>
  <c r="E65" i="134"/>
  <c r="E70" i="134"/>
  <c r="E74" i="134"/>
  <c r="E82" i="134"/>
  <c r="E51" i="134"/>
  <c r="E54" i="134"/>
  <c r="E50" i="134"/>
  <c r="E32" i="134"/>
  <c r="CL48" i="102"/>
  <c r="CL28" i="102"/>
  <c r="AU40" i="102"/>
  <c r="BT40" i="102"/>
  <c r="CL18" i="102"/>
  <c r="CL37" i="102"/>
  <c r="CL13" i="102"/>
  <c r="CL30" i="102"/>
  <c r="CL34" i="102"/>
  <c r="CL61" i="102"/>
  <c r="CL55" i="102"/>
  <c r="CL31" i="102"/>
  <c r="CL35" i="102"/>
  <c r="CL57" i="102"/>
  <c r="CL16" i="102"/>
  <c r="CL20" i="102"/>
  <c r="CL41" i="102"/>
  <c r="E14" i="134"/>
  <c r="E43" i="134"/>
  <c r="E61" i="134"/>
  <c r="E57" i="134"/>
  <c r="E37" i="134"/>
  <c r="E76" i="134"/>
  <c r="Y67" i="148"/>
  <c r="Z67" i="148" s="1"/>
  <c r="Y28" i="148"/>
  <c r="Z28" i="148" s="1"/>
  <c r="O55" i="130"/>
  <c r="CI56" i="102"/>
  <c r="AR53" i="102"/>
  <c r="AL53" i="102"/>
  <c r="CI31" i="102"/>
  <c r="CB39" i="102"/>
  <c r="AA28" i="148"/>
  <c r="AB28" i="148" s="1"/>
  <c r="AA28" i="132"/>
  <c r="AB28" i="132" s="1"/>
  <c r="AL25" i="102"/>
  <c r="AL56" i="102"/>
  <c r="CI38" i="102"/>
  <c r="AL48" i="102"/>
  <c r="AR17" i="102"/>
  <c r="BR15" i="102"/>
  <c r="AL54" i="102"/>
  <c r="AR54" i="102"/>
  <c r="Y75" i="148"/>
  <c r="Z75" i="148" s="1"/>
  <c r="AL17" i="102"/>
  <c r="AA75" i="148"/>
  <c r="AB75" i="148" s="1"/>
  <c r="AR20" i="102"/>
  <c r="AA74" i="132"/>
  <c r="AB74" i="132" s="1"/>
  <c r="AR42" i="102"/>
  <c r="AX52" i="102"/>
  <c r="AX37" i="102"/>
  <c r="AL43" i="102"/>
  <c r="AR52" i="102"/>
  <c r="AL52" i="102"/>
  <c r="AR32" i="102"/>
  <c r="AD33" i="130" l="1"/>
  <c r="BA48" i="102"/>
  <c r="AP48" i="102"/>
  <c r="BA53" i="102"/>
  <c r="AP53" i="102"/>
  <c r="AP64" i="102"/>
  <c r="BA64" i="102"/>
  <c r="BA65" i="102"/>
  <c r="AP65" i="102"/>
  <c r="BA66" i="102"/>
  <c r="AP66" i="102"/>
  <c r="BA67" i="102"/>
  <c r="AP67" i="102"/>
  <c r="BA75" i="102"/>
  <c r="AP75" i="102"/>
  <c r="BA76" i="102"/>
  <c r="AP76" i="102"/>
  <c r="BA43" i="102"/>
  <c r="AP43" i="102"/>
  <c r="BA25" i="102"/>
  <c r="AP25" i="102"/>
  <c r="BA52" i="102"/>
  <c r="AP52" i="102"/>
  <c r="BA12" i="102"/>
  <c r="AP12" i="102"/>
  <c r="BA49" i="102"/>
  <c r="AP49" i="102"/>
  <c r="BA69" i="102"/>
  <c r="AP69" i="102"/>
  <c r="BA71" i="102"/>
  <c r="AP71" i="102"/>
  <c r="BA73" i="102"/>
  <c r="AP73" i="102"/>
  <c r="BA77" i="102"/>
  <c r="AP77" i="102"/>
  <c r="BA54" i="102"/>
  <c r="AP54" i="102"/>
  <c r="BA17" i="102"/>
  <c r="AP17" i="102"/>
  <c r="BA56" i="102"/>
  <c r="AP56" i="102"/>
  <c r="BA45" i="102"/>
  <c r="AP45" i="102"/>
  <c r="BA11" i="102"/>
  <c r="F9" i="312"/>
  <c r="BA68" i="102"/>
  <c r="AP68" i="102"/>
  <c r="BA70" i="102"/>
  <c r="AP70" i="102"/>
  <c r="AP72" i="102"/>
  <c r="BA72" i="102"/>
  <c r="AU11" i="102"/>
  <c r="BD53" i="102"/>
  <c r="BD17" i="102"/>
  <c r="BD54" i="102"/>
  <c r="BD48" i="102"/>
  <c r="BD56" i="102"/>
  <c r="D30" i="193"/>
  <c r="BD67" i="102"/>
  <c r="E30" i="193"/>
  <c r="BD12" i="102"/>
  <c r="BD69" i="102"/>
  <c r="BD71" i="102"/>
  <c r="BD73" i="102"/>
  <c r="BD75" i="102"/>
  <c r="BD76" i="102"/>
  <c r="BD52" i="102"/>
  <c r="BD45" i="102"/>
  <c r="BD64" i="102"/>
  <c r="BD65" i="102"/>
  <c r="BD66" i="102"/>
  <c r="BD68" i="102"/>
  <c r="BD70" i="102"/>
  <c r="BD72" i="102"/>
  <c r="BD74" i="102"/>
  <c r="BD11" i="102"/>
  <c r="BD43" i="102"/>
  <c r="BD25" i="102"/>
  <c r="BD49" i="102"/>
  <c r="BD77" i="102"/>
  <c r="BG52" i="102"/>
  <c r="BG12" i="102"/>
  <c r="BG33" i="102"/>
  <c r="BG74" i="102"/>
  <c r="BG75" i="102"/>
  <c r="BG53" i="102"/>
  <c r="BG45" i="102"/>
  <c r="BG67" i="102"/>
  <c r="BG77" i="102"/>
  <c r="BG20" i="102"/>
  <c r="BG64" i="102"/>
  <c r="BG69" i="102"/>
  <c r="BG54" i="102"/>
  <c r="BG49" i="102"/>
  <c r="BG66" i="102"/>
  <c r="BG68" i="102"/>
  <c r="BG70" i="102"/>
  <c r="BG71" i="102"/>
  <c r="BG72" i="102"/>
  <c r="BG73" i="102"/>
  <c r="BG65" i="102"/>
  <c r="BG32" i="102"/>
  <c r="BG42" i="102"/>
  <c r="BG17" i="102"/>
  <c r="BG11" i="102"/>
  <c r="BG14" i="102"/>
  <c r="BG76" i="102"/>
  <c r="F14" i="189"/>
  <c r="F15" i="189" s="1"/>
  <c r="N55" i="130"/>
  <c r="R55" i="130"/>
  <c r="I9" i="134"/>
  <c r="I86" i="134" s="1"/>
  <c r="AD36" i="130"/>
  <c r="BV11" i="102"/>
  <c r="AZ108" i="102"/>
  <c r="AZ102" i="102" s="1"/>
  <c r="AU68" i="102"/>
  <c r="AX57" i="102"/>
  <c r="AX14" i="102"/>
  <c r="AU66" i="102"/>
  <c r="AU72" i="102"/>
  <c r="BV45" i="102"/>
  <c r="AU49" i="102"/>
  <c r="BV12" i="102"/>
  <c r="AU12" i="102"/>
  <c r="AX66" i="102"/>
  <c r="AX50" i="102"/>
  <c r="AX54" i="102"/>
  <c r="AX72" i="102"/>
  <c r="AX35" i="102"/>
  <c r="E42" i="175"/>
  <c r="AX55" i="102"/>
  <c r="AX24" i="102"/>
  <c r="AX17" i="102"/>
  <c r="AX44" i="102"/>
  <c r="AX74" i="102"/>
  <c r="AX75" i="102"/>
  <c r="AX62" i="102"/>
  <c r="AX34" i="102"/>
  <c r="AX26" i="102"/>
  <c r="AX18" i="102"/>
  <c r="AX70" i="102"/>
  <c r="AX59" i="102"/>
  <c r="AX27" i="102"/>
  <c r="AN1" i="162"/>
  <c r="AM9" i="162"/>
  <c r="AU53" i="102"/>
  <c r="AX64" i="102"/>
  <c r="AX68" i="102"/>
  <c r="AL20" i="102"/>
  <c r="AX49" i="102"/>
  <c r="AX42" i="102"/>
  <c r="BT12" i="102"/>
  <c r="BT64" i="102"/>
  <c r="AX67" i="102"/>
  <c r="AU45" i="102"/>
  <c r="BV62" i="102"/>
  <c r="AL62" i="102"/>
  <c r="S5" i="137"/>
  <c r="H6" i="137"/>
  <c r="P9" i="131"/>
  <c r="G4" i="137"/>
  <c r="AL47" i="102"/>
  <c r="P4" i="137"/>
  <c r="AD18" i="130"/>
  <c r="BV20" i="102"/>
  <c r="AL18" i="102"/>
  <c r="AR47" i="102"/>
  <c r="O9" i="130"/>
  <c r="R9" i="130" s="1"/>
  <c r="AL34" i="102"/>
  <c r="AX11" i="102"/>
  <c r="AX65" i="102"/>
  <c r="AX46" i="102"/>
  <c r="AX30" i="102"/>
  <c r="AX19" i="102"/>
  <c r="AX12" i="102"/>
  <c r="AX31" i="102"/>
  <c r="AX63" i="102"/>
  <c r="AX58" i="102"/>
  <c r="AX51" i="102"/>
  <c r="AX43" i="102"/>
  <c r="AX20" i="102"/>
  <c r="AX13" i="102"/>
  <c r="AX73" i="102"/>
  <c r="AX56" i="102"/>
  <c r="AX41" i="102"/>
  <c r="AU73" i="102"/>
  <c r="S4" i="137"/>
  <c r="S8" i="137"/>
  <c r="K7" i="137"/>
  <c r="I4" i="137"/>
  <c r="O7" i="137"/>
  <c r="AU65" i="102"/>
  <c r="AR61" i="102"/>
  <c r="H5" i="137"/>
  <c r="P11" i="137"/>
  <c r="BV65" i="102"/>
  <c r="BV67" i="102"/>
  <c r="AU77" i="102"/>
  <c r="L9" i="137"/>
  <c r="L7" i="137"/>
  <c r="AR18" i="102"/>
  <c r="L6" i="137"/>
  <c r="AX47" i="102"/>
  <c r="G11" i="137"/>
  <c r="O4" i="130"/>
  <c r="R4" i="130" s="1"/>
  <c r="AB55" i="130"/>
  <c r="AE18" i="130" s="1"/>
  <c r="AD37" i="130"/>
  <c r="E59" i="190"/>
  <c r="AA56" i="148"/>
  <c r="AB56" i="148" s="1"/>
  <c r="BV55" i="102"/>
  <c r="D58" i="175"/>
  <c r="AL44" i="102"/>
  <c r="D44" i="175"/>
  <c r="BV54" i="102"/>
  <c r="D11" i="175"/>
  <c r="AL14" i="102"/>
  <c r="D12" i="175"/>
  <c r="D28" i="175"/>
  <c r="AR34" i="102"/>
  <c r="D33" i="175"/>
  <c r="D53" i="175"/>
  <c r="D36" i="175"/>
  <c r="D40" i="175"/>
  <c r="D51" i="175"/>
  <c r="BV34" i="102"/>
  <c r="AL50" i="102"/>
  <c r="AL15" i="102"/>
  <c r="D13" i="175"/>
  <c r="D24" i="175"/>
  <c r="D41" i="175"/>
  <c r="D62" i="175"/>
  <c r="D42" i="175"/>
  <c r="D16" i="175"/>
  <c r="D32" i="175"/>
  <c r="D23" i="175"/>
  <c r="AL19" i="102"/>
  <c r="D18" i="175"/>
  <c r="D29" i="175"/>
  <c r="D20" i="175"/>
  <c r="D25" i="175"/>
  <c r="D34" i="175"/>
  <c r="D46" i="175"/>
  <c r="AR48" i="102"/>
  <c r="D48" i="175"/>
  <c r="BV15" i="102"/>
  <c r="AR16" i="102"/>
  <c r="D14" i="175"/>
  <c r="AR55" i="102"/>
  <c r="D55" i="175"/>
  <c r="AL59" i="102"/>
  <c r="D60" i="175"/>
  <c r="AL30" i="102"/>
  <c r="D26" i="175"/>
  <c r="AL39" i="102"/>
  <c r="D38" i="175"/>
  <c r="D43" i="175"/>
  <c r="AR56" i="102"/>
  <c r="D56" i="175"/>
  <c r="AR50" i="102"/>
  <c r="AR38" i="102"/>
  <c r="D37" i="175"/>
  <c r="AL63" i="102"/>
  <c r="D67" i="175"/>
  <c r="BV53" i="102"/>
  <c r="AR30" i="102"/>
  <c r="AR60" i="102"/>
  <c r="D15" i="175"/>
  <c r="AL22" i="102"/>
  <c r="D21" i="175"/>
  <c r="AL28" i="102"/>
  <c r="D27" i="175"/>
  <c r="AL32" i="102"/>
  <c r="D31" i="175"/>
  <c r="AR36" i="102"/>
  <c r="D35" i="175"/>
  <c r="AR62" i="102"/>
  <c r="D66" i="175"/>
  <c r="AL21" i="102"/>
  <c r="AR26" i="102"/>
  <c r="BT56" i="102"/>
  <c r="AL46" i="102"/>
  <c r="AR46" i="102"/>
  <c r="AL24" i="102"/>
  <c r="AL35" i="102"/>
  <c r="AU70" i="102"/>
  <c r="AR44" i="102"/>
  <c r="AL27" i="102"/>
  <c r="AR41" i="102"/>
  <c r="AR51" i="102"/>
  <c r="BT52" i="102"/>
  <c r="AL42" i="102"/>
  <c r="BV23" i="102"/>
  <c r="AR25" i="102"/>
  <c r="AL51" i="102"/>
  <c r="BV52" i="102"/>
  <c r="BT54" i="102"/>
  <c r="D86" i="134"/>
  <c r="AR35" i="102"/>
  <c r="AR43" i="102"/>
  <c r="AU54" i="102"/>
  <c r="AR37" i="102"/>
  <c r="AL37" i="102"/>
  <c r="AL41" i="102"/>
  <c r="AX60" i="102"/>
  <c r="AR21" i="102"/>
  <c r="AX16" i="102"/>
  <c r="AR15" i="102"/>
  <c r="AX39" i="102"/>
  <c r="BM19" i="102"/>
  <c r="BV56" i="102"/>
  <c r="AL16" i="102"/>
  <c r="AX33" i="102"/>
  <c r="AX48" i="102"/>
  <c r="AX76" i="102"/>
  <c r="BT49" i="102"/>
  <c r="AL33" i="102"/>
  <c r="AU76" i="102"/>
  <c r="AX25" i="102"/>
  <c r="AX28" i="102"/>
  <c r="AU64" i="102"/>
  <c r="BV57" i="102"/>
  <c r="AX53" i="102"/>
  <c r="AX38" i="102"/>
  <c r="AX21" i="102"/>
  <c r="AX32" i="102"/>
  <c r="AL38" i="102"/>
  <c r="BJ14" i="102"/>
  <c r="AX22" i="102"/>
  <c r="AL26" i="102"/>
  <c r="AX15" i="102"/>
  <c r="AR19" i="102"/>
  <c r="AU52" i="102"/>
  <c r="AU57" i="102"/>
  <c r="AX69" i="102"/>
  <c r="AX36" i="102"/>
  <c r="AL60" i="102"/>
  <c r="S5" i="130"/>
  <c r="BT11" i="102"/>
  <c r="AR27" i="102"/>
  <c r="AL55" i="102"/>
  <c r="BV66" i="102"/>
  <c r="AX61" i="102"/>
  <c r="AR28" i="102"/>
  <c r="AX23" i="102"/>
  <c r="J80" i="134"/>
  <c r="K80" i="134" s="1"/>
  <c r="M35" i="134"/>
  <c r="J35" i="134"/>
  <c r="K35" i="134" s="1"/>
  <c r="BV30" i="102"/>
  <c r="BT45" i="102"/>
  <c r="BJ18" i="102"/>
  <c r="AL13" i="102"/>
  <c r="AR13" i="102"/>
  <c r="AR22" i="102"/>
  <c r="AR63" i="102"/>
  <c r="AL58" i="102"/>
  <c r="AR58" i="102"/>
  <c r="AX71" i="102"/>
  <c r="AX45" i="102"/>
  <c r="AX29" i="102"/>
  <c r="BV47" i="102"/>
  <c r="BJ17" i="102"/>
  <c r="BL18" i="102"/>
  <c r="AR31" i="102"/>
  <c r="AL31" i="102"/>
  <c r="BV48" i="102"/>
  <c r="AZ91" i="102"/>
  <c r="AL61" i="102"/>
  <c r="BT48" i="102"/>
  <c r="AU71" i="102"/>
  <c r="BJ11" i="102"/>
  <c r="BV49" i="102"/>
  <c r="AR39" i="102"/>
  <c r="BU89" i="102"/>
  <c r="E86" i="134"/>
  <c r="AU69" i="102"/>
  <c r="M80" i="134"/>
  <c r="BT23" i="102"/>
  <c r="AU23" i="102"/>
  <c r="BL13" i="102"/>
  <c r="BL20" i="102"/>
  <c r="BJ20" i="102"/>
  <c r="S4" i="130"/>
  <c r="P7" i="131"/>
  <c r="P3" i="131"/>
  <c r="P5" i="131"/>
  <c r="P2" i="131"/>
  <c r="S6" i="130"/>
  <c r="S7" i="130"/>
  <c r="BJ16" i="102"/>
  <c r="BJ13" i="102"/>
  <c r="BL11" i="102"/>
  <c r="AU75" i="102"/>
  <c r="F7" i="137"/>
  <c r="I5" i="137"/>
  <c r="G10" i="137"/>
  <c r="O7" i="130"/>
  <c r="R7" i="130" s="1"/>
  <c r="G5" i="137"/>
  <c r="K5" i="137"/>
  <c r="S11" i="137"/>
  <c r="I7" i="137"/>
  <c r="F11" i="137"/>
  <c r="O2" i="130"/>
  <c r="R2" i="130" s="1"/>
  <c r="O5" i="137"/>
  <c r="M4" i="137"/>
  <c r="F8" i="137"/>
  <c r="I10" i="137"/>
  <c r="M11" i="137"/>
  <c r="P10" i="137"/>
  <c r="I9" i="137"/>
  <c r="S7" i="137"/>
  <c r="M9" i="137"/>
  <c r="O1" i="130"/>
  <c r="O11" i="137"/>
  <c r="M10" i="137"/>
  <c r="O8" i="137"/>
  <c r="F5" i="137"/>
  <c r="L11" i="137"/>
  <c r="M6" i="137"/>
  <c r="K8" i="137"/>
  <c r="P8" i="137"/>
  <c r="F9" i="137"/>
  <c r="I11" i="137"/>
  <c r="S9" i="137"/>
  <c r="L8" i="137"/>
  <c r="O4" i="137"/>
  <c r="F6" i="137"/>
  <c r="P5" i="137"/>
  <c r="S6" i="137"/>
  <c r="K9" i="137"/>
  <c r="L10" i="137"/>
  <c r="O9" i="137"/>
  <c r="G8" i="137"/>
  <c r="G7" i="137"/>
  <c r="O10" i="137"/>
  <c r="F10" i="137"/>
  <c r="P9" i="137"/>
  <c r="H8" i="137"/>
  <c r="O6" i="130"/>
  <c r="R6" i="130" s="1"/>
  <c r="P6" i="137"/>
  <c r="S10" i="137"/>
  <c r="F4" i="137"/>
  <c r="K4" i="137"/>
  <c r="P7" i="137"/>
  <c r="G9" i="137"/>
  <c r="O8" i="130"/>
  <c r="R8" i="130" s="1"/>
  <c r="L4" i="137"/>
  <c r="H4" i="137"/>
  <c r="H10" i="137"/>
  <c r="K10" i="137"/>
  <c r="G6" i="137"/>
  <c r="O5" i="130"/>
  <c r="R5" i="130" s="1"/>
  <c r="K11" i="137"/>
  <c r="M5" i="137"/>
  <c r="K6" i="137"/>
  <c r="O6" i="137"/>
  <c r="H11" i="137"/>
  <c r="M8" i="137"/>
  <c r="I6" i="137"/>
  <c r="O3" i="130"/>
  <c r="R3" i="130" s="1"/>
  <c r="H9" i="137"/>
  <c r="H7" i="137"/>
  <c r="I8" i="137"/>
  <c r="L5" i="137"/>
  <c r="M7" i="137"/>
  <c r="AR29" i="102"/>
  <c r="AL29" i="102"/>
  <c r="AU67" i="102"/>
  <c r="BL15" i="102"/>
  <c r="S9" i="130"/>
  <c r="T9" i="130" s="1"/>
  <c r="S1" i="130"/>
  <c r="BL17" i="102"/>
  <c r="BJ12" i="102"/>
  <c r="BL12" i="102"/>
  <c r="BJ15" i="102"/>
  <c r="S3" i="130"/>
  <c r="AR24" i="102"/>
  <c r="AL36" i="102"/>
  <c r="BJ19" i="102"/>
  <c r="S2" i="130"/>
  <c r="P4" i="131"/>
  <c r="S8" i="130"/>
  <c r="BL14" i="102"/>
  <c r="BL19" i="102"/>
  <c r="AU17" i="102"/>
  <c r="BV59" i="102"/>
  <c r="AR59" i="102"/>
  <c r="BL16" i="102"/>
  <c r="P1" i="131"/>
  <c r="P8" i="131"/>
  <c r="P6" i="131"/>
  <c r="AU74" i="102"/>
  <c r="BV64" i="102"/>
  <c r="F66" i="312" l="1"/>
  <c r="J66" i="312" s="1"/>
  <c r="K66" i="312" s="1"/>
  <c r="AS68" i="102" s="1"/>
  <c r="AW68" i="102" s="1"/>
  <c r="AY68" i="102"/>
  <c r="F69" i="312"/>
  <c r="J69" i="312" s="1"/>
  <c r="K69" i="312" s="1"/>
  <c r="AS71" i="102" s="1"/>
  <c r="AW71" i="102" s="1"/>
  <c r="AY71" i="102"/>
  <c r="F73" i="312"/>
  <c r="J73" i="312" s="1"/>
  <c r="K73" i="312" s="1"/>
  <c r="AS75" i="102" s="1"/>
  <c r="AW75" i="102" s="1"/>
  <c r="AY75" i="102"/>
  <c r="F67" i="312"/>
  <c r="J67" i="312" s="1"/>
  <c r="K67" i="312" s="1"/>
  <c r="AS69" i="102" s="1"/>
  <c r="AW69" i="102" s="1"/>
  <c r="AY69" i="102"/>
  <c r="F65" i="312"/>
  <c r="J65" i="312" s="1"/>
  <c r="K65" i="312" s="1"/>
  <c r="AS67" i="102" s="1"/>
  <c r="AW67" i="102" s="1"/>
  <c r="AY67" i="102"/>
  <c r="F43" i="312"/>
  <c r="J43" i="312" s="1"/>
  <c r="K43" i="312" s="1"/>
  <c r="AS45" i="102" s="1"/>
  <c r="AW45" i="102" s="1"/>
  <c r="AY45" i="102"/>
  <c r="F47" i="312"/>
  <c r="J47" i="312" s="1"/>
  <c r="K47" i="312" s="1"/>
  <c r="AS49" i="102" s="1"/>
  <c r="AW49" i="102" s="1"/>
  <c r="AY49" i="102"/>
  <c r="F64" i="312"/>
  <c r="J64" i="312" s="1"/>
  <c r="K64" i="312" s="1"/>
  <c r="AS66" i="102" s="1"/>
  <c r="AW66" i="102" s="1"/>
  <c r="AY66" i="102"/>
  <c r="F54" i="312"/>
  <c r="J54" i="312" s="1"/>
  <c r="K54" i="312" s="1"/>
  <c r="AS56" i="102" s="1"/>
  <c r="AW56" i="102" s="1"/>
  <c r="AY56" i="102"/>
  <c r="F10" i="312"/>
  <c r="J10" i="312" s="1"/>
  <c r="K10" i="312" s="1"/>
  <c r="AS12" i="102" s="1"/>
  <c r="AW12" i="102" s="1"/>
  <c r="AY12" i="102"/>
  <c r="F63" i="312"/>
  <c r="J63" i="312" s="1"/>
  <c r="K63" i="312" s="1"/>
  <c r="AS65" i="102" s="1"/>
  <c r="AW65" i="102" s="1"/>
  <c r="AY65" i="102"/>
  <c r="F15" i="312"/>
  <c r="J15" i="312" s="1"/>
  <c r="K15" i="312" s="1"/>
  <c r="AS17" i="102" s="1"/>
  <c r="AW17" i="102" s="1"/>
  <c r="AY17" i="102"/>
  <c r="F50" i="312"/>
  <c r="J50" i="312" s="1"/>
  <c r="K50" i="312" s="1"/>
  <c r="AS52" i="102" s="1"/>
  <c r="AW52" i="102" s="1"/>
  <c r="AY52" i="102"/>
  <c r="F62" i="312"/>
  <c r="J62" i="312" s="1"/>
  <c r="K62" i="312" s="1"/>
  <c r="AS64" i="102" s="1"/>
  <c r="AW64" i="102" s="1"/>
  <c r="AY64" i="102"/>
  <c r="F52" i="312"/>
  <c r="J52" i="312" s="1"/>
  <c r="K52" i="312" s="1"/>
  <c r="AS54" i="102" s="1"/>
  <c r="AW54" i="102" s="1"/>
  <c r="AY54" i="102"/>
  <c r="F23" i="312"/>
  <c r="J23" i="312" s="1"/>
  <c r="K23" i="312" s="1"/>
  <c r="AS25" i="102" s="1"/>
  <c r="AW25" i="102" s="1"/>
  <c r="AY25" i="102"/>
  <c r="F51" i="312"/>
  <c r="J51" i="312" s="1"/>
  <c r="K51" i="312" s="1"/>
  <c r="AS53" i="102" s="1"/>
  <c r="AW53" i="102" s="1"/>
  <c r="AY53" i="102"/>
  <c r="F75" i="312"/>
  <c r="J75" i="312" s="1"/>
  <c r="K75" i="312" s="1"/>
  <c r="AS77" i="102" s="1"/>
  <c r="AW77" i="102" s="1"/>
  <c r="AY77" i="102"/>
  <c r="F41" i="312"/>
  <c r="J41" i="312" s="1"/>
  <c r="K41" i="312" s="1"/>
  <c r="AS43" i="102" s="1"/>
  <c r="AW43" i="102" s="1"/>
  <c r="AY43" i="102"/>
  <c r="F46" i="312"/>
  <c r="J46" i="312" s="1"/>
  <c r="K46" i="312" s="1"/>
  <c r="AS48" i="102" s="1"/>
  <c r="AW48" i="102" s="1"/>
  <c r="AY48" i="102"/>
  <c r="F70" i="312"/>
  <c r="J70" i="312" s="1"/>
  <c r="K70" i="312" s="1"/>
  <c r="AS72" i="102" s="1"/>
  <c r="AW72" i="102" s="1"/>
  <c r="AY72" i="102"/>
  <c r="F68" i="312"/>
  <c r="J68" i="312" s="1"/>
  <c r="K68" i="312" s="1"/>
  <c r="AS70" i="102" s="1"/>
  <c r="AW70" i="102" s="1"/>
  <c r="AY70" i="102"/>
  <c r="F71" i="312"/>
  <c r="J71" i="312" s="1"/>
  <c r="K71" i="312" s="1"/>
  <c r="AS73" i="102" s="1"/>
  <c r="AW73" i="102" s="1"/>
  <c r="AY73" i="102"/>
  <c r="F74" i="312"/>
  <c r="J74" i="312" s="1"/>
  <c r="K74" i="312" s="1"/>
  <c r="AS76" i="102" s="1"/>
  <c r="AW76" i="102" s="1"/>
  <c r="AY76" i="102"/>
  <c r="AS13" i="313"/>
  <c r="J9" i="312"/>
  <c r="D27" i="193"/>
  <c r="BA26" i="102"/>
  <c r="AP26" i="102"/>
  <c r="BA31" i="102"/>
  <c r="AP31" i="102"/>
  <c r="AP55" i="102"/>
  <c r="BA55" i="102"/>
  <c r="D28" i="193" s="1"/>
  <c r="BA60" i="102"/>
  <c r="AP60" i="102"/>
  <c r="BA33" i="102"/>
  <c r="AP33" i="102"/>
  <c r="BA35" i="102"/>
  <c r="AP35" i="102"/>
  <c r="BA32" i="102"/>
  <c r="AP32" i="102"/>
  <c r="BA22" i="102"/>
  <c r="AP22" i="102"/>
  <c r="AP30" i="102"/>
  <c r="BA30" i="102"/>
  <c r="BA19" i="102"/>
  <c r="AP19" i="102"/>
  <c r="BA14" i="102"/>
  <c r="AP14" i="102"/>
  <c r="BA44" i="102"/>
  <c r="AP44" i="102"/>
  <c r="BA46" i="102"/>
  <c r="AP46" i="102"/>
  <c r="BA61" i="102"/>
  <c r="AP61" i="102"/>
  <c r="BA58" i="102"/>
  <c r="AP58" i="102"/>
  <c r="AP13" i="102"/>
  <c r="BA13" i="102"/>
  <c r="BA16" i="102"/>
  <c r="AP16" i="102"/>
  <c r="BA41" i="102"/>
  <c r="AP41" i="102"/>
  <c r="BA42" i="102"/>
  <c r="AP42" i="102"/>
  <c r="BA27" i="102"/>
  <c r="AP27" i="102"/>
  <c r="BA24" i="102"/>
  <c r="AP24" i="102"/>
  <c r="BA15" i="102"/>
  <c r="AP15" i="102"/>
  <c r="BA29" i="102"/>
  <c r="AP29" i="102"/>
  <c r="AP38" i="102"/>
  <c r="BA38" i="102"/>
  <c r="BA37" i="102"/>
  <c r="AP37" i="102"/>
  <c r="BA51" i="102"/>
  <c r="AP51" i="102"/>
  <c r="AP21" i="102"/>
  <c r="BA21" i="102"/>
  <c r="BA28" i="102"/>
  <c r="AP28" i="102"/>
  <c r="BA63" i="102"/>
  <c r="AP63" i="102"/>
  <c r="BA39" i="102"/>
  <c r="AP39" i="102"/>
  <c r="BA59" i="102"/>
  <c r="AP59" i="102"/>
  <c r="BA50" i="102"/>
  <c r="AP50" i="102"/>
  <c r="BA18" i="102"/>
  <c r="AP18" i="102"/>
  <c r="AP47" i="102"/>
  <c r="BA47" i="102"/>
  <c r="BA36" i="102"/>
  <c r="AP36" i="102"/>
  <c r="BA34" i="102"/>
  <c r="AP34" i="102"/>
  <c r="BA62" i="102"/>
  <c r="AP62" i="102"/>
  <c r="BA20" i="102"/>
  <c r="AP20" i="102"/>
  <c r="BD62" i="102"/>
  <c r="BD20" i="102"/>
  <c r="BD36" i="102"/>
  <c r="BD58" i="102"/>
  <c r="BD38" i="102"/>
  <c r="BD37" i="102"/>
  <c r="BD35" i="102"/>
  <c r="BD32" i="102"/>
  <c r="BD22" i="102"/>
  <c r="BD30" i="102"/>
  <c r="BD19" i="102"/>
  <c r="BD14" i="102"/>
  <c r="BD44" i="102"/>
  <c r="BD16" i="102"/>
  <c r="BD41" i="102"/>
  <c r="BD46" i="102"/>
  <c r="BD51" i="102"/>
  <c r="BD42" i="102"/>
  <c r="BD27" i="102"/>
  <c r="BD24" i="102"/>
  <c r="BD15" i="102"/>
  <c r="BD61" i="102"/>
  <c r="BD34" i="102"/>
  <c r="BD29" i="102"/>
  <c r="BD55" i="102"/>
  <c r="BD60" i="102"/>
  <c r="BD26" i="102"/>
  <c r="BD31" i="102"/>
  <c r="BD13" i="102"/>
  <c r="BD33" i="102"/>
  <c r="BD21" i="102"/>
  <c r="BD28" i="102"/>
  <c r="BD63" i="102"/>
  <c r="BD39" i="102"/>
  <c r="BD59" i="102"/>
  <c r="BD50" i="102"/>
  <c r="BD18" i="102"/>
  <c r="BD47" i="102"/>
  <c r="AR89" i="102"/>
  <c r="N86" i="132" s="1"/>
  <c r="AL89" i="102"/>
  <c r="AX89" i="102"/>
  <c r="BO19" i="102"/>
  <c r="BK19" i="102" s="1"/>
  <c r="Y32" i="188"/>
  <c r="Z32" i="188" s="1"/>
  <c r="CR21" i="102"/>
  <c r="F70" i="190"/>
  <c r="Y30" i="173"/>
  <c r="Z30" i="173" s="1"/>
  <c r="T4" i="130"/>
  <c r="AA66" i="188"/>
  <c r="AB66" i="188" s="1"/>
  <c r="AA32" i="188"/>
  <c r="AB32" i="188" s="1"/>
  <c r="AA31" i="132"/>
  <c r="AB31" i="132" s="1"/>
  <c r="AA31" i="188"/>
  <c r="AB31" i="188" s="1"/>
  <c r="Y31" i="188"/>
  <c r="Z31" i="188" s="1"/>
  <c r="AU33" i="102"/>
  <c r="AU32" i="102"/>
  <c r="AU14" i="102"/>
  <c r="AU61" i="102"/>
  <c r="E49" i="190"/>
  <c r="E16" i="190"/>
  <c r="E35" i="190"/>
  <c r="E54" i="190"/>
  <c r="E43" i="190"/>
  <c r="E57" i="190"/>
  <c r="E30" i="190"/>
  <c r="E31" i="190"/>
  <c r="E44" i="190"/>
  <c r="E61" i="190"/>
  <c r="E72" i="190"/>
  <c r="E11" i="190"/>
  <c r="E69" i="190"/>
  <c r="E74" i="190"/>
  <c r="E36" i="190"/>
  <c r="E81" i="190"/>
  <c r="E79" i="190"/>
  <c r="E48" i="190"/>
  <c r="E17" i="190"/>
  <c r="E20" i="190"/>
  <c r="E47" i="190"/>
  <c r="E21" i="190"/>
  <c r="E12" i="190"/>
  <c r="E58" i="190"/>
  <c r="E42" i="190"/>
  <c r="E50" i="190"/>
  <c r="E29" i="190"/>
  <c r="E65" i="190"/>
  <c r="E68" i="190"/>
  <c r="E22" i="190"/>
  <c r="E27" i="190"/>
  <c r="E10" i="190"/>
  <c r="E32" i="190"/>
  <c r="E62" i="190"/>
  <c r="E80" i="190"/>
  <c r="E38" i="190"/>
  <c r="E76" i="190"/>
  <c r="E64" i="190"/>
  <c r="E25" i="190"/>
  <c r="E56" i="190"/>
  <c r="E52" i="190"/>
  <c r="E51" i="190"/>
  <c r="E77" i="190"/>
  <c r="E41" i="190"/>
  <c r="E60" i="190"/>
  <c r="E67" i="190"/>
  <c r="E18" i="190"/>
  <c r="E53" i="190"/>
  <c r="E24" i="190"/>
  <c r="E14" i="190"/>
  <c r="E15" i="190"/>
  <c r="E26" i="190"/>
  <c r="E46" i="190"/>
  <c r="E63" i="190"/>
  <c r="E37" i="190"/>
  <c r="E66" i="190"/>
  <c r="E40" i="190"/>
  <c r="E34" i="190"/>
  <c r="E13" i="190"/>
  <c r="Y66" i="188"/>
  <c r="Z66" i="188" s="1"/>
  <c r="F72" i="190"/>
  <c r="BT50" i="102"/>
  <c r="F69" i="190"/>
  <c r="AD55" i="130"/>
  <c r="E9" i="190"/>
  <c r="AU47" i="102"/>
  <c r="BG59" i="102"/>
  <c r="BG30" i="102"/>
  <c r="BG39" i="102"/>
  <c r="BG36" i="102"/>
  <c r="BG16" i="102"/>
  <c r="BG13" i="102"/>
  <c r="BG56" i="102"/>
  <c r="BG48" i="102"/>
  <c r="BG31" i="102"/>
  <c r="BG63" i="102"/>
  <c r="BG34" i="102"/>
  <c r="BG29" i="102"/>
  <c r="BG28" i="102"/>
  <c r="BG27" i="102"/>
  <c r="AU43" i="102"/>
  <c r="BG43" i="102"/>
  <c r="BG41" i="102"/>
  <c r="BG50" i="102"/>
  <c r="CR52" i="102"/>
  <c r="BG61" i="102"/>
  <c r="BG47" i="102"/>
  <c r="E17" i="175"/>
  <c r="BG46" i="102"/>
  <c r="BV14" i="102"/>
  <c r="BG24" i="102"/>
  <c r="BG15" i="102"/>
  <c r="BG51" i="102"/>
  <c r="BG38" i="102"/>
  <c r="BG58" i="102"/>
  <c r="BG22" i="102"/>
  <c r="BG19" i="102"/>
  <c r="BG21" i="102"/>
  <c r="BG37" i="102"/>
  <c r="BG35" i="102"/>
  <c r="BG25" i="102"/>
  <c r="BG44" i="102"/>
  <c r="BG26" i="102"/>
  <c r="BG62" i="102"/>
  <c r="BG60" i="102"/>
  <c r="BG55" i="102"/>
  <c r="BG18" i="102"/>
  <c r="E27" i="193"/>
  <c r="E75" i="190"/>
  <c r="E82" i="190"/>
  <c r="E19" i="190"/>
  <c r="F72" i="175"/>
  <c r="AA64" i="148"/>
  <c r="AB64" i="148" s="1"/>
  <c r="F74" i="175"/>
  <c r="AA32" i="148"/>
  <c r="AB32" i="148" s="1"/>
  <c r="AA30" i="173"/>
  <c r="AB30" i="173" s="1"/>
  <c r="E28" i="190"/>
  <c r="E71" i="190"/>
  <c r="X80" i="132"/>
  <c r="X81" i="148"/>
  <c r="E55" i="190"/>
  <c r="E78" i="190"/>
  <c r="E45" i="190"/>
  <c r="AA31" i="148"/>
  <c r="AB31" i="148" s="1"/>
  <c r="AA64" i="173"/>
  <c r="AB64" i="173" s="1"/>
  <c r="E73" i="190"/>
  <c r="E33" i="190"/>
  <c r="AA64" i="132"/>
  <c r="AB64" i="132" s="1"/>
  <c r="E70" i="190"/>
  <c r="AA31" i="173"/>
  <c r="AB31" i="173" s="1"/>
  <c r="E39" i="190"/>
  <c r="E23" i="190"/>
  <c r="AA32" i="132"/>
  <c r="AB32" i="132" s="1"/>
  <c r="E82" i="175"/>
  <c r="E29" i="175"/>
  <c r="E35" i="175"/>
  <c r="E45" i="175"/>
  <c r="E70" i="175"/>
  <c r="E10" i="175"/>
  <c r="E64" i="175"/>
  <c r="F71" i="175"/>
  <c r="E53" i="175"/>
  <c r="E27" i="175"/>
  <c r="E24" i="175"/>
  <c r="E25" i="175"/>
  <c r="E30" i="175"/>
  <c r="E31" i="175"/>
  <c r="E63" i="175"/>
  <c r="E13" i="175"/>
  <c r="E26" i="175"/>
  <c r="E47" i="175"/>
  <c r="E12" i="175"/>
  <c r="E76" i="175"/>
  <c r="E84" i="175"/>
  <c r="E40" i="175"/>
  <c r="E80" i="175"/>
  <c r="E48" i="175"/>
  <c r="E62" i="175"/>
  <c r="E69" i="175"/>
  <c r="E67" i="175"/>
  <c r="E61" i="175"/>
  <c r="J59" i="190"/>
  <c r="K59" i="190" s="1"/>
  <c r="E21" i="175"/>
  <c r="E55" i="175"/>
  <c r="E66" i="175"/>
  <c r="E60" i="175"/>
  <c r="E34" i="175"/>
  <c r="E18" i="175"/>
  <c r="E54" i="175"/>
  <c r="E15" i="175"/>
  <c r="E11" i="175"/>
  <c r="E71" i="175"/>
  <c r="E37" i="175"/>
  <c r="E49" i="175"/>
  <c r="E59" i="175"/>
  <c r="CR18" i="102"/>
  <c r="E20" i="175"/>
  <c r="E14" i="175"/>
  <c r="E50" i="175"/>
  <c r="E16" i="175"/>
  <c r="E32" i="175"/>
  <c r="E83" i="175"/>
  <c r="E38" i="175"/>
  <c r="E79" i="175"/>
  <c r="E44" i="175"/>
  <c r="E58" i="175"/>
  <c r="E52" i="175"/>
  <c r="E41" i="175"/>
  <c r="E43" i="175"/>
  <c r="E51" i="175"/>
  <c r="E22" i="175"/>
  <c r="E74" i="175"/>
  <c r="E65" i="175"/>
  <c r="E36" i="175"/>
  <c r="E68" i="175"/>
  <c r="E14" i="189"/>
  <c r="D14" i="189"/>
  <c r="BV27" i="102"/>
  <c r="Y64" i="173"/>
  <c r="Z64" i="173" s="1"/>
  <c r="Y31" i="173"/>
  <c r="Z31" i="173" s="1"/>
  <c r="BV61" i="102"/>
  <c r="CR58" i="102"/>
  <c r="CR63" i="102"/>
  <c r="AU58" i="102"/>
  <c r="AU48" i="102"/>
  <c r="AU44" i="102"/>
  <c r="AU63" i="102"/>
  <c r="AA56" i="132"/>
  <c r="AB56" i="132" s="1"/>
  <c r="AA56" i="173"/>
  <c r="AB56" i="173" s="1"/>
  <c r="AU24" i="102"/>
  <c r="AU36" i="102"/>
  <c r="AU25" i="102"/>
  <c r="CR41" i="102"/>
  <c r="T5" i="130"/>
  <c r="CR62" i="102"/>
  <c r="CR35" i="102"/>
  <c r="CR25" i="102"/>
  <c r="BT53" i="102"/>
  <c r="BM17" i="102" s="1"/>
  <c r="CR59" i="102"/>
  <c r="AU19" i="102"/>
  <c r="BT20" i="102"/>
  <c r="AU22" i="102"/>
  <c r="AU26" i="102"/>
  <c r="AU38" i="102"/>
  <c r="BT62" i="102"/>
  <c r="CR50" i="102"/>
  <c r="BT15" i="102"/>
  <c r="AU20" i="102"/>
  <c r="CR22" i="102"/>
  <c r="AU62" i="102"/>
  <c r="BV43" i="102"/>
  <c r="BT17" i="102"/>
  <c r="BT47" i="102"/>
  <c r="BT28" i="102"/>
  <c r="BT34" i="102"/>
  <c r="X56" i="132"/>
  <c r="BQ17" i="102"/>
  <c r="BT46" i="102"/>
  <c r="AU30" i="102"/>
  <c r="BT43" i="102"/>
  <c r="CR39" i="102"/>
  <c r="CR53" i="102"/>
  <c r="CR61" i="102"/>
  <c r="CR33" i="102"/>
  <c r="CR55" i="102"/>
  <c r="CR37" i="102"/>
  <c r="CR51" i="102"/>
  <c r="CR27" i="102"/>
  <c r="CR57" i="102"/>
  <c r="CR17" i="102"/>
  <c r="CR49" i="102"/>
  <c r="CR47" i="102"/>
  <c r="CR38" i="102"/>
  <c r="CR54" i="102"/>
  <c r="CR23" i="102"/>
  <c r="CR44" i="102"/>
  <c r="CR15" i="102"/>
  <c r="CR14" i="102"/>
  <c r="CR26" i="102"/>
  <c r="AO1" i="162"/>
  <c r="AN9" i="162"/>
  <c r="AU41" i="102"/>
  <c r="CR48" i="102"/>
  <c r="F14" i="174"/>
  <c r="F15" i="174" s="1"/>
  <c r="AU50" i="102"/>
  <c r="CR36" i="102"/>
  <c r="CR16" i="102"/>
  <c r="AU34" i="102"/>
  <c r="D86" i="175"/>
  <c r="CR60" i="102"/>
  <c r="CR30" i="102"/>
  <c r="F72" i="134"/>
  <c r="J72" i="134" s="1"/>
  <c r="K72" i="134" s="1"/>
  <c r="Y31" i="132"/>
  <c r="Z31" i="132" s="1"/>
  <c r="CR29" i="102"/>
  <c r="E28" i="175"/>
  <c r="CR40" i="102"/>
  <c r="E39" i="175"/>
  <c r="E81" i="175"/>
  <c r="E9" i="175"/>
  <c r="E77" i="175"/>
  <c r="CR28" i="102"/>
  <c r="G12" i="137"/>
  <c r="AU39" i="102"/>
  <c r="E57" i="175"/>
  <c r="J57" i="175" s="1"/>
  <c r="K57" i="175" s="1"/>
  <c r="CR24" i="102"/>
  <c r="E23" i="175"/>
  <c r="E72" i="175"/>
  <c r="BT35" i="102"/>
  <c r="BT39" i="102"/>
  <c r="BT19" i="102"/>
  <c r="S12" i="137"/>
  <c r="P12" i="137"/>
  <c r="M12" i="137"/>
  <c r="E85" i="175"/>
  <c r="CR56" i="102"/>
  <c r="E56" i="175"/>
  <c r="CR20" i="102"/>
  <c r="E19" i="175"/>
  <c r="BT41" i="102"/>
  <c r="BT27" i="102"/>
  <c r="BT24" i="102"/>
  <c r="BT21" i="102"/>
  <c r="AU18" i="102"/>
  <c r="CR46" i="102"/>
  <c r="E46" i="175"/>
  <c r="AU46" i="102"/>
  <c r="E78" i="175"/>
  <c r="J78" i="175" s="1"/>
  <c r="K78" i="175" s="1"/>
  <c r="E73" i="175"/>
  <c r="CR34" i="102"/>
  <c r="E33" i="175"/>
  <c r="BT30" i="102"/>
  <c r="AU37" i="102"/>
  <c r="BV32" i="102"/>
  <c r="AU16" i="102"/>
  <c r="BV50" i="102"/>
  <c r="BV46" i="102"/>
  <c r="BT14" i="102"/>
  <c r="AU56" i="102"/>
  <c r="BV16" i="102"/>
  <c r="BV25" i="102"/>
  <c r="BT38" i="102"/>
  <c r="BV60" i="102"/>
  <c r="BV17" i="102"/>
  <c r="BV51" i="102"/>
  <c r="BT37" i="102"/>
  <c r="BV28" i="102"/>
  <c r="E75" i="175"/>
  <c r="BV33" i="102"/>
  <c r="BV41" i="102"/>
  <c r="BV37" i="102"/>
  <c r="BT31" i="102"/>
  <c r="BT16" i="102"/>
  <c r="BT51" i="102"/>
  <c r="AU35" i="102"/>
  <c r="BV35" i="102"/>
  <c r="AU42" i="102"/>
  <c r="BT42" i="102"/>
  <c r="BT25" i="102"/>
  <c r="BT44" i="102"/>
  <c r="BV38" i="102"/>
  <c r="AU51" i="102"/>
  <c r="BV42" i="102"/>
  <c r="BV44" i="102"/>
  <c r="BT58" i="102"/>
  <c r="AU21" i="102"/>
  <c r="BT55" i="102"/>
  <c r="AU55" i="102"/>
  <c r="CR42" i="102"/>
  <c r="BV26" i="102"/>
  <c r="Y28" i="132"/>
  <c r="Z28" i="132" s="1"/>
  <c r="F79" i="134"/>
  <c r="BT26" i="102"/>
  <c r="BV19" i="102"/>
  <c r="CR31" i="102"/>
  <c r="AU28" i="102"/>
  <c r="AU27" i="102"/>
  <c r="AU60" i="102"/>
  <c r="BT60" i="102"/>
  <c r="CR19" i="102"/>
  <c r="BV21" i="102"/>
  <c r="BT32" i="102"/>
  <c r="BT57" i="102"/>
  <c r="CR43" i="102"/>
  <c r="AU15" i="102"/>
  <c r="BT33" i="102"/>
  <c r="CR11" i="102"/>
  <c r="CR45" i="102"/>
  <c r="BT63" i="102"/>
  <c r="BV13" i="102"/>
  <c r="T7" i="130"/>
  <c r="BV58" i="102"/>
  <c r="BV63" i="102"/>
  <c r="BT22" i="102"/>
  <c r="T2" i="130"/>
  <c r="CR32" i="102"/>
  <c r="BV22" i="102"/>
  <c r="BT61" i="102"/>
  <c r="CR13" i="102"/>
  <c r="AU31" i="102"/>
  <c r="BJ21" i="102"/>
  <c r="BJ22" i="102" s="1"/>
  <c r="BV39" i="102"/>
  <c r="BV31" i="102"/>
  <c r="AU13" i="102"/>
  <c r="BT13" i="102"/>
  <c r="AU29" i="102"/>
  <c r="T3" i="130"/>
  <c r="U10" i="137"/>
  <c r="BV24" i="102"/>
  <c r="K12" i="137"/>
  <c r="I12" i="137"/>
  <c r="Y64" i="132"/>
  <c r="Z64" i="132" s="1"/>
  <c r="F73" i="134"/>
  <c r="U4" i="137"/>
  <c r="F12" i="137"/>
  <c r="O12" i="137"/>
  <c r="U11" i="137"/>
  <c r="U7" i="137"/>
  <c r="BT29" i="102"/>
  <c r="BV18" i="102"/>
  <c r="U5" i="137"/>
  <c r="BL21" i="102"/>
  <c r="BT18" i="102"/>
  <c r="H12" i="137"/>
  <c r="R1" i="130"/>
  <c r="O10" i="130"/>
  <c r="BV36" i="102"/>
  <c r="S10" i="130"/>
  <c r="L12" i="137"/>
  <c r="T6" i="130"/>
  <c r="AU59" i="102"/>
  <c r="BV29" i="102"/>
  <c r="U6" i="137"/>
  <c r="BT59" i="102"/>
  <c r="BT36" i="102"/>
  <c r="T8" i="130"/>
  <c r="U9" i="137"/>
  <c r="U8" i="137"/>
  <c r="Y32" i="132"/>
  <c r="Z32" i="132" s="1"/>
  <c r="F75" i="134"/>
  <c r="BQ15" i="102" l="1"/>
  <c r="F39" i="312"/>
  <c r="J39" i="312" s="1"/>
  <c r="K39" i="312" s="1"/>
  <c r="AS41" i="102" s="1"/>
  <c r="AW41" i="102" s="1"/>
  <c r="AY41" i="102"/>
  <c r="F17" i="312"/>
  <c r="J17" i="312" s="1"/>
  <c r="AS19" i="102" s="1"/>
  <c r="AW19" i="102" s="1"/>
  <c r="AY19" i="102"/>
  <c r="F29" i="312"/>
  <c r="J29" i="312" s="1"/>
  <c r="K29" i="312" s="1"/>
  <c r="AS31" i="102" s="1"/>
  <c r="AW31" i="102" s="1"/>
  <c r="AY31" i="102"/>
  <c r="F45" i="312"/>
  <c r="J45" i="312" s="1"/>
  <c r="K45" i="312" s="1"/>
  <c r="AS47" i="102" s="1"/>
  <c r="AW47" i="102" s="1"/>
  <c r="AY47" i="102"/>
  <c r="F49" i="312"/>
  <c r="J49" i="312" s="1"/>
  <c r="K49" i="312" s="1"/>
  <c r="AS51" i="102" s="1"/>
  <c r="AW51" i="102" s="1"/>
  <c r="AY51" i="102"/>
  <c r="F16" i="312"/>
  <c r="J16" i="312" s="1"/>
  <c r="K16" i="312" s="1"/>
  <c r="AS18" i="102" s="1"/>
  <c r="AW18" i="102" s="1"/>
  <c r="AY18" i="102"/>
  <c r="F35" i="312"/>
  <c r="J35" i="312" s="1"/>
  <c r="K35" i="312" s="1"/>
  <c r="AS37" i="102" s="1"/>
  <c r="AW37" i="102" s="1"/>
  <c r="AY37" i="102"/>
  <c r="F14" i="312"/>
  <c r="J14" i="312" s="1"/>
  <c r="K14" i="312" s="1"/>
  <c r="AS16" i="102" s="1"/>
  <c r="AW16" i="102" s="1"/>
  <c r="AY16" i="102"/>
  <c r="F24" i="312"/>
  <c r="J24" i="312" s="1"/>
  <c r="K24" i="312" s="1"/>
  <c r="AS26" i="102" s="1"/>
  <c r="AW26" i="102" s="1"/>
  <c r="AY26" i="102"/>
  <c r="F28" i="312"/>
  <c r="J28" i="312" s="1"/>
  <c r="K28" i="312" s="1"/>
  <c r="AY30" i="102"/>
  <c r="F57" i="312"/>
  <c r="J57" i="312" s="1"/>
  <c r="K57" i="312" s="1"/>
  <c r="AS59" i="102" s="1"/>
  <c r="AW59" i="102" s="1"/>
  <c r="AY59" i="102"/>
  <c r="F27" i="312"/>
  <c r="J27" i="312" s="1"/>
  <c r="K27" i="312" s="1"/>
  <c r="AS29" i="102" s="1"/>
  <c r="AW29" i="102" s="1"/>
  <c r="AY29" i="102"/>
  <c r="F56" i="312"/>
  <c r="J56" i="312" s="1"/>
  <c r="K56" i="312" s="1"/>
  <c r="AS58" i="102" s="1"/>
  <c r="AW58" i="102" s="1"/>
  <c r="AY58" i="102"/>
  <c r="F30" i="312"/>
  <c r="J30" i="312" s="1"/>
  <c r="K30" i="312" s="1"/>
  <c r="AS32" i="102" s="1"/>
  <c r="AW32" i="102" s="1"/>
  <c r="AY32" i="102"/>
  <c r="F19" i="312"/>
  <c r="J19" i="312" s="1"/>
  <c r="K19" i="312" s="1"/>
  <c r="AY21" i="102"/>
  <c r="F18" i="312"/>
  <c r="J18" i="312" s="1"/>
  <c r="K18" i="312" s="1"/>
  <c r="AS20" i="102" s="1"/>
  <c r="AW20" i="102" s="1"/>
  <c r="AY20" i="102"/>
  <c r="F37" i="312"/>
  <c r="J37" i="312" s="1"/>
  <c r="K37" i="312" s="1"/>
  <c r="AS39" i="102" s="1"/>
  <c r="AW39" i="102" s="1"/>
  <c r="AY39" i="102"/>
  <c r="F13" i="312"/>
  <c r="J13" i="312" s="1"/>
  <c r="K13" i="312" s="1"/>
  <c r="AS15" i="102" s="1"/>
  <c r="AW15" i="102" s="1"/>
  <c r="AY15" i="102"/>
  <c r="F59" i="312"/>
  <c r="J59" i="312" s="1"/>
  <c r="K59" i="312" s="1"/>
  <c r="AS61" i="102" s="1"/>
  <c r="AW61" i="102" s="1"/>
  <c r="AY61" i="102"/>
  <c r="F33" i="312"/>
  <c r="J33" i="312" s="1"/>
  <c r="K33" i="312" s="1"/>
  <c r="AS35" i="102" s="1"/>
  <c r="AW35" i="102" s="1"/>
  <c r="AY35" i="102"/>
  <c r="F11" i="312"/>
  <c r="J11" i="312" s="1"/>
  <c r="K11" i="312" s="1"/>
  <c r="AS13" i="102" s="1"/>
  <c r="AW13" i="102" s="1"/>
  <c r="AY13" i="102"/>
  <c r="F60" i="312"/>
  <c r="J60" i="312" s="1"/>
  <c r="K60" i="312" s="1"/>
  <c r="AS62" i="102" s="1"/>
  <c r="AW62" i="102" s="1"/>
  <c r="AY62" i="102"/>
  <c r="F61" i="312"/>
  <c r="J61" i="312" s="1"/>
  <c r="K61" i="312" s="1"/>
  <c r="AS63" i="102" s="1"/>
  <c r="AW63" i="102" s="1"/>
  <c r="AY63" i="102"/>
  <c r="F22" i="312"/>
  <c r="J22" i="312" s="1"/>
  <c r="K22" i="312" s="1"/>
  <c r="AS24" i="102" s="1"/>
  <c r="AW24" i="102" s="1"/>
  <c r="AY24" i="102"/>
  <c r="F44" i="312"/>
  <c r="J44" i="312" s="1"/>
  <c r="K44" i="312" s="1"/>
  <c r="AS46" i="102" s="1"/>
  <c r="AW46" i="102" s="1"/>
  <c r="AY46" i="102"/>
  <c r="F31" i="312"/>
  <c r="J31" i="312" s="1"/>
  <c r="K31" i="312" s="1"/>
  <c r="AS33" i="102" s="1"/>
  <c r="AW33" i="102" s="1"/>
  <c r="AY33" i="102"/>
  <c r="F36" i="312"/>
  <c r="J36" i="312" s="1"/>
  <c r="K36" i="312" s="1"/>
  <c r="AS38" i="102" s="1"/>
  <c r="AW38" i="102" s="1"/>
  <c r="AY38" i="102"/>
  <c r="F53" i="312"/>
  <c r="J53" i="312" s="1"/>
  <c r="K53" i="312" s="1"/>
  <c r="AS55" i="102" s="1"/>
  <c r="AW55" i="102" s="1"/>
  <c r="AY55" i="102"/>
  <c r="F48" i="312"/>
  <c r="J48" i="312" s="1"/>
  <c r="K48" i="312" s="1"/>
  <c r="AS50" i="102" s="1"/>
  <c r="AW50" i="102" s="1"/>
  <c r="AY50" i="102"/>
  <c r="F32" i="312"/>
  <c r="J32" i="312" s="1"/>
  <c r="K32" i="312" s="1"/>
  <c r="AS34" i="102" s="1"/>
  <c r="AW34" i="102" s="1"/>
  <c r="AY34" i="102"/>
  <c r="F26" i="312"/>
  <c r="J26" i="312" s="1"/>
  <c r="K26" i="312" s="1"/>
  <c r="AS28" i="102" s="1"/>
  <c r="AW28" i="102" s="1"/>
  <c r="AY28" i="102"/>
  <c r="F25" i="312"/>
  <c r="J25" i="312" s="1"/>
  <c r="K25" i="312" s="1"/>
  <c r="AS27" i="102" s="1"/>
  <c r="AW27" i="102" s="1"/>
  <c r="AY27" i="102"/>
  <c r="F42" i="312"/>
  <c r="J42" i="312" s="1"/>
  <c r="K42" i="312" s="1"/>
  <c r="AS44" i="102" s="1"/>
  <c r="AW44" i="102" s="1"/>
  <c r="AY44" i="102"/>
  <c r="F58" i="312"/>
  <c r="J58" i="312" s="1"/>
  <c r="K58" i="312" s="1"/>
  <c r="AS60" i="102" s="1"/>
  <c r="AW60" i="102" s="1"/>
  <c r="AY60" i="102"/>
  <c r="F20" i="312"/>
  <c r="J20" i="312" s="1"/>
  <c r="K20" i="312" s="1"/>
  <c r="AS22" i="102" s="1"/>
  <c r="AW22" i="102" s="1"/>
  <c r="AY22" i="102"/>
  <c r="F34" i="312"/>
  <c r="J34" i="312" s="1"/>
  <c r="K34" i="312" s="1"/>
  <c r="AY36" i="102"/>
  <c r="F40" i="312"/>
  <c r="J40" i="312" s="1"/>
  <c r="K40" i="312" s="1"/>
  <c r="AS42" i="102" s="1"/>
  <c r="AW42" i="102" s="1"/>
  <c r="AY42" i="102"/>
  <c r="F12" i="312"/>
  <c r="J12" i="312" s="1"/>
  <c r="K12" i="312" s="1"/>
  <c r="AS14" i="102" s="1"/>
  <c r="AW14" i="102" s="1"/>
  <c r="AY14" i="102"/>
  <c r="AS36" i="102"/>
  <c r="AW36" i="102" s="1"/>
  <c r="AS21" i="102"/>
  <c r="AW21" i="102" s="1"/>
  <c r="AS30" i="102"/>
  <c r="AW30" i="102" s="1"/>
  <c r="BQ16" i="102"/>
  <c r="BQ18" i="102"/>
  <c r="BQ14" i="102"/>
  <c r="BQ12" i="102"/>
  <c r="BQ13" i="102"/>
  <c r="BQ11" i="102"/>
  <c r="D21" i="193"/>
  <c r="AS14" i="313"/>
  <c r="AS9" i="313"/>
  <c r="K9" i="312"/>
  <c r="AS7" i="313"/>
  <c r="BA89" i="102"/>
  <c r="AS10" i="313"/>
  <c r="D24" i="193"/>
  <c r="AS17" i="313"/>
  <c r="BQ20" i="102"/>
  <c r="D31" i="193"/>
  <c r="D23" i="193"/>
  <c r="AS11" i="313"/>
  <c r="D25" i="193"/>
  <c r="AS8" i="313"/>
  <c r="D22" i="193"/>
  <c r="AS12" i="313"/>
  <c r="D26" i="193"/>
  <c r="AS15" i="313"/>
  <c r="D29" i="193"/>
  <c r="E28" i="193"/>
  <c r="BG89" i="102"/>
  <c r="BD89" i="102"/>
  <c r="AP89" i="102"/>
  <c r="AP91" i="102" s="1"/>
  <c r="AU89" i="102"/>
  <c r="BP19" i="102"/>
  <c r="BS19" i="102" s="1"/>
  <c r="E31" i="193"/>
  <c r="Y54" i="148"/>
  <c r="Z54" i="148" s="1"/>
  <c r="J69" i="190"/>
  <c r="K69" i="190" s="1"/>
  <c r="AA61" i="132"/>
  <c r="AB61" i="132" s="1"/>
  <c r="G14" i="174"/>
  <c r="G15" i="174" s="1"/>
  <c r="J19" i="174" s="1"/>
  <c r="G14" i="189"/>
  <c r="G15" i="189" s="1"/>
  <c r="J19" i="189" s="1"/>
  <c r="F18" i="175"/>
  <c r="J18" i="175" s="1"/>
  <c r="K18" i="175" s="1"/>
  <c r="AA73" i="188"/>
  <c r="AB73" i="188" s="1"/>
  <c r="AA67" i="188"/>
  <c r="AB67" i="188" s="1"/>
  <c r="Y18" i="188"/>
  <c r="Z18" i="188" s="1"/>
  <c r="AA29" i="188"/>
  <c r="AB29" i="188" s="1"/>
  <c r="AA53" i="188"/>
  <c r="AB53" i="188" s="1"/>
  <c r="AA30" i="188"/>
  <c r="AB30" i="188" s="1"/>
  <c r="AA56" i="188"/>
  <c r="AB56" i="188" s="1"/>
  <c r="F40" i="190"/>
  <c r="J40" i="190" s="1"/>
  <c r="K40" i="190" s="1"/>
  <c r="F26" i="175"/>
  <c r="J26" i="175" s="1"/>
  <c r="K26" i="175" s="1"/>
  <c r="Y60" i="173"/>
  <c r="Z60" i="173" s="1"/>
  <c r="Y66" i="173"/>
  <c r="Z66" i="173" s="1"/>
  <c r="AA77" i="188"/>
  <c r="AB77" i="188" s="1"/>
  <c r="F30" i="175"/>
  <c r="J30" i="175" s="1"/>
  <c r="K30" i="175" s="1"/>
  <c r="AA34" i="188"/>
  <c r="AB34" i="188" s="1"/>
  <c r="AA70" i="188"/>
  <c r="AB70" i="188" s="1"/>
  <c r="AA76" i="188"/>
  <c r="AB76" i="188" s="1"/>
  <c r="Y61" i="173"/>
  <c r="Z61" i="173" s="1"/>
  <c r="AA75" i="188"/>
  <c r="AB75" i="188" s="1"/>
  <c r="AA27" i="188"/>
  <c r="AB27" i="188" s="1"/>
  <c r="AA28" i="188"/>
  <c r="AB28" i="188" s="1"/>
  <c r="Y38" i="173"/>
  <c r="Z38" i="173" s="1"/>
  <c r="AA78" i="188"/>
  <c r="AB78" i="188" s="1"/>
  <c r="AA24" i="188"/>
  <c r="AB24" i="188" s="1"/>
  <c r="AA61" i="188"/>
  <c r="AB61" i="188" s="1"/>
  <c r="AA41" i="188"/>
  <c r="AB41" i="188" s="1"/>
  <c r="Y10" i="173"/>
  <c r="Z10" i="173" s="1"/>
  <c r="Y58" i="173"/>
  <c r="Z58" i="173" s="1"/>
  <c r="F38" i="175"/>
  <c r="J38" i="175" s="1"/>
  <c r="K38" i="175" s="1"/>
  <c r="AA17" i="188"/>
  <c r="AB17" i="188" s="1"/>
  <c r="AA10" i="148"/>
  <c r="AB10" i="148" s="1"/>
  <c r="AA10" i="132"/>
  <c r="AB10" i="132" s="1"/>
  <c r="AA42" i="148"/>
  <c r="AB42" i="148" s="1"/>
  <c r="AA48" i="148"/>
  <c r="AB48" i="148" s="1"/>
  <c r="AA42" i="132"/>
  <c r="AB42" i="132" s="1"/>
  <c r="AA60" i="188"/>
  <c r="AB60" i="188" s="1"/>
  <c r="AA61" i="148"/>
  <c r="AB61" i="148" s="1"/>
  <c r="AA48" i="132"/>
  <c r="AB48" i="132" s="1"/>
  <c r="Y13" i="173"/>
  <c r="Z13" i="173" s="1"/>
  <c r="AA13" i="188"/>
  <c r="AB13" i="188" s="1"/>
  <c r="AA63" i="188"/>
  <c r="AB63" i="188" s="1"/>
  <c r="AA50" i="188"/>
  <c r="AB50" i="188" s="1"/>
  <c r="AA22" i="132"/>
  <c r="AB22" i="132" s="1"/>
  <c r="AA66" i="148"/>
  <c r="AB66" i="148" s="1"/>
  <c r="AA18" i="188"/>
  <c r="AB18" i="188" s="1"/>
  <c r="AA68" i="188"/>
  <c r="AB68" i="188" s="1"/>
  <c r="AA57" i="188"/>
  <c r="AB57" i="188" s="1"/>
  <c r="AA44" i="188"/>
  <c r="AB44" i="188" s="1"/>
  <c r="AA10" i="188"/>
  <c r="AB10" i="188" s="1"/>
  <c r="AA22" i="148"/>
  <c r="AB22" i="148" s="1"/>
  <c r="AA38" i="148"/>
  <c r="AB38" i="148" s="1"/>
  <c r="AA66" i="173"/>
  <c r="AB66" i="173" s="1"/>
  <c r="AA58" i="148"/>
  <c r="AB58" i="148" s="1"/>
  <c r="AA58" i="132"/>
  <c r="AB58" i="132" s="1"/>
  <c r="AA66" i="132"/>
  <c r="AB66" i="132" s="1"/>
  <c r="AA61" i="173"/>
  <c r="AB61" i="173" s="1"/>
  <c r="AA13" i="173"/>
  <c r="AB13" i="173" s="1"/>
  <c r="AA23" i="188"/>
  <c r="AB23" i="188" s="1"/>
  <c r="AA62" i="188"/>
  <c r="AB62" i="188" s="1"/>
  <c r="AA37" i="188"/>
  <c r="AB37" i="188" s="1"/>
  <c r="AA40" i="188"/>
  <c r="AB40" i="188" s="1"/>
  <c r="F50" i="175"/>
  <c r="J50" i="175" s="1"/>
  <c r="K50" i="175" s="1"/>
  <c r="F12" i="175"/>
  <c r="J12" i="175" s="1"/>
  <c r="K12" i="175" s="1"/>
  <c r="Y13" i="148" s="1"/>
  <c r="Z13" i="148" s="1"/>
  <c r="F43" i="175"/>
  <c r="J43" i="175" s="1"/>
  <c r="K43" i="175" s="1"/>
  <c r="Y58" i="148" s="1"/>
  <c r="Z58" i="148" s="1"/>
  <c r="F46" i="175"/>
  <c r="J46" i="175" s="1"/>
  <c r="K46" i="175" s="1"/>
  <c r="Y61" i="148" s="1"/>
  <c r="Z61" i="148" s="1"/>
  <c r="F12" i="190"/>
  <c r="J12" i="190" s="1"/>
  <c r="K12" i="190" s="1"/>
  <c r="Y57" i="188"/>
  <c r="Z57" i="188" s="1"/>
  <c r="F40" i="175"/>
  <c r="J40" i="175" s="1"/>
  <c r="K40" i="175" s="1"/>
  <c r="F51" i="175"/>
  <c r="J51" i="175" s="1"/>
  <c r="K51" i="175" s="1"/>
  <c r="F42" i="190"/>
  <c r="J42" i="190" s="1"/>
  <c r="K42" i="190" s="1"/>
  <c r="J72" i="190"/>
  <c r="K72" i="190" s="1"/>
  <c r="AC31" i="188"/>
  <c r="AD31" i="188" s="1"/>
  <c r="AC57" i="188"/>
  <c r="AD57" i="188" s="1"/>
  <c r="AC32" i="188"/>
  <c r="AD32" i="188" s="1"/>
  <c r="AC13" i="188"/>
  <c r="AD13" i="188" s="1"/>
  <c r="AC60" i="188"/>
  <c r="AD60" i="188" s="1"/>
  <c r="E25" i="193"/>
  <c r="AA74" i="173"/>
  <c r="AB74" i="173" s="1"/>
  <c r="F82" i="190"/>
  <c r="J82" i="190" s="1"/>
  <c r="K82" i="190" s="1"/>
  <c r="AC76" i="188" s="1"/>
  <c r="AD76" i="188" s="1"/>
  <c r="Y76" i="188"/>
  <c r="Z76" i="188" s="1"/>
  <c r="Y27" i="188"/>
  <c r="Z27" i="188" s="1"/>
  <c r="F22" i="190"/>
  <c r="J22" i="190" s="1"/>
  <c r="K22" i="190" s="1"/>
  <c r="AC27" i="188" s="1"/>
  <c r="AD27" i="188" s="1"/>
  <c r="F24" i="190"/>
  <c r="J24" i="190" s="1"/>
  <c r="K24" i="190" s="1"/>
  <c r="AC18" i="188" s="1"/>
  <c r="AD18" i="188" s="1"/>
  <c r="Y13" i="188"/>
  <c r="Z13" i="188" s="1"/>
  <c r="F18" i="190"/>
  <c r="J18" i="190" s="1"/>
  <c r="K18" i="190" s="1"/>
  <c r="AC23" i="188" s="1"/>
  <c r="AD23" i="188" s="1"/>
  <c r="Y60" i="188"/>
  <c r="Z60" i="188" s="1"/>
  <c r="AA74" i="148"/>
  <c r="AB74" i="148" s="1"/>
  <c r="Y75" i="188"/>
  <c r="Z75" i="188" s="1"/>
  <c r="F55" i="190"/>
  <c r="J55" i="190" s="1"/>
  <c r="K55" i="190" s="1"/>
  <c r="AC75" i="188" s="1"/>
  <c r="AD75" i="188" s="1"/>
  <c r="Y17" i="188"/>
  <c r="Z17" i="188" s="1"/>
  <c r="F63" i="190"/>
  <c r="J63" i="190" s="1"/>
  <c r="K63" i="190" s="1"/>
  <c r="AC17" i="188" s="1"/>
  <c r="AD17" i="188" s="1"/>
  <c r="Y77" i="188"/>
  <c r="Z77" i="188" s="1"/>
  <c r="F68" i="190"/>
  <c r="J68" i="190" s="1"/>
  <c r="K68" i="190" s="1"/>
  <c r="AC77" i="188" s="1"/>
  <c r="AD77" i="188" s="1"/>
  <c r="Y23" i="188"/>
  <c r="Z23" i="188" s="1"/>
  <c r="Y28" i="188"/>
  <c r="Z28" i="188" s="1"/>
  <c r="F75" i="190"/>
  <c r="J75" i="190" s="1"/>
  <c r="K75" i="190" s="1"/>
  <c r="F44" i="190"/>
  <c r="J44" i="190" s="1"/>
  <c r="K44" i="190" s="1"/>
  <c r="AC61" i="188" s="1"/>
  <c r="AD61" i="188" s="1"/>
  <c r="Y61" i="188"/>
  <c r="Z61" i="188" s="1"/>
  <c r="Y78" i="188"/>
  <c r="Z78" i="188" s="1"/>
  <c r="F78" i="190"/>
  <c r="J78" i="190" s="1"/>
  <c r="K78" i="190" s="1"/>
  <c r="AC78" i="188" s="1"/>
  <c r="AD78" i="188" s="1"/>
  <c r="AA33" i="173"/>
  <c r="AB33" i="173" s="1"/>
  <c r="Y34" i="188"/>
  <c r="Z34" i="188" s="1"/>
  <c r="F81" i="190"/>
  <c r="J81" i="190" s="1"/>
  <c r="K81" i="190" s="1"/>
  <c r="AC34" i="188" s="1"/>
  <c r="AD34" i="188" s="1"/>
  <c r="F30" i="190"/>
  <c r="J30" i="190" s="1"/>
  <c r="K30" i="190" s="1"/>
  <c r="AC44" i="188" s="1"/>
  <c r="AD44" i="188" s="1"/>
  <c r="F50" i="190"/>
  <c r="J50" i="190" s="1"/>
  <c r="K50" i="190" s="1"/>
  <c r="AC68" i="188" s="1"/>
  <c r="AD68" i="188" s="1"/>
  <c r="Y73" i="188"/>
  <c r="Z73" i="188" s="1"/>
  <c r="F53" i="190"/>
  <c r="J53" i="190" s="1"/>
  <c r="K53" i="190" s="1"/>
  <c r="AC73" i="188" s="1"/>
  <c r="AD73" i="188" s="1"/>
  <c r="Y24" i="188"/>
  <c r="Z24" i="188" s="1"/>
  <c r="F19" i="190"/>
  <c r="J19" i="190" s="1"/>
  <c r="K19" i="190" s="1"/>
  <c r="AC24" i="188" s="1"/>
  <c r="AD24" i="188" s="1"/>
  <c r="F28" i="190"/>
  <c r="J28" i="190" s="1"/>
  <c r="K28" i="190" s="1"/>
  <c r="AC40" i="188" s="1"/>
  <c r="AD40" i="188" s="1"/>
  <c r="Y44" i="188"/>
  <c r="Z44" i="188" s="1"/>
  <c r="E22" i="193"/>
  <c r="Y68" i="188"/>
  <c r="Z68" i="188" s="1"/>
  <c r="Y41" i="188"/>
  <c r="Z41" i="188" s="1"/>
  <c r="F73" i="190"/>
  <c r="J73" i="190" s="1"/>
  <c r="K73" i="190" s="1"/>
  <c r="AC41" i="188" s="1"/>
  <c r="AD41" i="188" s="1"/>
  <c r="F71" i="190"/>
  <c r="J71" i="190" s="1"/>
  <c r="K71" i="190" s="1"/>
  <c r="AC67" i="188" s="1"/>
  <c r="AD67" i="188" s="1"/>
  <c r="Y67" i="188"/>
  <c r="Z67" i="188" s="1"/>
  <c r="Y70" i="188"/>
  <c r="Z70" i="188" s="1"/>
  <c r="F52" i="190"/>
  <c r="J52" i="190" s="1"/>
  <c r="K52" i="190" s="1"/>
  <c r="AC70" i="188" s="1"/>
  <c r="AD70" i="188" s="1"/>
  <c r="Y40" i="188"/>
  <c r="Z40" i="188" s="1"/>
  <c r="F49" i="190"/>
  <c r="J49" i="190" s="1"/>
  <c r="K49" i="190" s="1"/>
  <c r="F45" i="190"/>
  <c r="J45" i="190" s="1"/>
  <c r="K45" i="190" s="1"/>
  <c r="AC63" i="188" s="1"/>
  <c r="AD63" i="188" s="1"/>
  <c r="Y29" i="188"/>
  <c r="Z29" i="188" s="1"/>
  <c r="F74" i="190"/>
  <c r="J74" i="190" s="1"/>
  <c r="K74" i="190" s="1"/>
  <c r="AC29" i="188" s="1"/>
  <c r="AD29" i="188" s="1"/>
  <c r="Y53" i="188"/>
  <c r="Z53" i="188" s="1"/>
  <c r="F77" i="190"/>
  <c r="J77" i="190" s="1"/>
  <c r="K77" i="190" s="1"/>
  <c r="AC53" i="188" s="1"/>
  <c r="AD53" i="188" s="1"/>
  <c r="F16" i="190"/>
  <c r="J16" i="190" s="1"/>
  <c r="K16" i="190" s="1"/>
  <c r="Y62" i="188"/>
  <c r="Z62" i="188" s="1"/>
  <c r="F26" i="190"/>
  <c r="J26" i="190" s="1"/>
  <c r="K26" i="190" s="1"/>
  <c r="AC37" i="188" s="1"/>
  <c r="AD37" i="188" s="1"/>
  <c r="F38" i="190"/>
  <c r="J38" i="190" s="1"/>
  <c r="K38" i="190" s="1"/>
  <c r="AC50" i="188" s="1"/>
  <c r="AD50" i="188" s="1"/>
  <c r="Y63" i="188"/>
  <c r="Z63" i="188" s="1"/>
  <c r="Y56" i="188"/>
  <c r="Z56" i="188" s="1"/>
  <c r="F39" i="190"/>
  <c r="J39" i="190" s="1"/>
  <c r="K39" i="190" s="1"/>
  <c r="Y30" i="188"/>
  <c r="Z30" i="188" s="1"/>
  <c r="F66" i="190"/>
  <c r="J66" i="190" s="1"/>
  <c r="K66" i="190" s="1"/>
  <c r="AC30" i="188" s="1"/>
  <c r="AD30" i="188" s="1"/>
  <c r="Y10" i="188"/>
  <c r="Z10" i="188" s="1"/>
  <c r="Y37" i="188"/>
  <c r="Z37" i="188" s="1"/>
  <c r="Y50" i="188"/>
  <c r="Z50" i="188" s="1"/>
  <c r="E26" i="193"/>
  <c r="E24" i="193"/>
  <c r="J71" i="175"/>
  <c r="K71" i="175" s="1"/>
  <c r="E14" i="174"/>
  <c r="E15" i="174" s="1"/>
  <c r="E23" i="193"/>
  <c r="E29" i="193"/>
  <c r="E21" i="193"/>
  <c r="AA81" i="148"/>
  <c r="AB81" i="148" s="1"/>
  <c r="E15" i="189"/>
  <c r="D15" i="189"/>
  <c r="J70" i="190"/>
  <c r="K70" i="190" s="1"/>
  <c r="J74" i="175"/>
  <c r="K74" i="175" s="1"/>
  <c r="E86" i="190"/>
  <c r="E87" i="190" s="1"/>
  <c r="J72" i="175"/>
  <c r="K72" i="175" s="1"/>
  <c r="Y64" i="148" s="1"/>
  <c r="Z64" i="148" s="1"/>
  <c r="AA53" i="173"/>
  <c r="AB53" i="173" s="1"/>
  <c r="AA53" i="148"/>
  <c r="AB53" i="148" s="1"/>
  <c r="AA53" i="132"/>
  <c r="AB53" i="132" s="1"/>
  <c r="AA29" i="132"/>
  <c r="AB29" i="132" s="1"/>
  <c r="AA29" i="148"/>
  <c r="AB29" i="148" s="1"/>
  <c r="AA28" i="173"/>
  <c r="AB28" i="173" s="1"/>
  <c r="AA51" i="132"/>
  <c r="AB51" i="132" s="1"/>
  <c r="AA51" i="173"/>
  <c r="AB51" i="173" s="1"/>
  <c r="AA51" i="148"/>
  <c r="AB51" i="148" s="1"/>
  <c r="Y54" i="132"/>
  <c r="Z54" i="132" s="1"/>
  <c r="AA54" i="148"/>
  <c r="AB54" i="148" s="1"/>
  <c r="AA58" i="173"/>
  <c r="AB58" i="173" s="1"/>
  <c r="AA73" i="132"/>
  <c r="AB73" i="132" s="1"/>
  <c r="AA35" i="148"/>
  <c r="AB35" i="148" s="1"/>
  <c r="AA16" i="148"/>
  <c r="AB16" i="148" s="1"/>
  <c r="AA16" i="132"/>
  <c r="AB16" i="132" s="1"/>
  <c r="AA16" i="173"/>
  <c r="AB16" i="173" s="1"/>
  <c r="AA60" i="132"/>
  <c r="AB60" i="132" s="1"/>
  <c r="AA80" i="173"/>
  <c r="AB80" i="173" s="1"/>
  <c r="AA75" i="132"/>
  <c r="AB75" i="132" s="1"/>
  <c r="AA76" i="148"/>
  <c r="AB76" i="148" s="1"/>
  <c r="AA75" i="173"/>
  <c r="AB75" i="173" s="1"/>
  <c r="F24" i="175"/>
  <c r="J24" i="175" s="1"/>
  <c r="K24" i="175" s="1"/>
  <c r="AA17" i="148"/>
  <c r="AB17" i="148" s="1"/>
  <c r="AA17" i="132"/>
  <c r="AB17" i="132" s="1"/>
  <c r="AA42" i="173"/>
  <c r="AB42" i="173" s="1"/>
  <c r="AA17" i="173"/>
  <c r="AB17" i="173" s="1"/>
  <c r="AA27" i="132"/>
  <c r="AB27" i="132" s="1"/>
  <c r="AA27" i="148"/>
  <c r="AB27" i="148" s="1"/>
  <c r="AA27" i="173"/>
  <c r="AB27" i="173" s="1"/>
  <c r="AA26" i="173"/>
  <c r="AB26" i="173" s="1"/>
  <c r="AA26" i="148"/>
  <c r="AB26" i="148" s="1"/>
  <c r="AA26" i="132"/>
  <c r="AB26" i="132" s="1"/>
  <c r="AA59" i="148"/>
  <c r="AB59" i="148" s="1"/>
  <c r="AA59" i="173"/>
  <c r="AB59" i="173" s="1"/>
  <c r="AA59" i="132"/>
  <c r="AB59" i="132" s="1"/>
  <c r="AA23" i="148"/>
  <c r="AB23" i="148" s="1"/>
  <c r="AA23" i="132"/>
  <c r="AB23" i="132" s="1"/>
  <c r="AA23" i="173"/>
  <c r="AB23" i="173" s="1"/>
  <c r="AA30" i="148"/>
  <c r="AB30" i="148" s="1"/>
  <c r="AA30" i="132"/>
  <c r="AB30" i="132" s="1"/>
  <c r="AA29" i="173"/>
  <c r="AB29" i="173" s="1"/>
  <c r="AA38" i="173"/>
  <c r="AB38" i="173" s="1"/>
  <c r="AA60" i="173"/>
  <c r="AB60" i="173" s="1"/>
  <c r="AA48" i="173"/>
  <c r="AB48" i="173" s="1"/>
  <c r="AA72" i="148"/>
  <c r="AB72" i="148" s="1"/>
  <c r="AA71" i="132"/>
  <c r="AB71" i="132" s="1"/>
  <c r="AA71" i="173"/>
  <c r="AB71" i="173" s="1"/>
  <c r="AA11" i="148"/>
  <c r="AB11" i="148" s="1"/>
  <c r="AA11" i="173"/>
  <c r="AB11" i="173" s="1"/>
  <c r="AA11" i="132"/>
  <c r="AB11" i="132" s="1"/>
  <c r="AA68" i="132"/>
  <c r="AB68" i="132" s="1"/>
  <c r="AA68" i="173"/>
  <c r="AB68" i="173" s="1"/>
  <c r="AA69" i="148"/>
  <c r="AB69" i="148" s="1"/>
  <c r="AA38" i="132"/>
  <c r="AB38" i="132" s="1"/>
  <c r="AA80" i="132"/>
  <c r="AB80" i="132" s="1"/>
  <c r="AA39" i="148"/>
  <c r="AB39" i="148" s="1"/>
  <c r="AA39" i="132"/>
  <c r="AB39" i="132" s="1"/>
  <c r="AA39" i="173"/>
  <c r="AB39" i="173" s="1"/>
  <c r="AA35" i="173"/>
  <c r="AB35" i="173" s="1"/>
  <c r="AA54" i="173"/>
  <c r="AB54" i="173" s="1"/>
  <c r="AA13" i="148"/>
  <c r="AB13" i="148" s="1"/>
  <c r="AA13" i="132"/>
  <c r="AB13" i="132" s="1"/>
  <c r="AA65" i="148"/>
  <c r="AB65" i="148" s="1"/>
  <c r="AA65" i="132"/>
  <c r="AB65" i="132" s="1"/>
  <c r="AA65" i="173"/>
  <c r="AB65" i="173" s="1"/>
  <c r="AA77" i="148"/>
  <c r="AB77" i="148" s="1"/>
  <c r="AA76" i="173"/>
  <c r="AB76" i="173" s="1"/>
  <c r="AA76" i="132"/>
  <c r="AB76" i="132" s="1"/>
  <c r="AA35" i="132"/>
  <c r="AB35" i="132" s="1"/>
  <c r="AA54" i="132"/>
  <c r="AB54" i="132" s="1"/>
  <c r="AA73" i="173"/>
  <c r="AB73" i="173" s="1"/>
  <c r="AA60" i="148"/>
  <c r="AB60" i="148" s="1"/>
  <c r="AA10" i="173"/>
  <c r="AB10" i="173" s="1"/>
  <c r="AA22" i="173"/>
  <c r="AB22" i="173" s="1"/>
  <c r="BM20" i="102"/>
  <c r="F28" i="175"/>
  <c r="J28" i="175" s="1"/>
  <c r="K28" i="175" s="1"/>
  <c r="F16" i="175"/>
  <c r="J16" i="175" s="1"/>
  <c r="K16" i="175" s="1"/>
  <c r="Y35" i="173"/>
  <c r="Z35" i="173" s="1"/>
  <c r="Y17" i="148"/>
  <c r="Z17" i="148" s="1"/>
  <c r="AC42" i="173"/>
  <c r="AD42" i="173" s="1"/>
  <c r="Y42" i="148"/>
  <c r="Z42" i="148" s="1"/>
  <c r="Y48" i="173"/>
  <c r="Z48" i="173" s="1"/>
  <c r="F76" i="175"/>
  <c r="J76" i="175" s="1"/>
  <c r="K76" i="175" s="1"/>
  <c r="Y28" i="173"/>
  <c r="Z28" i="173" s="1"/>
  <c r="F80" i="175"/>
  <c r="J80" i="175" s="1"/>
  <c r="K80" i="175" s="1"/>
  <c r="Y51" i="173"/>
  <c r="Z51" i="173" s="1"/>
  <c r="AC54" i="173"/>
  <c r="AD54" i="173" s="1"/>
  <c r="F56" i="175"/>
  <c r="J56" i="175" s="1"/>
  <c r="K56" i="175" s="1"/>
  <c r="Y73" i="173"/>
  <c r="Z73" i="173" s="1"/>
  <c r="Y76" i="173"/>
  <c r="Z76" i="173" s="1"/>
  <c r="F81" i="175"/>
  <c r="J81" i="175" s="1"/>
  <c r="K81" i="175" s="1"/>
  <c r="Y33" i="173"/>
  <c r="Z33" i="173" s="1"/>
  <c r="F84" i="175"/>
  <c r="J84" i="175" s="1"/>
  <c r="K84" i="175" s="1"/>
  <c r="AC33" i="173" s="1"/>
  <c r="AD33" i="173" s="1"/>
  <c r="F85" i="175"/>
  <c r="J85" i="175" s="1"/>
  <c r="K85" i="175" s="1"/>
  <c r="Y74" i="173"/>
  <c r="Z74" i="173" s="1"/>
  <c r="AC30" i="173"/>
  <c r="AD30" i="173" s="1"/>
  <c r="Y31" i="148"/>
  <c r="Z31" i="148" s="1"/>
  <c r="Y22" i="173"/>
  <c r="Z22" i="173" s="1"/>
  <c r="F43" i="134"/>
  <c r="J43" i="134" s="1"/>
  <c r="K43" i="134" s="1"/>
  <c r="Y56" i="173"/>
  <c r="Z56" i="173" s="1"/>
  <c r="F42" i="175"/>
  <c r="J42" i="175" s="1"/>
  <c r="K42" i="175" s="1"/>
  <c r="Y56" i="148" s="1"/>
  <c r="Z56" i="148" s="1"/>
  <c r="Y16" i="173"/>
  <c r="Z16" i="173" s="1"/>
  <c r="F65" i="175"/>
  <c r="J65" i="175" s="1"/>
  <c r="K65" i="175" s="1"/>
  <c r="Y53" i="173"/>
  <c r="Z53" i="173" s="1"/>
  <c r="F39" i="175"/>
  <c r="J39" i="175" s="1"/>
  <c r="K39" i="175" s="1"/>
  <c r="F78" i="134"/>
  <c r="J78" i="134" s="1"/>
  <c r="K78" i="134" s="1"/>
  <c r="F77" i="175"/>
  <c r="J77" i="175" s="1"/>
  <c r="K77" i="175" s="1"/>
  <c r="Y27" i="173"/>
  <c r="Z27" i="173" s="1"/>
  <c r="F22" i="134"/>
  <c r="J22" i="134" s="1"/>
  <c r="K22" i="134" s="1"/>
  <c r="Y26" i="173"/>
  <c r="Z26" i="173" s="1"/>
  <c r="F22" i="175"/>
  <c r="J22" i="175" s="1"/>
  <c r="K22" i="175" s="1"/>
  <c r="Y80" i="173"/>
  <c r="Z80" i="173" s="1"/>
  <c r="F61" i="175"/>
  <c r="J61" i="175" s="1"/>
  <c r="K61" i="175" s="1"/>
  <c r="Y42" i="173"/>
  <c r="Z42" i="173" s="1"/>
  <c r="Y68" i="173"/>
  <c r="Z68" i="173" s="1"/>
  <c r="F53" i="175"/>
  <c r="J53" i="175" s="1"/>
  <c r="K53" i="175" s="1"/>
  <c r="Y69" i="148" s="1"/>
  <c r="Z69" i="148" s="1"/>
  <c r="Y66" i="148"/>
  <c r="Z66" i="148" s="1"/>
  <c r="Y59" i="132"/>
  <c r="Z59" i="132" s="1"/>
  <c r="Y59" i="173"/>
  <c r="Z59" i="173" s="1"/>
  <c r="F45" i="175"/>
  <c r="J45" i="175" s="1"/>
  <c r="K45" i="175" s="1"/>
  <c r="F70" i="175"/>
  <c r="J70" i="175" s="1"/>
  <c r="K70" i="175" s="1"/>
  <c r="Y75" i="173"/>
  <c r="Z75" i="173" s="1"/>
  <c r="AC31" i="173"/>
  <c r="AD31" i="173" s="1"/>
  <c r="Y32" i="148"/>
  <c r="Z32" i="148" s="1"/>
  <c r="F19" i="175"/>
  <c r="J19" i="175" s="1"/>
  <c r="K19" i="175" s="1"/>
  <c r="Y23" i="173"/>
  <c r="Z23" i="173" s="1"/>
  <c r="Y17" i="173"/>
  <c r="Z17" i="173" s="1"/>
  <c r="Y54" i="173"/>
  <c r="Z54" i="173" s="1"/>
  <c r="Y71" i="173"/>
  <c r="Z71" i="173" s="1"/>
  <c r="F54" i="175"/>
  <c r="J54" i="175" s="1"/>
  <c r="K54" i="175" s="1"/>
  <c r="F9" i="175"/>
  <c r="J9" i="175" s="1"/>
  <c r="K9" i="175" s="1"/>
  <c r="F76" i="134"/>
  <c r="M76" i="134" s="1"/>
  <c r="F75" i="175"/>
  <c r="J75" i="175" s="1"/>
  <c r="K75" i="175" s="1"/>
  <c r="Y39" i="148" s="1"/>
  <c r="Z39" i="148" s="1"/>
  <c r="Y39" i="173"/>
  <c r="Z39" i="173" s="1"/>
  <c r="Y65" i="173"/>
  <c r="Z65" i="173" s="1"/>
  <c r="F73" i="175"/>
  <c r="J73" i="175" s="1"/>
  <c r="K73" i="175" s="1"/>
  <c r="Y29" i="173"/>
  <c r="Z29" i="173" s="1"/>
  <c r="F68" i="175"/>
  <c r="J68" i="175" s="1"/>
  <c r="K68" i="175" s="1"/>
  <c r="BO20" i="102"/>
  <c r="BP20" i="102" s="1"/>
  <c r="BS20" i="102" s="1"/>
  <c r="BO16" i="102"/>
  <c r="BP16" i="102" s="1"/>
  <c r="BS16" i="102" s="1"/>
  <c r="BO17" i="102"/>
  <c r="AC58" i="173"/>
  <c r="AD58" i="173" s="1"/>
  <c r="AC68" i="173"/>
  <c r="AD68" i="173" s="1"/>
  <c r="AC56" i="173"/>
  <c r="AD56" i="173" s="1"/>
  <c r="AC13" i="173"/>
  <c r="AD13" i="173" s="1"/>
  <c r="AC74" i="173"/>
  <c r="AD74" i="173" s="1"/>
  <c r="BM14" i="102"/>
  <c r="AP1" i="162"/>
  <c r="AO9" i="162"/>
  <c r="M72" i="134"/>
  <c r="Y73" i="132"/>
  <c r="Z73" i="132" s="1"/>
  <c r="F57" i="134"/>
  <c r="J57" i="134" s="1"/>
  <c r="K57" i="134" s="1"/>
  <c r="Y17" i="132"/>
  <c r="Z17" i="132" s="1"/>
  <c r="F24" i="134"/>
  <c r="M24" i="134" s="1"/>
  <c r="Y76" i="132"/>
  <c r="Z76" i="132" s="1"/>
  <c r="F83" i="134"/>
  <c r="M83" i="134" s="1"/>
  <c r="F51" i="134"/>
  <c r="J51" i="134" s="1"/>
  <c r="K51" i="134" s="1"/>
  <c r="Y60" i="132"/>
  <c r="Z60" i="132" s="1"/>
  <c r="F66" i="134"/>
  <c r="M66" i="134" s="1"/>
  <c r="Y16" i="132"/>
  <c r="Z16" i="132" s="1"/>
  <c r="Y51" i="132"/>
  <c r="Z51" i="132" s="1"/>
  <c r="F82" i="134"/>
  <c r="M82" i="134" s="1"/>
  <c r="Y53" i="132"/>
  <c r="Z53" i="132" s="1"/>
  <c r="F40" i="134"/>
  <c r="J40" i="134" s="1"/>
  <c r="K40" i="134" s="1"/>
  <c r="Y68" i="132"/>
  <c r="Z68" i="132" s="1"/>
  <c r="F54" i="134"/>
  <c r="J54" i="134" s="1"/>
  <c r="K54" i="134" s="1"/>
  <c r="F71" i="134"/>
  <c r="M71" i="134" s="1"/>
  <c r="Y75" i="132"/>
  <c r="Z75" i="132" s="1"/>
  <c r="Y13" i="132"/>
  <c r="Z13" i="132" s="1"/>
  <c r="F12" i="134"/>
  <c r="M12" i="134" s="1"/>
  <c r="F41" i="134"/>
  <c r="J41" i="134" s="1"/>
  <c r="K41" i="134" s="1"/>
  <c r="BM15" i="102"/>
  <c r="Y61" i="132"/>
  <c r="Z61" i="132" s="1"/>
  <c r="F47" i="134"/>
  <c r="Y39" i="132"/>
  <c r="Z39" i="132" s="1"/>
  <c r="Y74" i="132"/>
  <c r="Z74" i="132" s="1"/>
  <c r="F58" i="134"/>
  <c r="BM18" i="102"/>
  <c r="BO18" i="102"/>
  <c r="BP18" i="102" s="1"/>
  <c r="BS18" i="102" s="1"/>
  <c r="BM16" i="102"/>
  <c r="F46" i="134"/>
  <c r="M46" i="134" s="1"/>
  <c r="F16" i="134"/>
  <c r="M16" i="134" s="1"/>
  <c r="Y10" i="132"/>
  <c r="Z10" i="132" s="1"/>
  <c r="M87" i="148"/>
  <c r="M88" i="148" s="1"/>
  <c r="D14" i="174"/>
  <c r="E86" i="175"/>
  <c r="BM12" i="102"/>
  <c r="BM13" i="102"/>
  <c r="BO15" i="102"/>
  <c r="F69" i="134"/>
  <c r="Y30" i="132"/>
  <c r="Z30" i="132" s="1"/>
  <c r="BT89" i="102"/>
  <c r="Y71" i="132"/>
  <c r="Z71" i="132" s="1"/>
  <c r="F55" i="134"/>
  <c r="BO13" i="102"/>
  <c r="BP13" i="102" s="1"/>
  <c r="BS13" i="102" s="1"/>
  <c r="Y35" i="132"/>
  <c r="Z35" i="132" s="1"/>
  <c r="J79" i="134"/>
  <c r="K79" i="134" s="1"/>
  <c r="M79" i="134"/>
  <c r="BM11" i="102"/>
  <c r="Y27" i="132"/>
  <c r="Z27" i="132" s="1"/>
  <c r="F19" i="134"/>
  <c r="Y23" i="132"/>
  <c r="Z23" i="132" s="1"/>
  <c r="Y26" i="132"/>
  <c r="Z26" i="132" s="1"/>
  <c r="BO12" i="102"/>
  <c r="Y56" i="132"/>
  <c r="Z56" i="132" s="1"/>
  <c r="U12" i="137"/>
  <c r="BO11" i="102"/>
  <c r="Y48" i="132"/>
  <c r="Z48" i="132" s="1"/>
  <c r="F39" i="134"/>
  <c r="F26" i="134"/>
  <c r="R10" i="130"/>
  <c r="T1" i="130"/>
  <c r="T10" i="130" s="1"/>
  <c r="BO14" i="102"/>
  <c r="F44" i="134"/>
  <c r="Y58" i="132"/>
  <c r="Z58" i="132" s="1"/>
  <c r="F30" i="134"/>
  <c r="Y42" i="132"/>
  <c r="Z42" i="132" s="1"/>
  <c r="F74" i="134"/>
  <c r="Y65" i="132"/>
  <c r="Z65" i="132" s="1"/>
  <c r="BV89" i="102"/>
  <c r="M75" i="134"/>
  <c r="J75" i="134"/>
  <c r="K75" i="134" s="1"/>
  <c r="M73" i="134"/>
  <c r="J73" i="134"/>
  <c r="K73" i="134" s="1"/>
  <c r="J87" i="312" l="1"/>
  <c r="F87" i="312"/>
  <c r="BQ21" i="102"/>
  <c r="AS11" i="102"/>
  <c r="AW11" i="102" s="1"/>
  <c r="K87" i="312"/>
  <c r="D32" i="193"/>
  <c r="X54" i="132"/>
  <c r="AE54" i="173"/>
  <c r="X31" i="132"/>
  <c r="X32" i="132"/>
  <c r="AC62" i="188"/>
  <c r="AD62" i="188" s="1"/>
  <c r="AC10" i="188"/>
  <c r="AD10" i="188" s="1"/>
  <c r="Y10" i="148"/>
  <c r="Z10" i="148" s="1"/>
  <c r="J18" i="174"/>
  <c r="J18" i="189"/>
  <c r="J14" i="189"/>
  <c r="J15" i="189" s="1"/>
  <c r="J16" i="189" s="1"/>
  <c r="J25" i="189" s="1"/>
  <c r="AA65" i="188"/>
  <c r="AB65" i="188" s="1"/>
  <c r="AA81" i="188"/>
  <c r="AB81" i="188" s="1"/>
  <c r="AA33" i="188"/>
  <c r="AB33" i="188" s="1"/>
  <c r="AA82" i="188"/>
  <c r="AB82" i="188" s="1"/>
  <c r="AA36" i="188"/>
  <c r="AB36" i="188" s="1"/>
  <c r="AA72" i="188"/>
  <c r="AB72" i="188" s="1"/>
  <c r="AA15" i="188"/>
  <c r="AB15" i="188" s="1"/>
  <c r="AA42" i="188"/>
  <c r="AB42" i="188" s="1"/>
  <c r="AA43" i="188"/>
  <c r="AB43" i="188" s="1"/>
  <c r="AA64" i="188"/>
  <c r="AB64" i="188" s="1"/>
  <c r="AA39" i="188"/>
  <c r="AB39" i="188" s="1"/>
  <c r="AA48" i="188"/>
  <c r="AB48" i="188" s="1"/>
  <c r="AA83" i="188"/>
  <c r="AB83" i="188" s="1"/>
  <c r="AA71" i="188"/>
  <c r="AB71" i="188" s="1"/>
  <c r="AA80" i="188"/>
  <c r="AB80" i="188" s="1"/>
  <c r="AA84" i="188"/>
  <c r="AB84" i="188" s="1"/>
  <c r="AA52" i="188"/>
  <c r="AB52" i="188" s="1"/>
  <c r="AA20" i="188"/>
  <c r="AB20" i="188" s="1"/>
  <c r="AA85" i="188"/>
  <c r="AB85" i="188" s="1"/>
  <c r="AA54" i="188"/>
  <c r="AB54" i="188" s="1"/>
  <c r="AA12" i="188"/>
  <c r="AB12" i="188" s="1"/>
  <c r="AA59" i="188"/>
  <c r="AB59" i="188" s="1"/>
  <c r="AA47" i="188"/>
  <c r="AB47" i="188" s="1"/>
  <c r="Y11" i="173"/>
  <c r="Z11" i="173" s="1"/>
  <c r="AA11" i="188"/>
  <c r="AB11" i="188" s="1"/>
  <c r="F9" i="134"/>
  <c r="M9" i="134" s="1"/>
  <c r="Y11" i="132"/>
  <c r="Z11" i="132" s="1"/>
  <c r="J14" i="174"/>
  <c r="J15" i="174" s="1"/>
  <c r="J16" i="174" s="1"/>
  <c r="AC48" i="173"/>
  <c r="AD48" i="173" s="1"/>
  <c r="AC22" i="173"/>
  <c r="AD22" i="173" s="1"/>
  <c r="AC66" i="173"/>
  <c r="AD66" i="173" s="1"/>
  <c r="AC17" i="173"/>
  <c r="AD17" i="173" s="1"/>
  <c r="AC60" i="173"/>
  <c r="AD60" i="173" s="1"/>
  <c r="AC35" i="173"/>
  <c r="AD35" i="173" s="1"/>
  <c r="Y48" i="148"/>
  <c r="Z48" i="148" s="1"/>
  <c r="Y38" i="148"/>
  <c r="Z38" i="148" s="1"/>
  <c r="Y22" i="148"/>
  <c r="Z22" i="148" s="1"/>
  <c r="Y60" i="148"/>
  <c r="Z60" i="148" s="1"/>
  <c r="Y12" i="188"/>
  <c r="Z12" i="188" s="1"/>
  <c r="F17" i="190"/>
  <c r="J17" i="190" s="1"/>
  <c r="K17" i="190" s="1"/>
  <c r="AC12" i="188" s="1"/>
  <c r="AD12" i="188" s="1"/>
  <c r="F32" i="190"/>
  <c r="J32" i="190" s="1"/>
  <c r="K32" i="190" s="1"/>
  <c r="AC36" i="188" s="1"/>
  <c r="AD36" i="188" s="1"/>
  <c r="Y36" i="188"/>
  <c r="Z36" i="188" s="1"/>
  <c r="Y59" i="188"/>
  <c r="Z59" i="188" s="1"/>
  <c r="F43" i="190"/>
  <c r="J43" i="190" s="1"/>
  <c r="K43" i="190" s="1"/>
  <c r="AC59" i="188" s="1"/>
  <c r="AD59" i="188" s="1"/>
  <c r="Y42" i="188"/>
  <c r="Z42" i="188" s="1"/>
  <c r="F10" i="190"/>
  <c r="J10" i="190" s="1"/>
  <c r="K10" i="190" s="1"/>
  <c r="AC42" i="188" s="1"/>
  <c r="AD42" i="188" s="1"/>
  <c r="Y81" i="188"/>
  <c r="Z81" i="188" s="1"/>
  <c r="F58" i="190"/>
  <c r="J58" i="190" s="1"/>
  <c r="K58" i="190" s="1"/>
  <c r="AC81" i="188" s="1"/>
  <c r="AD81" i="188" s="1"/>
  <c r="F57" i="190"/>
  <c r="J57" i="190" s="1"/>
  <c r="K57" i="190" s="1"/>
  <c r="AC80" i="188" s="1"/>
  <c r="AD80" i="188" s="1"/>
  <c r="Y80" i="188"/>
  <c r="Z80" i="188" s="1"/>
  <c r="F51" i="190"/>
  <c r="J51" i="190" s="1"/>
  <c r="K51" i="190" s="1"/>
  <c r="AC72" i="188" s="1"/>
  <c r="AD72" i="188" s="1"/>
  <c r="Y72" i="188"/>
  <c r="Z72" i="188" s="1"/>
  <c r="F59" i="134"/>
  <c r="M59" i="134" s="1"/>
  <c r="Y83" i="188"/>
  <c r="Z83" i="188" s="1"/>
  <c r="F56" i="190"/>
  <c r="J56" i="190" s="1"/>
  <c r="K56" i="190" s="1"/>
  <c r="AC83" i="188" s="1"/>
  <c r="AD83" i="188" s="1"/>
  <c r="F79" i="190"/>
  <c r="J79" i="190" s="1"/>
  <c r="K79" i="190" s="1"/>
  <c r="AC54" i="188" s="1"/>
  <c r="AD54" i="188" s="1"/>
  <c r="Y54" i="188"/>
  <c r="Z54" i="188" s="1"/>
  <c r="Y15" i="188"/>
  <c r="Z15" i="188" s="1"/>
  <c r="F11" i="190"/>
  <c r="J11" i="190" s="1"/>
  <c r="K11" i="190" s="1"/>
  <c r="AC15" i="188" s="1"/>
  <c r="AD15" i="188" s="1"/>
  <c r="Y71" i="188"/>
  <c r="Z71" i="188" s="1"/>
  <c r="F48" i="190"/>
  <c r="J48" i="190" s="1"/>
  <c r="K48" i="190" s="1"/>
  <c r="AC71" i="188" s="1"/>
  <c r="AD71" i="188" s="1"/>
  <c r="Y64" i="188"/>
  <c r="Z64" i="188" s="1"/>
  <c r="F46" i="190"/>
  <c r="J46" i="190" s="1"/>
  <c r="K46" i="190" s="1"/>
  <c r="AC64" i="188" s="1"/>
  <c r="AD64" i="188" s="1"/>
  <c r="Y84" i="188"/>
  <c r="Z84" i="188" s="1"/>
  <c r="F64" i="190"/>
  <c r="J64" i="190" s="1"/>
  <c r="K64" i="190" s="1"/>
  <c r="AC84" i="188" s="1"/>
  <c r="AD84" i="188" s="1"/>
  <c r="F47" i="190"/>
  <c r="J47" i="190" s="1"/>
  <c r="K47" i="190" s="1"/>
  <c r="AC65" i="188" s="1"/>
  <c r="AD65" i="188" s="1"/>
  <c r="Y65" i="188"/>
  <c r="Z65" i="188" s="1"/>
  <c r="Y11" i="188"/>
  <c r="F9" i="190"/>
  <c r="Y33" i="188"/>
  <c r="Z33" i="188" s="1"/>
  <c r="F80" i="190"/>
  <c r="J80" i="190" s="1"/>
  <c r="K80" i="190" s="1"/>
  <c r="AC33" i="188" s="1"/>
  <c r="AD33" i="188" s="1"/>
  <c r="Y52" i="188"/>
  <c r="Z52" i="188" s="1"/>
  <c r="F37" i="190"/>
  <c r="J37" i="190" s="1"/>
  <c r="K37" i="190" s="1"/>
  <c r="AC52" i="188" s="1"/>
  <c r="AD52" i="188" s="1"/>
  <c r="Y39" i="188"/>
  <c r="Z39" i="188" s="1"/>
  <c r="F27" i="190"/>
  <c r="J27" i="190" s="1"/>
  <c r="K27" i="190" s="1"/>
  <c r="AC39" i="188" s="1"/>
  <c r="AD39" i="188" s="1"/>
  <c r="Y48" i="188"/>
  <c r="Z48" i="188" s="1"/>
  <c r="F76" i="190"/>
  <c r="J76" i="190" s="1"/>
  <c r="K76" i="190" s="1"/>
  <c r="AC48" i="188" s="1"/>
  <c r="AD48" i="188" s="1"/>
  <c r="Y82" i="188"/>
  <c r="Z82" i="188" s="1"/>
  <c r="F61" i="190"/>
  <c r="J61" i="190" s="1"/>
  <c r="K61" i="190" s="1"/>
  <c r="AC82" i="188" s="1"/>
  <c r="AD82" i="188" s="1"/>
  <c r="Y47" i="188"/>
  <c r="Z47" i="188" s="1"/>
  <c r="F67" i="190"/>
  <c r="J67" i="190" s="1"/>
  <c r="K67" i="190" s="1"/>
  <c r="AC47" i="188" s="1"/>
  <c r="AD47" i="188" s="1"/>
  <c r="Y43" i="188"/>
  <c r="Z43" i="188" s="1"/>
  <c r="F29" i="190"/>
  <c r="J29" i="190" s="1"/>
  <c r="K29" i="190" s="1"/>
  <c r="AC43" i="188" s="1"/>
  <c r="AD43" i="188" s="1"/>
  <c r="Y35" i="148"/>
  <c r="Z35" i="148" s="1"/>
  <c r="Y85" i="188"/>
  <c r="Z85" i="188" s="1"/>
  <c r="F62" i="190"/>
  <c r="J62" i="190" s="1"/>
  <c r="K62" i="190" s="1"/>
  <c r="AC85" i="188" s="1"/>
  <c r="AD85" i="188" s="1"/>
  <c r="Y20" i="188"/>
  <c r="Z20" i="188" s="1"/>
  <c r="F13" i="190"/>
  <c r="J13" i="190" s="1"/>
  <c r="K13" i="190" s="1"/>
  <c r="M43" i="134"/>
  <c r="E32" i="193"/>
  <c r="AC66" i="188"/>
  <c r="AD66" i="188" s="1"/>
  <c r="AC53" i="173"/>
  <c r="AD53" i="173" s="1"/>
  <c r="AC56" i="188"/>
  <c r="AD56" i="188" s="1"/>
  <c r="AC27" i="173"/>
  <c r="AD27" i="173" s="1"/>
  <c r="AC28" i="188"/>
  <c r="AD28" i="188" s="1"/>
  <c r="AC64" i="173"/>
  <c r="AD64" i="173" s="1"/>
  <c r="J24" i="189"/>
  <c r="AC10" i="173"/>
  <c r="AD10" i="173" s="1"/>
  <c r="M22" i="134"/>
  <c r="M78" i="134"/>
  <c r="J76" i="134"/>
  <c r="K76" i="134" s="1"/>
  <c r="AA12" i="132"/>
  <c r="AA12" i="148"/>
  <c r="AB12" i="148" s="1"/>
  <c r="AA12" i="173"/>
  <c r="AA41" i="148"/>
  <c r="AB41" i="148" s="1"/>
  <c r="AA41" i="132"/>
  <c r="AB41" i="132" s="1"/>
  <c r="AA41" i="173"/>
  <c r="AB41" i="173" s="1"/>
  <c r="AA14" i="148"/>
  <c r="AB14" i="148" s="1"/>
  <c r="AA14" i="132"/>
  <c r="AB14" i="132" s="1"/>
  <c r="AA14" i="173"/>
  <c r="AB14" i="173" s="1"/>
  <c r="AA79" i="132"/>
  <c r="AB79" i="132" s="1"/>
  <c r="AA79" i="173"/>
  <c r="AB79" i="173" s="1"/>
  <c r="AA80" i="148"/>
  <c r="AB80" i="148" s="1"/>
  <c r="AA78" i="132"/>
  <c r="AB78" i="132" s="1"/>
  <c r="AA79" i="148"/>
  <c r="AB79" i="148" s="1"/>
  <c r="AA78" i="173"/>
  <c r="AB78" i="173" s="1"/>
  <c r="AA57" i="148"/>
  <c r="AB57" i="148" s="1"/>
  <c r="AA57" i="132"/>
  <c r="AB57" i="132" s="1"/>
  <c r="AA57" i="173"/>
  <c r="AB57" i="173" s="1"/>
  <c r="AA70" i="132"/>
  <c r="AB70" i="132" s="1"/>
  <c r="AA70" i="173"/>
  <c r="AB70" i="173" s="1"/>
  <c r="AA71" i="148"/>
  <c r="AB71" i="148" s="1"/>
  <c r="AA62" i="132"/>
  <c r="AB62" i="132" s="1"/>
  <c r="AA62" i="148"/>
  <c r="AB62" i="148" s="1"/>
  <c r="AA62" i="173"/>
  <c r="AB62" i="173" s="1"/>
  <c r="AA33" i="132"/>
  <c r="AB33" i="132" s="1"/>
  <c r="AA32" i="173"/>
  <c r="AB32" i="173" s="1"/>
  <c r="AA33" i="148"/>
  <c r="AB33" i="148" s="1"/>
  <c r="AA50" i="148"/>
  <c r="AB50" i="148" s="1"/>
  <c r="AA50" i="173"/>
  <c r="AB50" i="173" s="1"/>
  <c r="AA50" i="132"/>
  <c r="AB50" i="132" s="1"/>
  <c r="AA37" i="132"/>
  <c r="AB37" i="132" s="1"/>
  <c r="AA37" i="148"/>
  <c r="AB37" i="148" s="1"/>
  <c r="AA37" i="173"/>
  <c r="AB37" i="173" s="1"/>
  <c r="AA84" i="148"/>
  <c r="AB84" i="148" s="1"/>
  <c r="AA83" i="132"/>
  <c r="AB83" i="132" s="1"/>
  <c r="AA83" i="173"/>
  <c r="AB83" i="173" s="1"/>
  <c r="AA40" i="132"/>
  <c r="AB40" i="132" s="1"/>
  <c r="AA40" i="148"/>
  <c r="AB40" i="148" s="1"/>
  <c r="AA40" i="173"/>
  <c r="AB40" i="173" s="1"/>
  <c r="AA46" i="148"/>
  <c r="AB46" i="148" s="1"/>
  <c r="AA46" i="132"/>
  <c r="AB46" i="132" s="1"/>
  <c r="AA46" i="173"/>
  <c r="AB46" i="173" s="1"/>
  <c r="AA52" i="148"/>
  <c r="AB52" i="148" s="1"/>
  <c r="AA52" i="132"/>
  <c r="AB52" i="132" s="1"/>
  <c r="AA52" i="173"/>
  <c r="AB52" i="173" s="1"/>
  <c r="AA82" i="173"/>
  <c r="AB82" i="173" s="1"/>
  <c r="AA83" i="148"/>
  <c r="AB83" i="148" s="1"/>
  <c r="AA82" i="132"/>
  <c r="AB82" i="132" s="1"/>
  <c r="AA19" i="148"/>
  <c r="AB19" i="148" s="1"/>
  <c r="AA19" i="132"/>
  <c r="AB19" i="132" s="1"/>
  <c r="AA19" i="173"/>
  <c r="AB19" i="173" s="1"/>
  <c r="AA81" i="173"/>
  <c r="AB81" i="173" s="1"/>
  <c r="AA82" i="148"/>
  <c r="AB82" i="148" s="1"/>
  <c r="AA81" i="132"/>
  <c r="AB81" i="132" s="1"/>
  <c r="AA63" i="132"/>
  <c r="AB63" i="132" s="1"/>
  <c r="AA63" i="148"/>
  <c r="AB63" i="148" s="1"/>
  <c r="AA63" i="173"/>
  <c r="AB63" i="173" s="1"/>
  <c r="AA70" i="148"/>
  <c r="AB70" i="148" s="1"/>
  <c r="AA69" i="173"/>
  <c r="AB69" i="173" s="1"/>
  <c r="AA69" i="132"/>
  <c r="AB69" i="132" s="1"/>
  <c r="AA34" i="148"/>
  <c r="AB34" i="148" s="1"/>
  <c r="AA34" i="173"/>
  <c r="AB34" i="173" s="1"/>
  <c r="AA34" i="132"/>
  <c r="AB34" i="132" s="1"/>
  <c r="AA84" i="132"/>
  <c r="AB84" i="132" s="1"/>
  <c r="AA84" i="173"/>
  <c r="AB84" i="173" s="1"/>
  <c r="AA85" i="148"/>
  <c r="AB85" i="148" s="1"/>
  <c r="AA45" i="173"/>
  <c r="AB45" i="173" s="1"/>
  <c r="AA45" i="148"/>
  <c r="AB45" i="148" s="1"/>
  <c r="AA45" i="132"/>
  <c r="AB45" i="132" s="1"/>
  <c r="Y27" i="148"/>
  <c r="Z27" i="148" s="1"/>
  <c r="AC65" i="173"/>
  <c r="AD65" i="173" s="1"/>
  <c r="Y65" i="148"/>
  <c r="Z65" i="148" s="1"/>
  <c r="AC76" i="173"/>
  <c r="AD76" i="173" s="1"/>
  <c r="Y77" i="148"/>
  <c r="Z77" i="148" s="1"/>
  <c r="AC23" i="173"/>
  <c r="AD23" i="173" s="1"/>
  <c r="Y23" i="148"/>
  <c r="Z23" i="148" s="1"/>
  <c r="Y53" i="148"/>
  <c r="Z53" i="148" s="1"/>
  <c r="F48" i="175"/>
  <c r="J48" i="175" s="1"/>
  <c r="K48" i="175" s="1"/>
  <c r="Y63" i="173"/>
  <c r="Z63" i="173" s="1"/>
  <c r="AC80" i="173"/>
  <c r="AD80" i="173" s="1"/>
  <c r="Y81" i="148"/>
  <c r="Z81" i="148" s="1"/>
  <c r="F79" i="175"/>
  <c r="J79" i="175" s="1"/>
  <c r="K79" i="175" s="1"/>
  <c r="Y46" i="173"/>
  <c r="Z46" i="173" s="1"/>
  <c r="F37" i="175"/>
  <c r="J37" i="175" s="1"/>
  <c r="K37" i="175" s="1"/>
  <c r="Y50" i="173"/>
  <c r="Z50" i="173" s="1"/>
  <c r="Y78" i="173"/>
  <c r="Z78" i="173" s="1"/>
  <c r="F59" i="175"/>
  <c r="J59" i="175" s="1"/>
  <c r="K59" i="175" s="1"/>
  <c r="Y45" i="132"/>
  <c r="Z45" i="132" s="1"/>
  <c r="F69" i="175"/>
  <c r="J69" i="175" s="1"/>
  <c r="K69" i="175" s="1"/>
  <c r="Y45" i="173"/>
  <c r="Z45" i="173" s="1"/>
  <c r="Y34" i="173"/>
  <c r="Z34" i="173" s="1"/>
  <c r="F32" i="175"/>
  <c r="J32" i="175" s="1"/>
  <c r="K32" i="175" s="1"/>
  <c r="Y84" i="132"/>
  <c r="Z84" i="132" s="1"/>
  <c r="F64" i="175"/>
  <c r="J64" i="175" s="1"/>
  <c r="K64" i="175" s="1"/>
  <c r="Y84" i="173"/>
  <c r="Z84" i="173" s="1"/>
  <c r="AC26" i="173"/>
  <c r="AD26" i="173" s="1"/>
  <c r="Y26" i="148"/>
  <c r="Z26" i="148" s="1"/>
  <c r="AC51" i="173"/>
  <c r="AD51" i="173" s="1"/>
  <c r="Y51" i="148"/>
  <c r="Z51" i="148" s="1"/>
  <c r="F47" i="175"/>
  <c r="J47" i="175" s="1"/>
  <c r="K47" i="175" s="1"/>
  <c r="AC62" i="173" s="1"/>
  <c r="AD62" i="173" s="1"/>
  <c r="Y62" i="173"/>
  <c r="Z62" i="173" s="1"/>
  <c r="Y12" i="173"/>
  <c r="F17" i="175"/>
  <c r="J17" i="175" s="1"/>
  <c r="K17" i="175" s="1"/>
  <c r="F11" i="175"/>
  <c r="J11" i="175" s="1"/>
  <c r="K11" i="175" s="1"/>
  <c r="Y14" i="148" s="1"/>
  <c r="Z14" i="148" s="1"/>
  <c r="Y14" i="173"/>
  <c r="Z14" i="173" s="1"/>
  <c r="F27" i="175"/>
  <c r="J27" i="175" s="1"/>
  <c r="K27" i="175" s="1"/>
  <c r="Y37" i="173"/>
  <c r="Z37" i="173" s="1"/>
  <c r="Y57" i="173"/>
  <c r="Z57" i="173" s="1"/>
  <c r="F44" i="175"/>
  <c r="J44" i="175" s="1"/>
  <c r="K44" i="175" s="1"/>
  <c r="Y41" i="132"/>
  <c r="Z41" i="132" s="1"/>
  <c r="F29" i="175"/>
  <c r="J29" i="175" s="1"/>
  <c r="K29" i="175" s="1"/>
  <c r="Y41" i="173"/>
  <c r="Z41" i="173" s="1"/>
  <c r="F10" i="175"/>
  <c r="Y40" i="173"/>
  <c r="Z40" i="173" s="1"/>
  <c r="AC71" i="173"/>
  <c r="AD71" i="173" s="1"/>
  <c r="Y72" i="148"/>
  <c r="Z72" i="148" s="1"/>
  <c r="AC16" i="173"/>
  <c r="AD16" i="173" s="1"/>
  <c r="Y16" i="148"/>
  <c r="Z16" i="148" s="1"/>
  <c r="AC28" i="173"/>
  <c r="AD28" i="173" s="1"/>
  <c r="Y29" i="148"/>
  <c r="Z29" i="148" s="1"/>
  <c r="Y70" i="173"/>
  <c r="Z70" i="173" s="1"/>
  <c r="F52" i="175"/>
  <c r="J52" i="175" s="1"/>
  <c r="K52" i="175" s="1"/>
  <c r="Y79" i="173"/>
  <c r="Z79" i="173" s="1"/>
  <c r="F60" i="175"/>
  <c r="J60" i="175" s="1"/>
  <c r="K60" i="175" s="1"/>
  <c r="F85" i="134"/>
  <c r="J85" i="134" s="1"/>
  <c r="K85" i="134" s="1"/>
  <c r="F83" i="175"/>
  <c r="J83" i="175" s="1"/>
  <c r="K83" i="175" s="1"/>
  <c r="AC32" i="173" s="1"/>
  <c r="AD32" i="173" s="1"/>
  <c r="Y32" i="173"/>
  <c r="Z32" i="173" s="1"/>
  <c r="Y81" i="173"/>
  <c r="Z81" i="173" s="1"/>
  <c r="F63" i="175"/>
  <c r="J63" i="175" s="1"/>
  <c r="K63" i="175" s="1"/>
  <c r="Y82" i="132"/>
  <c r="Z82" i="132" s="1"/>
  <c r="Y82" i="173"/>
  <c r="Z82" i="173" s="1"/>
  <c r="F58" i="175"/>
  <c r="J58" i="175" s="1"/>
  <c r="K58" i="175" s="1"/>
  <c r="AC29" i="173"/>
  <c r="AD29" i="173" s="1"/>
  <c r="Y30" i="148"/>
  <c r="Z30" i="148" s="1"/>
  <c r="AC75" i="173"/>
  <c r="AD75" i="173" s="1"/>
  <c r="Y76" i="148"/>
  <c r="Z76" i="148" s="1"/>
  <c r="AC73" i="173"/>
  <c r="AD73" i="173" s="1"/>
  <c r="Y74" i="148"/>
  <c r="Z74" i="148" s="1"/>
  <c r="F13" i="175"/>
  <c r="J13" i="175" s="1"/>
  <c r="K13" i="175" s="1"/>
  <c r="Y19" i="173"/>
  <c r="Z19" i="173" s="1"/>
  <c r="Y83" i="132"/>
  <c r="Z83" i="132" s="1"/>
  <c r="F66" i="175"/>
  <c r="J66" i="175" s="1"/>
  <c r="K66" i="175" s="1"/>
  <c r="Y83" i="173"/>
  <c r="Z83" i="173" s="1"/>
  <c r="F82" i="175"/>
  <c r="J82" i="175" s="1"/>
  <c r="K82" i="175" s="1"/>
  <c r="Y52" i="173"/>
  <c r="Z52" i="173" s="1"/>
  <c r="F49" i="175"/>
  <c r="J49" i="175" s="1"/>
  <c r="K49" i="175" s="1"/>
  <c r="Y69" i="173"/>
  <c r="Z69" i="173" s="1"/>
  <c r="AC59" i="173"/>
  <c r="AD59" i="173" s="1"/>
  <c r="Y59" i="148"/>
  <c r="Z59" i="148" s="1"/>
  <c r="BK20" i="102"/>
  <c r="BK16" i="102"/>
  <c r="J12" i="134"/>
  <c r="K12" i="134" s="1"/>
  <c r="J82" i="134"/>
  <c r="K82" i="134" s="1"/>
  <c r="M54" i="134"/>
  <c r="BP17" i="102"/>
  <c r="BS17" i="102" s="1"/>
  <c r="BK17" i="102"/>
  <c r="J16" i="134"/>
  <c r="K16" i="134" s="1"/>
  <c r="F29" i="134"/>
  <c r="M29" i="134" s="1"/>
  <c r="F67" i="134"/>
  <c r="J67" i="134" s="1"/>
  <c r="K67" i="134" s="1"/>
  <c r="AC38" i="173"/>
  <c r="AD38" i="173" s="1"/>
  <c r="J71" i="134"/>
  <c r="K71" i="134" s="1"/>
  <c r="AC39" i="173"/>
  <c r="AD39" i="173" s="1"/>
  <c r="AC61" i="173"/>
  <c r="AD61" i="173" s="1"/>
  <c r="J66" i="134"/>
  <c r="K66" i="134" s="1"/>
  <c r="M40" i="134"/>
  <c r="J24" i="134"/>
  <c r="K24" i="134" s="1"/>
  <c r="M57" i="134"/>
  <c r="F70" i="134"/>
  <c r="J83" i="134"/>
  <c r="K83" i="134" s="1"/>
  <c r="Y33" i="132"/>
  <c r="Z33" i="132" s="1"/>
  <c r="AQ1" i="162"/>
  <c r="AP9" i="162"/>
  <c r="BK13" i="102"/>
  <c r="M51" i="134"/>
  <c r="M41" i="134"/>
  <c r="J46" i="134"/>
  <c r="K46" i="134" s="1"/>
  <c r="Y57" i="132"/>
  <c r="Z57" i="132" s="1"/>
  <c r="F45" i="134"/>
  <c r="J45" i="134" s="1"/>
  <c r="K45" i="134" s="1"/>
  <c r="Y63" i="132"/>
  <c r="Z63" i="132" s="1"/>
  <c r="F49" i="134"/>
  <c r="BK18" i="102"/>
  <c r="F60" i="134"/>
  <c r="J60" i="134" s="1"/>
  <c r="K60" i="134" s="1"/>
  <c r="Y78" i="132"/>
  <c r="Z78" i="132" s="1"/>
  <c r="M58" i="134"/>
  <c r="J58" i="134"/>
  <c r="K58" i="134" s="1"/>
  <c r="F48" i="134"/>
  <c r="Y62" i="132"/>
  <c r="Z62" i="132" s="1"/>
  <c r="Y70" i="132"/>
  <c r="Z70" i="132" s="1"/>
  <c r="F53" i="134"/>
  <c r="M47" i="134"/>
  <c r="J47" i="134"/>
  <c r="K47" i="134" s="1"/>
  <c r="BM21" i="102"/>
  <c r="F81" i="134"/>
  <c r="Y46" i="132"/>
  <c r="Z46" i="132" s="1"/>
  <c r="D15" i="174"/>
  <c r="BP15" i="102"/>
  <c r="BS15" i="102" s="1"/>
  <c r="BK15" i="102"/>
  <c r="F38" i="134"/>
  <c r="Y50" i="132"/>
  <c r="Z50" i="132" s="1"/>
  <c r="F52" i="134"/>
  <c r="Y66" i="132"/>
  <c r="Z66" i="132" s="1"/>
  <c r="F18" i="134"/>
  <c r="Y22" i="132"/>
  <c r="Z22" i="132" s="1"/>
  <c r="F27" i="134"/>
  <c r="Y37" i="132"/>
  <c r="Z37" i="132" s="1"/>
  <c r="Y40" i="132"/>
  <c r="Z40" i="132" s="1"/>
  <c r="F10" i="134"/>
  <c r="F62" i="134"/>
  <c r="Y80" i="132"/>
  <c r="Z80" i="132" s="1"/>
  <c r="Y19" i="132"/>
  <c r="Z19" i="132" s="1"/>
  <c r="F13" i="134"/>
  <c r="F77" i="134"/>
  <c r="Y29" i="132"/>
  <c r="Z29" i="132" s="1"/>
  <c r="F50" i="134"/>
  <c r="Y69" i="132"/>
  <c r="Z69" i="132" s="1"/>
  <c r="M69" i="134"/>
  <c r="J69" i="134"/>
  <c r="K69" i="134" s="1"/>
  <c r="M55" i="134"/>
  <c r="J55" i="134"/>
  <c r="K55" i="134" s="1"/>
  <c r="Y34" i="132"/>
  <c r="Z34" i="132" s="1"/>
  <c r="F32" i="134"/>
  <c r="M19" i="134"/>
  <c r="J19" i="134"/>
  <c r="K19" i="134" s="1"/>
  <c r="Y14" i="132"/>
  <c r="Z14" i="132" s="1"/>
  <c r="BP12" i="102"/>
  <c r="BS12" i="102" s="1"/>
  <c r="BK12" i="102"/>
  <c r="F65" i="134"/>
  <c r="BP14" i="102"/>
  <c r="BS14" i="102" s="1"/>
  <c r="BK14" i="102"/>
  <c r="J74" i="134"/>
  <c r="K74" i="134" s="1"/>
  <c r="M74" i="134"/>
  <c r="J26" i="134"/>
  <c r="K26" i="134" s="1"/>
  <c r="M26" i="134"/>
  <c r="F84" i="134"/>
  <c r="Y52" i="132"/>
  <c r="Z52" i="132" s="1"/>
  <c r="J30" i="134"/>
  <c r="K30" i="134" s="1"/>
  <c r="M30" i="134"/>
  <c r="BP11" i="102"/>
  <c r="BO21" i="102"/>
  <c r="BK11" i="102"/>
  <c r="F64" i="134"/>
  <c r="Y81" i="132"/>
  <c r="Z81" i="132" s="1"/>
  <c r="Y12" i="132"/>
  <c r="F17" i="134"/>
  <c r="M44" i="134"/>
  <c r="J44" i="134"/>
  <c r="K44" i="134" s="1"/>
  <c r="J39" i="134"/>
  <c r="K39" i="134" s="1"/>
  <c r="M39" i="134"/>
  <c r="Y38" i="132"/>
  <c r="Z38" i="132" s="1"/>
  <c r="F28" i="134"/>
  <c r="AT11" i="102" l="1"/>
  <c r="X23" i="132"/>
  <c r="X30" i="132"/>
  <c r="X73" i="132"/>
  <c r="X75" i="132"/>
  <c r="X66" i="132"/>
  <c r="X26" i="132"/>
  <c r="X38" i="132"/>
  <c r="X53" i="132"/>
  <c r="X16" i="132"/>
  <c r="X10" i="132"/>
  <c r="X48" i="132"/>
  <c r="X22" i="132"/>
  <c r="X61" i="132"/>
  <c r="X76" i="132"/>
  <c r="X59" i="132"/>
  <c r="X27" i="132"/>
  <c r="X39" i="132"/>
  <c r="X71" i="132"/>
  <c r="X17" i="132"/>
  <c r="X65" i="132"/>
  <c r="X68" i="132"/>
  <c r="X64" i="132"/>
  <c r="X35" i="132"/>
  <c r="X60" i="132"/>
  <c r="X51" i="132"/>
  <c r="J17" i="189"/>
  <c r="AA49" i="188"/>
  <c r="AB49" i="188" s="1"/>
  <c r="AA38" i="188"/>
  <c r="AB38" i="188" s="1"/>
  <c r="AA79" i="188"/>
  <c r="AB79" i="188" s="1"/>
  <c r="AA19" i="188"/>
  <c r="AB19" i="188" s="1"/>
  <c r="AA26" i="188"/>
  <c r="AB26" i="188" s="1"/>
  <c r="AA46" i="188"/>
  <c r="AB46" i="188" s="1"/>
  <c r="AA21" i="188"/>
  <c r="AB21" i="188" s="1"/>
  <c r="AA25" i="188"/>
  <c r="AB25" i="188" s="1"/>
  <c r="AA45" i="188"/>
  <c r="AB45" i="188" s="1"/>
  <c r="AA51" i="188"/>
  <c r="AB51" i="188" s="1"/>
  <c r="AA16" i="188"/>
  <c r="AB16" i="188" s="1"/>
  <c r="AA74" i="188"/>
  <c r="AB74" i="188" s="1"/>
  <c r="AA69" i="188"/>
  <c r="AB69" i="188" s="1"/>
  <c r="AA22" i="188"/>
  <c r="AB22" i="188" s="1"/>
  <c r="AA58" i="188"/>
  <c r="AB58" i="188" s="1"/>
  <c r="J9" i="134"/>
  <c r="K9" i="134" s="1"/>
  <c r="K86" i="134" s="1"/>
  <c r="J59" i="134"/>
  <c r="K59" i="134" s="1"/>
  <c r="AC70" i="173"/>
  <c r="AD70" i="173" s="1"/>
  <c r="Y58" i="188"/>
  <c r="Z58" i="188" s="1"/>
  <c r="F41" i="190"/>
  <c r="J41" i="190" s="1"/>
  <c r="K41" i="190" s="1"/>
  <c r="AC58" i="188" s="1"/>
  <c r="AD58" i="188" s="1"/>
  <c r="J9" i="190"/>
  <c r="Y49" i="188"/>
  <c r="Z49" i="188" s="1"/>
  <c r="F36" i="190"/>
  <c r="J36" i="190" s="1"/>
  <c r="K36" i="190" s="1"/>
  <c r="AC49" i="188" s="1"/>
  <c r="AD49" i="188" s="1"/>
  <c r="F31" i="190"/>
  <c r="J31" i="190" s="1"/>
  <c r="K31" i="190" s="1"/>
  <c r="AC38" i="188" s="1"/>
  <c r="AD38" i="188" s="1"/>
  <c r="Y38" i="188"/>
  <c r="Z38" i="188" s="1"/>
  <c r="F63" i="134"/>
  <c r="J63" i="134" s="1"/>
  <c r="K63" i="134" s="1"/>
  <c r="Y79" i="188"/>
  <c r="Z79" i="188" s="1"/>
  <c r="F60" i="190"/>
  <c r="J60" i="190" s="1"/>
  <c r="K60" i="190" s="1"/>
  <c r="AC79" i="188" s="1"/>
  <c r="AD79" i="188" s="1"/>
  <c r="Z11" i="188"/>
  <c r="Y19" i="188"/>
  <c r="Z19" i="188" s="1"/>
  <c r="F14" i="190"/>
  <c r="J14" i="190" s="1"/>
  <c r="K14" i="190" s="1"/>
  <c r="AC19" i="188" s="1"/>
  <c r="AD19" i="188" s="1"/>
  <c r="F21" i="190"/>
  <c r="J21" i="190" s="1"/>
  <c r="K21" i="190" s="1"/>
  <c r="AC26" i="188" s="1"/>
  <c r="AD26" i="188" s="1"/>
  <c r="Y26" i="188"/>
  <c r="Z26" i="188" s="1"/>
  <c r="Y46" i="188"/>
  <c r="Z46" i="188" s="1"/>
  <c r="F34" i="190"/>
  <c r="J34" i="190" s="1"/>
  <c r="K34" i="190" s="1"/>
  <c r="AC46" i="188" s="1"/>
  <c r="AD46" i="188" s="1"/>
  <c r="Y74" i="188"/>
  <c r="Z74" i="188" s="1"/>
  <c r="F54" i="190"/>
  <c r="J54" i="190" s="1"/>
  <c r="K54" i="190" s="1"/>
  <c r="AC74" i="188" s="1"/>
  <c r="AD74" i="188" s="1"/>
  <c r="Y21" i="188"/>
  <c r="Z21" i="188" s="1"/>
  <c r="F23" i="190"/>
  <c r="J23" i="190" s="1"/>
  <c r="K23" i="190" s="1"/>
  <c r="AC21" i="188" s="1"/>
  <c r="AD21" i="188" s="1"/>
  <c r="F33" i="190"/>
  <c r="J33" i="190" s="1"/>
  <c r="K33" i="190" s="1"/>
  <c r="AC45" i="188" s="1"/>
  <c r="AD45" i="188" s="1"/>
  <c r="Y45" i="188"/>
  <c r="Z45" i="188" s="1"/>
  <c r="Y51" i="188"/>
  <c r="Z51" i="188" s="1"/>
  <c r="F35" i="190"/>
  <c r="J35" i="190" s="1"/>
  <c r="K35" i="190" s="1"/>
  <c r="AC51" i="188" s="1"/>
  <c r="AD51" i="188" s="1"/>
  <c r="F15" i="190"/>
  <c r="J15" i="190" s="1"/>
  <c r="K15" i="190" s="1"/>
  <c r="AC16" i="188" s="1"/>
  <c r="AD16" i="188" s="1"/>
  <c r="Y16" i="188"/>
  <c r="Z16" i="188" s="1"/>
  <c r="Y25" i="188"/>
  <c r="Z25" i="188" s="1"/>
  <c r="F20" i="190"/>
  <c r="J20" i="190" s="1"/>
  <c r="K20" i="190" s="1"/>
  <c r="AC25" i="188" s="1"/>
  <c r="AD25" i="188" s="1"/>
  <c r="Y69" i="188"/>
  <c r="Z69" i="188" s="1"/>
  <c r="F65" i="190"/>
  <c r="J65" i="190" s="1"/>
  <c r="K65" i="190" s="1"/>
  <c r="AC69" i="188" s="1"/>
  <c r="AD69" i="188" s="1"/>
  <c r="Y22" i="188"/>
  <c r="Z22" i="188" s="1"/>
  <c r="F25" i="190"/>
  <c r="J25" i="190" s="1"/>
  <c r="K25" i="190" s="1"/>
  <c r="AC22" i="188" s="1"/>
  <c r="AD22" i="188" s="1"/>
  <c r="M85" i="134"/>
  <c r="AA43" i="148"/>
  <c r="AB43" i="148" s="1"/>
  <c r="AA43" i="173"/>
  <c r="AB43" i="173" s="1"/>
  <c r="AA43" i="132"/>
  <c r="AB43" i="132" s="1"/>
  <c r="AA49" i="148"/>
  <c r="AB49" i="148" s="1"/>
  <c r="AA49" i="173"/>
  <c r="AB49" i="173" s="1"/>
  <c r="AA49" i="132"/>
  <c r="AB49" i="132" s="1"/>
  <c r="AA15" i="148"/>
  <c r="AB15" i="148" s="1"/>
  <c r="AA15" i="173"/>
  <c r="AB15" i="173" s="1"/>
  <c r="AA15" i="132"/>
  <c r="AB15" i="132" s="1"/>
  <c r="AA68" i="148"/>
  <c r="AB68" i="148" s="1"/>
  <c r="AA67" i="132"/>
  <c r="AB67" i="132" s="1"/>
  <c r="AA67" i="173"/>
  <c r="AB67" i="173" s="1"/>
  <c r="AA21" i="132"/>
  <c r="AB21" i="132" s="1"/>
  <c r="AA21" i="148"/>
  <c r="AB21" i="148" s="1"/>
  <c r="AA21" i="173"/>
  <c r="AB21" i="173" s="1"/>
  <c r="AB12" i="173"/>
  <c r="AA24" i="132"/>
  <c r="AB24" i="132" s="1"/>
  <c r="AA24" i="148"/>
  <c r="AB24" i="148" s="1"/>
  <c r="AA24" i="173"/>
  <c r="AB24" i="173" s="1"/>
  <c r="AA77" i="173"/>
  <c r="AB77" i="173" s="1"/>
  <c r="AA78" i="148"/>
  <c r="AB78" i="148" s="1"/>
  <c r="AA77" i="132"/>
  <c r="AB77" i="132" s="1"/>
  <c r="AA47" i="148"/>
  <c r="AB47" i="148" s="1"/>
  <c r="AA47" i="132"/>
  <c r="AB47" i="132" s="1"/>
  <c r="AA47" i="173"/>
  <c r="AB47" i="173" s="1"/>
  <c r="AA36" i="148"/>
  <c r="AB36" i="148" s="1"/>
  <c r="AA36" i="173"/>
  <c r="AB36" i="173" s="1"/>
  <c r="AA36" i="132"/>
  <c r="AB36" i="132" s="1"/>
  <c r="AA55" i="173"/>
  <c r="AB55" i="173" s="1"/>
  <c r="AA55" i="132"/>
  <c r="AB55" i="132" s="1"/>
  <c r="AA55" i="148"/>
  <c r="AB55" i="148" s="1"/>
  <c r="AB12" i="132"/>
  <c r="AA73" i="148"/>
  <c r="AB73" i="148" s="1"/>
  <c r="AA72" i="132"/>
  <c r="AB72" i="132" s="1"/>
  <c r="AA72" i="173"/>
  <c r="AB72" i="173" s="1"/>
  <c r="AA18" i="132"/>
  <c r="AB18" i="132" s="1"/>
  <c r="AA18" i="148"/>
  <c r="AB18" i="148" s="1"/>
  <c r="AA18" i="173"/>
  <c r="AB18" i="173" s="1"/>
  <c r="AA25" i="148"/>
  <c r="AB25" i="148" s="1"/>
  <c r="AA25" i="173"/>
  <c r="AB25" i="173" s="1"/>
  <c r="AA25" i="132"/>
  <c r="AB25" i="132" s="1"/>
  <c r="AA44" i="132"/>
  <c r="AB44" i="132" s="1"/>
  <c r="AA44" i="173"/>
  <c r="AB44" i="173" s="1"/>
  <c r="AA44" i="148"/>
  <c r="AB44" i="148" s="1"/>
  <c r="AA20" i="148"/>
  <c r="AB20" i="148" s="1"/>
  <c r="AA20" i="132"/>
  <c r="AB20" i="132" s="1"/>
  <c r="AA20" i="173"/>
  <c r="AB20" i="173" s="1"/>
  <c r="Y72" i="132"/>
  <c r="Z72" i="132" s="1"/>
  <c r="F55" i="175"/>
  <c r="J55" i="175" s="1"/>
  <c r="K55" i="175" s="1"/>
  <c r="AC72" i="173" s="1"/>
  <c r="AD72" i="173" s="1"/>
  <c r="Y72" i="173"/>
  <c r="Z72" i="173" s="1"/>
  <c r="F34" i="175"/>
  <c r="J34" i="175" s="1"/>
  <c r="K34" i="175" s="1"/>
  <c r="AC44" i="173" s="1"/>
  <c r="AD44" i="173" s="1"/>
  <c r="Y44" i="173"/>
  <c r="Z44" i="173" s="1"/>
  <c r="AC69" i="173"/>
  <c r="AD69" i="173" s="1"/>
  <c r="Y70" i="148"/>
  <c r="Z70" i="148" s="1"/>
  <c r="AC19" i="173"/>
  <c r="AD19" i="173" s="1"/>
  <c r="Y19" i="148"/>
  <c r="Z19" i="148" s="1"/>
  <c r="J10" i="175"/>
  <c r="AC45" i="173"/>
  <c r="AD45" i="173" s="1"/>
  <c r="Y45" i="148"/>
  <c r="Z45" i="148" s="1"/>
  <c r="AC63" i="173"/>
  <c r="AD63" i="173" s="1"/>
  <c r="Y63" i="148"/>
  <c r="Z63" i="148" s="1"/>
  <c r="AC82" i="173"/>
  <c r="AD82" i="173" s="1"/>
  <c r="Y83" i="148"/>
  <c r="Z83" i="148" s="1"/>
  <c r="AC79" i="173"/>
  <c r="AD79" i="173" s="1"/>
  <c r="Y80" i="148"/>
  <c r="Z80" i="148" s="1"/>
  <c r="AC84" i="173"/>
  <c r="AD84" i="173" s="1"/>
  <c r="Y85" i="148"/>
  <c r="Z85" i="148" s="1"/>
  <c r="F33" i="134"/>
  <c r="J33" i="134" s="1"/>
  <c r="K33" i="134" s="1"/>
  <c r="Y43" i="173"/>
  <c r="Z43" i="173" s="1"/>
  <c r="F33" i="175"/>
  <c r="J33" i="175" s="1"/>
  <c r="K33" i="175" s="1"/>
  <c r="F36" i="134"/>
  <c r="M36" i="134" s="1"/>
  <c r="F35" i="175"/>
  <c r="J35" i="175" s="1"/>
  <c r="K35" i="175" s="1"/>
  <c r="Y49" i="173"/>
  <c r="Z49" i="173" s="1"/>
  <c r="F41" i="175"/>
  <c r="J41" i="175" s="1"/>
  <c r="K41" i="175" s="1"/>
  <c r="AC55" i="173" s="1"/>
  <c r="AD55" i="173" s="1"/>
  <c r="Y55" i="173"/>
  <c r="Z55" i="173" s="1"/>
  <c r="AC52" i="173"/>
  <c r="AD52" i="173" s="1"/>
  <c r="Y52" i="148"/>
  <c r="Z52" i="148" s="1"/>
  <c r="AC41" i="173"/>
  <c r="AD41" i="173" s="1"/>
  <c r="Y41" i="148"/>
  <c r="Z41" i="148" s="1"/>
  <c r="AC46" i="173"/>
  <c r="AD46" i="173" s="1"/>
  <c r="Y46" i="148"/>
  <c r="Z46" i="148" s="1"/>
  <c r="F68" i="134"/>
  <c r="M68" i="134" s="1"/>
  <c r="F67" i="175"/>
  <c r="J67" i="175" s="1"/>
  <c r="K67" i="175" s="1"/>
  <c r="AC67" i="173" s="1"/>
  <c r="AD67" i="173" s="1"/>
  <c r="Y67" i="173"/>
  <c r="Z67" i="173" s="1"/>
  <c r="Y15" i="132"/>
  <c r="Z15" i="132" s="1"/>
  <c r="F15" i="175"/>
  <c r="J15" i="175" s="1"/>
  <c r="K15" i="175" s="1"/>
  <c r="Y15" i="173"/>
  <c r="Z15" i="173" s="1"/>
  <c r="AC78" i="173"/>
  <c r="AD78" i="173" s="1"/>
  <c r="Y79" i="148"/>
  <c r="Z79" i="148" s="1"/>
  <c r="F25" i="134"/>
  <c r="M25" i="134" s="1"/>
  <c r="Y21" i="173"/>
  <c r="Z21" i="173" s="1"/>
  <c r="F25" i="175"/>
  <c r="J25" i="175" s="1"/>
  <c r="K25" i="175" s="1"/>
  <c r="AC21" i="173" s="1"/>
  <c r="AD21" i="173" s="1"/>
  <c r="Y20" i="132"/>
  <c r="Z20" i="132" s="1"/>
  <c r="F23" i="175"/>
  <c r="J23" i="175" s="1"/>
  <c r="K23" i="175" s="1"/>
  <c r="AC20" i="173" s="1"/>
  <c r="AD20" i="173" s="1"/>
  <c r="Y20" i="173"/>
  <c r="Z20" i="173" s="1"/>
  <c r="AC81" i="173"/>
  <c r="AD81" i="173" s="1"/>
  <c r="Y82" i="148"/>
  <c r="Z82" i="148" s="1"/>
  <c r="Y71" i="148"/>
  <c r="Z71" i="148" s="1"/>
  <c r="AC57" i="173"/>
  <c r="AD57" i="173" s="1"/>
  <c r="Y57" i="148"/>
  <c r="Z57" i="148" s="1"/>
  <c r="AC12" i="173"/>
  <c r="AD12" i="173" s="1"/>
  <c r="Y12" i="148"/>
  <c r="Y24" i="132"/>
  <c r="Z24" i="132" s="1"/>
  <c r="F20" i="175"/>
  <c r="J20" i="175" s="1"/>
  <c r="K20" i="175" s="1"/>
  <c r="Y24" i="173"/>
  <c r="Z24" i="173" s="1"/>
  <c r="Y77" i="173"/>
  <c r="Z77" i="173" s="1"/>
  <c r="F62" i="175"/>
  <c r="J62" i="175" s="1"/>
  <c r="K62" i="175" s="1"/>
  <c r="AC83" i="173"/>
  <c r="AD83" i="173" s="1"/>
  <c r="Y84" i="148"/>
  <c r="Z84" i="148" s="1"/>
  <c r="Z12" i="173"/>
  <c r="AC34" i="173"/>
  <c r="AD34" i="173" s="1"/>
  <c r="Y34" i="148"/>
  <c r="Z34" i="148" s="1"/>
  <c r="Y47" i="173"/>
  <c r="Z47" i="173" s="1"/>
  <c r="F36" i="175"/>
  <c r="J36" i="175" s="1"/>
  <c r="K36" i="175" s="1"/>
  <c r="F14" i="175"/>
  <c r="J14" i="175" s="1"/>
  <c r="K14" i="175" s="1"/>
  <c r="AC18" i="173" s="1"/>
  <c r="AD18" i="173" s="1"/>
  <c r="Y18" i="173"/>
  <c r="Z18" i="173" s="1"/>
  <c r="F21" i="134"/>
  <c r="M21" i="134" s="1"/>
  <c r="F21" i="175"/>
  <c r="J21" i="175" s="1"/>
  <c r="K21" i="175" s="1"/>
  <c r="Y25" i="173"/>
  <c r="Z25" i="173" s="1"/>
  <c r="Y36" i="132"/>
  <c r="Z36" i="132" s="1"/>
  <c r="F31" i="175"/>
  <c r="J31" i="175" s="1"/>
  <c r="K31" i="175" s="1"/>
  <c r="Y36" i="173"/>
  <c r="Z36" i="173" s="1"/>
  <c r="Y33" i="148"/>
  <c r="Z33" i="148" s="1"/>
  <c r="AC37" i="173"/>
  <c r="AD37" i="173" s="1"/>
  <c r="Y37" i="148"/>
  <c r="Z37" i="148" s="1"/>
  <c r="Y62" i="148"/>
  <c r="Z62" i="148" s="1"/>
  <c r="AC50" i="173"/>
  <c r="AD50" i="173" s="1"/>
  <c r="Y50" i="148"/>
  <c r="Z50" i="148" s="1"/>
  <c r="AC14" i="173"/>
  <c r="AD14" i="173" s="1"/>
  <c r="Y43" i="132"/>
  <c r="Z43" i="132" s="1"/>
  <c r="F31" i="134"/>
  <c r="J31" i="134" s="1"/>
  <c r="K31" i="134" s="1"/>
  <c r="M67" i="134"/>
  <c r="F23" i="134"/>
  <c r="J23" i="134" s="1"/>
  <c r="K23" i="134" s="1"/>
  <c r="J29" i="134"/>
  <c r="K29" i="134" s="1"/>
  <c r="F20" i="134"/>
  <c r="J20" i="134" s="1"/>
  <c r="K20" i="134" s="1"/>
  <c r="J70" i="134"/>
  <c r="K70" i="134" s="1"/>
  <c r="M70" i="134"/>
  <c r="F15" i="134"/>
  <c r="M15" i="134" s="1"/>
  <c r="Y25" i="132"/>
  <c r="Z25" i="132" s="1"/>
  <c r="AR1" i="162"/>
  <c r="AR9" i="162" s="1"/>
  <c r="AQ9" i="162"/>
  <c r="M60" i="134"/>
  <c r="Y21" i="132"/>
  <c r="Z21" i="132" s="1"/>
  <c r="M45" i="134"/>
  <c r="M49" i="134"/>
  <c r="J49" i="134"/>
  <c r="K49" i="134" s="1"/>
  <c r="F56" i="134"/>
  <c r="J56" i="134" s="1"/>
  <c r="K56" i="134" s="1"/>
  <c r="J81" i="134"/>
  <c r="K81" i="134" s="1"/>
  <c r="M81" i="134"/>
  <c r="F37" i="134"/>
  <c r="Y47" i="132"/>
  <c r="Z47" i="132" s="1"/>
  <c r="Y18" i="132"/>
  <c r="Z18" i="132" s="1"/>
  <c r="F14" i="134"/>
  <c r="M48" i="134"/>
  <c r="J48" i="134"/>
  <c r="K48" i="134" s="1"/>
  <c r="J53" i="134"/>
  <c r="K53" i="134" s="1"/>
  <c r="M53" i="134"/>
  <c r="F34" i="134"/>
  <c r="Y44" i="132"/>
  <c r="Z44" i="132" s="1"/>
  <c r="J17" i="174"/>
  <c r="J25" i="174"/>
  <c r="J24" i="174"/>
  <c r="Y77" i="132"/>
  <c r="Z77" i="132" s="1"/>
  <c r="Y49" i="132"/>
  <c r="Z49" i="132" s="1"/>
  <c r="M38" i="134"/>
  <c r="J38" i="134"/>
  <c r="K38" i="134" s="1"/>
  <c r="F42" i="134"/>
  <c r="Y55" i="132"/>
  <c r="Z55" i="132" s="1"/>
  <c r="M18" i="134"/>
  <c r="J18" i="134"/>
  <c r="K18" i="134" s="1"/>
  <c r="M52" i="134"/>
  <c r="J52" i="134"/>
  <c r="K52" i="134" s="1"/>
  <c r="Y67" i="132"/>
  <c r="Z67" i="132" s="1"/>
  <c r="J32" i="134"/>
  <c r="K32" i="134" s="1"/>
  <c r="M32" i="134"/>
  <c r="M50" i="134"/>
  <c r="J50" i="134"/>
  <c r="K50" i="134" s="1"/>
  <c r="J77" i="134"/>
  <c r="K77" i="134" s="1"/>
  <c r="M77" i="134"/>
  <c r="F11" i="134"/>
  <c r="J11" i="134" s="1"/>
  <c r="K11" i="134" s="1"/>
  <c r="M13" i="134"/>
  <c r="J13" i="134"/>
  <c r="K13" i="134" s="1"/>
  <c r="J10" i="134"/>
  <c r="K10" i="134" s="1"/>
  <c r="M10" i="134"/>
  <c r="J62" i="134"/>
  <c r="K62" i="134" s="1"/>
  <c r="M62" i="134"/>
  <c r="J27" i="134"/>
  <c r="K27" i="134" s="1"/>
  <c r="M27" i="134"/>
  <c r="M65" i="134"/>
  <c r="J65" i="134"/>
  <c r="K65" i="134" s="1"/>
  <c r="Y79" i="132"/>
  <c r="Z79" i="132" s="1"/>
  <c r="F61" i="134"/>
  <c r="J28" i="134"/>
  <c r="K28" i="134" s="1"/>
  <c r="M28" i="134"/>
  <c r="BS11" i="102"/>
  <c r="BS21" i="102" s="1"/>
  <c r="BP21" i="102"/>
  <c r="BP23" i="102" s="1"/>
  <c r="J17" i="134"/>
  <c r="K17" i="134" s="1"/>
  <c r="M17" i="134"/>
  <c r="Z12" i="132"/>
  <c r="BL27" i="102"/>
  <c r="BL89" i="102" s="1"/>
  <c r="BM25" i="102"/>
  <c r="BM89" i="102" s="1"/>
  <c r="AZ92" i="102"/>
  <c r="X28" i="148"/>
  <c r="AZ100" i="102"/>
  <c r="J64" i="134"/>
  <c r="K64" i="134" s="1"/>
  <c r="M64" i="134"/>
  <c r="BK21" i="102"/>
  <c r="BW14" i="102" s="1"/>
  <c r="BX14" i="102" s="1"/>
  <c r="M84" i="134"/>
  <c r="J84" i="134"/>
  <c r="K84" i="134" s="1"/>
  <c r="X84" i="132" l="1"/>
  <c r="X62" i="132"/>
  <c r="X52" i="132"/>
  <c r="X12" i="132"/>
  <c r="X69" i="132"/>
  <c r="X41" i="132"/>
  <c r="X50" i="132"/>
  <c r="X57" i="132"/>
  <c r="X83" i="132"/>
  <c r="X63" i="132"/>
  <c r="X19" i="132"/>
  <c r="X14" i="132"/>
  <c r="X33" i="132"/>
  <c r="X70" i="132"/>
  <c r="X81" i="132"/>
  <c r="X82" i="132"/>
  <c r="X45" i="132"/>
  <c r="X34" i="132"/>
  <c r="X37" i="132"/>
  <c r="X78" i="132"/>
  <c r="X79" i="132"/>
  <c r="J86" i="134"/>
  <c r="M63" i="134"/>
  <c r="AB86" i="188"/>
  <c r="AA86" i="188"/>
  <c r="AA91" i="188" s="1"/>
  <c r="AC20" i="188"/>
  <c r="AD20" i="188" s="1"/>
  <c r="AC43" i="173"/>
  <c r="AD43" i="173" s="1"/>
  <c r="AC25" i="173"/>
  <c r="AD25" i="173" s="1"/>
  <c r="Y86" i="188"/>
  <c r="Z86" i="188"/>
  <c r="K9" i="190"/>
  <c r="J86" i="190"/>
  <c r="F86" i="190"/>
  <c r="M33" i="134"/>
  <c r="J21" i="134"/>
  <c r="K21" i="134" s="1"/>
  <c r="J36" i="134"/>
  <c r="K36" i="134" s="1"/>
  <c r="AB86" i="148"/>
  <c r="AA85" i="132"/>
  <c r="AB85" i="132"/>
  <c r="AA85" i="173"/>
  <c r="AB85" i="173"/>
  <c r="AA86" i="148"/>
  <c r="J68" i="134"/>
  <c r="K68" i="134" s="1"/>
  <c r="J25" i="134"/>
  <c r="K25" i="134" s="1"/>
  <c r="Y20" i="148"/>
  <c r="Z20" i="148" s="1"/>
  <c r="Y55" i="148"/>
  <c r="Z55" i="148" s="1"/>
  <c r="Y68" i="148"/>
  <c r="Z68" i="148" s="1"/>
  <c r="F86" i="175"/>
  <c r="Y25" i="148"/>
  <c r="Z25" i="148" s="1"/>
  <c r="AC49" i="173"/>
  <c r="AD49" i="173" s="1"/>
  <c r="Y49" i="148"/>
  <c r="Z49" i="148" s="1"/>
  <c r="K10" i="175"/>
  <c r="J86" i="175"/>
  <c r="AC77" i="173"/>
  <c r="AD77" i="173" s="1"/>
  <c r="Y78" i="148"/>
  <c r="Z78" i="148" s="1"/>
  <c r="AT60" i="102"/>
  <c r="M31" i="134"/>
  <c r="Y85" i="173"/>
  <c r="Z85" i="173"/>
  <c r="Z88" i="173" s="1"/>
  <c r="AC24" i="173"/>
  <c r="AD24" i="173" s="1"/>
  <c r="Y24" i="148"/>
  <c r="Z24" i="148" s="1"/>
  <c r="Y43" i="148"/>
  <c r="Z43" i="148" s="1"/>
  <c r="Y44" i="148"/>
  <c r="Z44" i="148" s="1"/>
  <c r="Y18" i="148"/>
  <c r="Z18" i="148" s="1"/>
  <c r="AC47" i="173"/>
  <c r="AD47" i="173" s="1"/>
  <c r="Y47" i="148"/>
  <c r="Z47" i="148" s="1"/>
  <c r="AC15" i="173"/>
  <c r="AD15" i="173" s="1"/>
  <c r="Y15" i="148"/>
  <c r="Z15" i="148" s="1"/>
  <c r="Y73" i="148"/>
  <c r="Z73" i="148" s="1"/>
  <c r="AC36" i="173"/>
  <c r="AD36" i="173" s="1"/>
  <c r="Y36" i="148"/>
  <c r="Z36" i="148" s="1"/>
  <c r="Z12" i="148"/>
  <c r="Y21" i="148"/>
  <c r="Z21" i="148" s="1"/>
  <c r="J15" i="134"/>
  <c r="K15" i="134" s="1"/>
  <c r="M23" i="134"/>
  <c r="M20" i="134"/>
  <c r="M56" i="134"/>
  <c r="J14" i="134"/>
  <c r="K14" i="134" s="1"/>
  <c r="M14" i="134"/>
  <c r="M34" i="134"/>
  <c r="J34" i="134"/>
  <c r="K34" i="134" s="1"/>
  <c r="M37" i="134"/>
  <c r="J37" i="134"/>
  <c r="K37" i="134" s="1"/>
  <c r="F86" i="134"/>
  <c r="M42" i="134"/>
  <c r="J42" i="134"/>
  <c r="K42" i="134" s="1"/>
  <c r="M11" i="134"/>
  <c r="BW11" i="102"/>
  <c r="BX11" i="102" s="1"/>
  <c r="BO22" i="102"/>
  <c r="BO89" i="102" s="1"/>
  <c r="Y85" i="132"/>
  <c r="Z85" i="132"/>
  <c r="BR22" i="102"/>
  <c r="BP26" i="102" s="1"/>
  <c r="BR3" i="102"/>
  <c r="J61" i="134"/>
  <c r="K61" i="134" s="1"/>
  <c r="M61" i="134"/>
  <c r="BK23" i="102"/>
  <c r="BK89" i="102" s="1"/>
  <c r="BW20" i="102"/>
  <c r="BX20" i="102" s="1"/>
  <c r="BW12" i="102"/>
  <c r="BX12" i="102" s="1"/>
  <c r="BW15" i="102"/>
  <c r="BX15" i="102" s="1"/>
  <c r="BW17" i="102"/>
  <c r="BX17" i="102" s="1"/>
  <c r="BW19" i="102"/>
  <c r="BX19" i="102" s="1"/>
  <c r="BW18" i="102"/>
  <c r="BX18" i="102" s="1"/>
  <c r="BW13" i="102"/>
  <c r="BX13" i="102" s="1"/>
  <c r="BW16" i="102"/>
  <c r="BX16" i="102" s="1"/>
  <c r="X28" i="132"/>
  <c r="X43" i="132" l="1"/>
  <c r="X49" i="132"/>
  <c r="X25" i="132"/>
  <c r="X67" i="132"/>
  <c r="X24" i="132"/>
  <c r="X44" i="132"/>
  <c r="X55" i="132"/>
  <c r="X21" i="132"/>
  <c r="X36" i="132"/>
  <c r="X72" i="132"/>
  <c r="X15" i="132"/>
  <c r="X47" i="132"/>
  <c r="X18" i="132"/>
  <c r="X77" i="132"/>
  <c r="X78" i="148"/>
  <c r="X20" i="132"/>
  <c r="K86" i="190"/>
  <c r="K86" i="175"/>
  <c r="X46" i="132"/>
  <c r="AC11" i="173" l="1"/>
  <c r="AD11" i="173" s="1"/>
  <c r="AC11" i="188"/>
  <c r="Y11" i="148"/>
  <c r="Z11" i="148" s="1"/>
  <c r="AC40" i="173"/>
  <c r="Y40" i="148"/>
  <c r="AI18" i="177"/>
  <c r="AI20" i="177" s="1"/>
  <c r="X11" i="148" l="1"/>
  <c r="X40" i="132"/>
  <c r="X11" i="132"/>
  <c r="AD11" i="188"/>
  <c r="AD86" i="188" s="1"/>
  <c r="AC86" i="188"/>
  <c r="AD40" i="173"/>
  <c r="AD85" i="173" s="1"/>
  <c r="AC85" i="173"/>
  <c r="Z40" i="148"/>
  <c r="Z86" i="148" s="1"/>
  <c r="Y86" i="148"/>
  <c r="Y87" i="148" s="1"/>
  <c r="R36" i="195" l="1"/>
  <c r="X13" i="132" l="1"/>
  <c r="X29" i="132"/>
  <c r="X42" i="132"/>
  <c r="X58" i="132"/>
  <c r="AE44" i="173"/>
  <c r="AE40" i="173"/>
  <c r="AE34" i="173"/>
  <c r="AE71" i="173"/>
  <c r="X21" i="148"/>
  <c r="X47" i="148"/>
  <c r="AT63" i="102"/>
  <c r="X34" i="148"/>
  <c r="X83" i="148"/>
  <c r="AT31" i="102"/>
  <c r="X49" i="148" l="1"/>
  <c r="X24" i="148"/>
  <c r="AT47" i="102"/>
  <c r="AT37" i="102"/>
  <c r="X44" i="148"/>
  <c r="AT33" i="102"/>
  <c r="AT88" i="102"/>
  <c r="X16" i="148"/>
  <c r="X76" i="148"/>
  <c r="AT65" i="102"/>
  <c r="AT24" i="102"/>
  <c r="X20" i="148"/>
  <c r="AT81" i="102"/>
  <c r="AT54" i="102"/>
  <c r="X72" i="148"/>
  <c r="AT14" i="102"/>
  <c r="X13" i="148"/>
  <c r="AT86" i="102"/>
  <c r="AT68" i="102"/>
  <c r="X32" i="148"/>
  <c r="AT70" i="102"/>
  <c r="X29" i="148"/>
  <c r="AT77" i="102"/>
  <c r="AT46" i="102"/>
  <c r="X61" i="148"/>
  <c r="X10" i="148"/>
  <c r="AT45" i="102"/>
  <c r="X59" i="148"/>
  <c r="AT58" i="102"/>
  <c r="X79" i="148"/>
  <c r="AT76" i="102"/>
  <c r="X33" i="148"/>
  <c r="AT42" i="102"/>
  <c r="X55" i="148"/>
  <c r="AT84" i="102"/>
  <c r="AT38" i="102"/>
  <c r="X50" i="148"/>
  <c r="AT85" i="102"/>
  <c r="AT83" i="102"/>
  <c r="AT82" i="102"/>
  <c r="AT43" i="102"/>
  <c r="X58" i="148"/>
  <c r="AT66" i="102"/>
  <c r="X31" i="148"/>
  <c r="AT19" i="102"/>
  <c r="X22" i="148"/>
  <c r="X64" i="148"/>
  <c r="AT29" i="102"/>
  <c r="X38" i="148"/>
  <c r="X82" i="148"/>
  <c r="X14" i="148"/>
  <c r="AT13" i="102"/>
  <c r="AT15" i="102"/>
  <c r="X19" i="148"/>
  <c r="X60" i="148"/>
  <c r="AT50" i="102"/>
  <c r="X85" i="148"/>
  <c r="AT61" i="102"/>
  <c r="X84" i="148"/>
  <c r="AT62" i="102"/>
  <c r="X15" i="148"/>
  <c r="AT17" i="102"/>
  <c r="AT87" i="102"/>
  <c r="AT79" i="102"/>
  <c r="X54" i="148"/>
  <c r="AT41" i="102"/>
  <c r="AT78" i="102"/>
  <c r="AT69" i="102"/>
  <c r="X39" i="148"/>
  <c r="AT64" i="102"/>
  <c r="X30" i="148"/>
  <c r="AT73" i="102"/>
  <c r="X51" i="148"/>
  <c r="X74" i="148"/>
  <c r="AT56" i="102"/>
  <c r="X41" i="148"/>
  <c r="AT30" i="102"/>
  <c r="X66" i="148"/>
  <c r="BJ51" i="102"/>
  <c r="AT51" i="102"/>
  <c r="X65" i="148"/>
  <c r="AT67" i="102"/>
  <c r="X45" i="148"/>
  <c r="X80" i="148"/>
  <c r="AT59" i="102"/>
  <c r="X37" i="148"/>
  <c r="AT28" i="102"/>
  <c r="AT55" i="102"/>
  <c r="X73" i="148"/>
  <c r="BJ55" i="102"/>
  <c r="X43" i="148"/>
  <c r="AT34" i="102"/>
  <c r="AT32" i="102"/>
  <c r="X36" i="148"/>
  <c r="AT23" i="102"/>
  <c r="AT27" i="102"/>
  <c r="AT49" i="102"/>
  <c r="X70" i="148"/>
  <c r="AT18" i="102"/>
  <c r="AT57" i="102"/>
  <c r="AT35" i="102"/>
  <c r="X85" i="132"/>
  <c r="X17" i="148"/>
  <c r="X35" i="148"/>
  <c r="AT20" i="102"/>
  <c r="X23" i="148"/>
  <c r="AT25" i="102"/>
  <c r="AT71" i="102"/>
  <c r="X71" i="148"/>
  <c r="AT22" i="102"/>
  <c r="AT52" i="102"/>
  <c r="AT16" i="102"/>
  <c r="X25" i="148"/>
  <c r="X18" i="148"/>
  <c r="AT36" i="102"/>
  <c r="X42" i="148"/>
  <c r="AT44" i="102"/>
  <c r="AT72" i="102"/>
  <c r="X46" i="148"/>
  <c r="AT74" i="102"/>
  <c r="AT48" i="102"/>
  <c r="X63" i="148"/>
  <c r="X68" i="148"/>
  <c r="AT26" i="102"/>
  <c r="AT39" i="102"/>
  <c r="X27" i="148"/>
  <c r="X57" i="148"/>
  <c r="X12" i="148"/>
  <c r="X48" i="148"/>
  <c r="X77" i="148"/>
  <c r="X69" i="148"/>
  <c r="X53" i="148"/>
  <c r="X26" i="148"/>
  <c r="X52" i="148"/>
  <c r="X62" i="148"/>
  <c r="AT40" i="102"/>
  <c r="AT75" i="102"/>
  <c r="AT21" i="102"/>
  <c r="AT53" i="102"/>
  <c r="BJ89" i="102" l="1"/>
  <c r="AS89" i="102" l="1"/>
  <c r="AW90" i="102" s="1"/>
  <c r="AT12" i="102"/>
  <c r="AT89" i="102" s="1"/>
  <c r="AP90" i="102" l="1"/>
  <c r="AR90" i="102" s="1"/>
  <c r="X40" i="148"/>
  <c r="X86" i="148" s="1"/>
  <c r="AW89" i="102"/>
  <c r="I14" i="174"/>
  <c r="AZ94" i="102"/>
  <c r="AZ95" i="102" s="1"/>
  <c r="I14" i="189"/>
  <c r="AZ101" i="102"/>
  <c r="AZ103" i="102" s="1"/>
  <c r="J20" i="189"/>
  <c r="J23" i="189" s="1"/>
  <c r="J20" i="174"/>
  <c r="J23" i="174" s="1"/>
  <c r="K26" i="174" l="1"/>
  <c r="I15" i="174"/>
  <c r="J26" i="174" s="1"/>
  <c r="L26" i="174" s="1"/>
  <c r="K26" i="189"/>
  <c r="I15" i="189"/>
  <c r="J26" i="189" s="1"/>
</calcChain>
</file>

<file path=xl/comments1.xml><?xml version="1.0" encoding="utf-8"?>
<comments xmlns="http://schemas.openxmlformats.org/spreadsheetml/2006/main">
  <authors>
    <author>admin</author>
    <author>PC</author>
  </authors>
  <commentList>
    <comment ref="B11" authorId="0" shapeId="0">
      <text>
        <r>
          <rPr>
            <b/>
            <sz val="9"/>
            <color indexed="81"/>
            <rFont val="Tahoma"/>
            <family val="2"/>
          </rPr>
          <t>admin:</t>
        </r>
        <r>
          <rPr>
            <sz val="9"/>
            <color indexed="81"/>
            <rFont val="Tahoma"/>
            <family val="2"/>
          </rPr>
          <t xml:space="preserve">
</t>
        </r>
      </text>
    </comment>
    <comment ref="D70" authorId="1" shapeId="0">
      <text>
        <r>
          <rPr>
            <b/>
            <sz val="9"/>
            <color indexed="81"/>
            <rFont val="Tahoma"/>
            <family val="2"/>
          </rPr>
          <t>PC:</t>
        </r>
        <r>
          <rPr>
            <sz val="9"/>
            <color indexed="81"/>
            <rFont val="Tahoma"/>
            <family val="2"/>
          </rPr>
          <t xml:space="preserve">
thay đổi mức đóng T4</t>
        </r>
      </text>
    </comment>
    <comment ref="C74" authorId="0" shapeId="0">
      <text>
        <r>
          <rPr>
            <b/>
            <sz val="9"/>
            <color indexed="81"/>
            <rFont val="Tahoma"/>
            <family val="2"/>
          </rPr>
          <t>admin:</t>
        </r>
        <r>
          <rPr>
            <sz val="9"/>
            <color indexed="81"/>
            <rFont val="Tahoma"/>
            <family val="2"/>
          </rPr>
          <t xml:space="preserve">
Hưu trí</t>
        </r>
      </text>
    </comment>
  </commentList>
</comments>
</file>

<file path=xl/comments2.xml><?xml version="1.0" encoding="utf-8"?>
<comments xmlns="http://schemas.openxmlformats.org/spreadsheetml/2006/main">
  <authors>
    <author>admin</author>
  </authors>
  <commentList>
    <comment ref="B9" authorId="0" shapeId="0">
      <text>
        <r>
          <rPr>
            <b/>
            <sz val="9"/>
            <color indexed="81"/>
            <rFont val="Tahoma"/>
            <family val="2"/>
          </rPr>
          <t>admin:</t>
        </r>
        <r>
          <rPr>
            <sz val="9"/>
            <color indexed="81"/>
            <rFont val="Tahoma"/>
            <family val="2"/>
          </rPr>
          <t xml:space="preserve">
</t>
        </r>
      </text>
    </comment>
    <comment ref="C16" authorId="0" shapeId="0">
      <text>
        <r>
          <rPr>
            <b/>
            <sz val="9"/>
            <color indexed="81"/>
            <rFont val="Tahoma"/>
            <family val="2"/>
          </rPr>
          <t>admin:</t>
        </r>
        <r>
          <rPr>
            <sz val="9"/>
            <color indexed="81"/>
            <rFont val="Tahoma"/>
            <family val="2"/>
          </rPr>
          <t xml:space="preserve">
Nghỉ ốm đến 20/9</t>
        </r>
      </text>
    </comment>
    <comment ref="C35" authorId="0" shapeId="0">
      <text>
        <r>
          <rPr>
            <b/>
            <sz val="9"/>
            <color indexed="81"/>
            <rFont val="Tahoma"/>
            <family val="2"/>
          </rPr>
          <t>admin:</t>
        </r>
        <r>
          <rPr>
            <sz val="9"/>
            <color indexed="81"/>
            <rFont val="Tahoma"/>
            <family val="2"/>
          </rPr>
          <t xml:space="preserve">
Nghỉ ts</t>
        </r>
      </text>
    </comment>
    <comment ref="C83" authorId="0" shapeId="0">
      <text>
        <r>
          <rPr>
            <b/>
            <sz val="9"/>
            <color indexed="81"/>
            <rFont val="Tahoma"/>
            <family val="2"/>
          </rPr>
          <t>admin:</t>
        </r>
        <r>
          <rPr>
            <sz val="9"/>
            <color indexed="81"/>
            <rFont val="Tahoma"/>
            <family val="2"/>
          </rPr>
          <t xml:space="preserve">
Hưu trí</t>
        </r>
      </text>
    </comment>
  </commentList>
</comments>
</file>

<file path=xl/comments3.xml><?xml version="1.0" encoding="utf-8"?>
<comments xmlns="http://schemas.openxmlformats.org/spreadsheetml/2006/main">
  <authors>
    <author>admin</author>
  </authors>
  <commentList>
    <comment ref="B9" authorId="0" shapeId="0">
      <text>
        <r>
          <rPr>
            <b/>
            <sz val="9"/>
            <color indexed="81"/>
            <rFont val="Tahoma"/>
            <family val="2"/>
          </rPr>
          <t>admin:</t>
        </r>
        <r>
          <rPr>
            <sz val="9"/>
            <color indexed="81"/>
            <rFont val="Tahoma"/>
            <family val="2"/>
          </rPr>
          <t xml:space="preserve">
</t>
        </r>
      </text>
    </comment>
    <comment ref="C34" authorId="0" shapeId="0">
      <text>
        <r>
          <rPr>
            <b/>
            <sz val="9"/>
            <color indexed="81"/>
            <rFont val="Tahoma"/>
            <family val="2"/>
          </rPr>
          <t>admin:</t>
        </r>
        <r>
          <rPr>
            <sz val="9"/>
            <color indexed="81"/>
            <rFont val="Tahoma"/>
            <family val="2"/>
          </rPr>
          <t xml:space="preserve">
Nghỉ ts</t>
        </r>
      </text>
    </comment>
    <comment ref="C78" authorId="0" shapeId="0">
      <text>
        <r>
          <rPr>
            <b/>
            <sz val="9"/>
            <color indexed="81"/>
            <rFont val="Tahoma"/>
            <family val="2"/>
          </rPr>
          <t>admin:</t>
        </r>
        <r>
          <rPr>
            <sz val="9"/>
            <color indexed="81"/>
            <rFont val="Tahoma"/>
            <family val="2"/>
          </rPr>
          <t xml:space="preserve">
Hưu trí</t>
        </r>
      </text>
    </comment>
    <comment ref="C84" authorId="0" shapeId="0">
      <text>
        <r>
          <rPr>
            <b/>
            <sz val="9"/>
            <color indexed="81"/>
            <rFont val="Tahoma"/>
            <family val="2"/>
          </rPr>
          <t>admin:</t>
        </r>
        <r>
          <rPr>
            <sz val="9"/>
            <color indexed="81"/>
            <rFont val="Tahoma"/>
            <family val="2"/>
          </rPr>
          <t xml:space="preserve">
Hưu trí</t>
        </r>
      </text>
    </comment>
  </commentList>
</comments>
</file>

<file path=xl/sharedStrings.xml><?xml version="1.0" encoding="utf-8"?>
<sst xmlns="http://schemas.openxmlformats.org/spreadsheetml/2006/main" count="23690" uniqueCount="2235">
  <si>
    <t>STT</t>
  </si>
  <si>
    <t>Mã NV</t>
  </si>
  <si>
    <t>Tên Nhân viên</t>
  </si>
  <si>
    <t>Lương theo ngày công và chất lượng công việc (lương công việc)</t>
  </si>
  <si>
    <t>Doanh nghiệp Trả cho 
bảo hiểm và công đoàn</t>
  </si>
  <si>
    <t>Phần người lao động thực hiện</t>
  </si>
  <si>
    <t>Lương 
chuẩn 
đóng 
BHXH</t>
  </si>
  <si>
    <t>Tổng thu nhập
=
sum(E10:L10)</t>
  </si>
  <si>
    <t>Bảo hiểm
 21.5% 
(BH)</t>
  </si>
  <si>
    <t>Kinh phí công đoàn 2% 
(CĐ)</t>
  </si>
  <si>
    <t>Trích nộp BHXH -BHYT -BHTN - 10,5% tiền lương vị trí công việc</t>
  </si>
  <si>
    <t>Trích nộp Công đoàn phí- 1% tiền lương vị trí công việc</t>
  </si>
  <si>
    <t>TC</t>
  </si>
  <si>
    <t>CTV028376</t>
  </si>
  <si>
    <t>Nguyễn Thị Huỳnh Ngân</t>
  </si>
  <si>
    <t>P01</t>
  </si>
  <si>
    <t>CTV040279</t>
  </si>
  <si>
    <t>Nguyễn Châu Đoan</t>
  </si>
  <si>
    <t>CTV058438</t>
  </si>
  <si>
    <t>Trần Thị Ngọc Tuyền</t>
  </si>
  <si>
    <t>P09</t>
  </si>
  <si>
    <t>CTV023011</t>
  </si>
  <si>
    <t>Nguyễn Thị Thu Hằng</t>
  </si>
  <si>
    <t>P02</t>
  </si>
  <si>
    <t>CTV023013</t>
  </si>
  <si>
    <t>Phạm Thị Thanh Thúy</t>
  </si>
  <si>
    <t>CTV023014</t>
  </si>
  <si>
    <t>Trần Thị Thanh Trúc</t>
  </si>
  <si>
    <t>CTV023015</t>
  </si>
  <si>
    <t>Đào Thị Thúy An</t>
  </si>
  <si>
    <t>CTV023018</t>
  </si>
  <si>
    <t>Võ Thị Tuyết Vân</t>
  </si>
  <si>
    <t>CTV028578</t>
  </si>
  <si>
    <t>Hồ Như Gương</t>
  </si>
  <si>
    <t>CTV036515</t>
  </si>
  <si>
    <t>Huỳnh Thy Nga</t>
  </si>
  <si>
    <t>CTV036516</t>
  </si>
  <si>
    <t>Nguyễn Dương Ngọc Linh</t>
  </si>
  <si>
    <t>CTV023012</t>
  </si>
  <si>
    <t>Lê Thị Hồng Nhung</t>
  </si>
  <si>
    <t>CTV020462</t>
  </si>
  <si>
    <t>Lê Trang Mỹ Nhiên</t>
  </si>
  <si>
    <t>P03</t>
  </si>
  <si>
    <t>CTV023024</t>
  </si>
  <si>
    <t>Bùi Thị Thu Trang</t>
  </si>
  <si>
    <t>CTV023026</t>
  </si>
  <si>
    <t>Lê Thanh Quyên</t>
  </si>
  <si>
    <t>CTV023027</t>
  </si>
  <si>
    <t>Lê Thị Kim Loan</t>
  </si>
  <si>
    <t>CTV028599</t>
  </si>
  <si>
    <t>Nguyễn Thị Trúc Mai</t>
  </si>
  <si>
    <t>CTV028603</t>
  </si>
  <si>
    <t>Lữ Thị Tuyết Loan</t>
  </si>
  <si>
    <t>CTV023023</t>
  </si>
  <si>
    <t>Dương Thi Kim Thoa</t>
  </si>
  <si>
    <t>CTV023207</t>
  </si>
  <si>
    <t>Nguyễn Thị Ngọc Diệp</t>
  </si>
  <si>
    <t>CTV054887</t>
  </si>
  <si>
    <t>Nguyễn Thị Diệu Hương</t>
  </si>
  <si>
    <t>CTV055530</t>
  </si>
  <si>
    <t>Phạm Trung Quân</t>
  </si>
  <si>
    <t>CTV023031</t>
  </si>
  <si>
    <t>Nguyễn Thị Vỹ Hương Lan</t>
  </si>
  <si>
    <t>P04</t>
  </si>
  <si>
    <t>CTV038176</t>
  </si>
  <si>
    <t>Nguyễn Thanh Hằng</t>
  </si>
  <si>
    <t>CTV023032</t>
  </si>
  <si>
    <t>Nguyễn Thị Vỹ Hương Linh</t>
  </si>
  <si>
    <t>CTV020464</t>
  </si>
  <si>
    <t>Nguyễn Thị Kim Thi</t>
  </si>
  <si>
    <t>P05</t>
  </si>
  <si>
    <t>CTV023029</t>
  </si>
  <si>
    <t>Mai Thị Thùy</t>
  </si>
  <si>
    <t>CTV023030</t>
  </si>
  <si>
    <t>Nguyễn Thị Lan Phương</t>
  </si>
  <si>
    <t>CTV023107</t>
  </si>
  <si>
    <t>Nguyễn Thị Ngọc Hằng</t>
  </si>
  <si>
    <t>CTV023019</t>
  </si>
  <si>
    <t>Hồ Thanh Liêm</t>
  </si>
  <si>
    <t>P06</t>
  </si>
  <si>
    <t>CTV028602</t>
  </si>
  <si>
    <t>Nguyễn Thanh Trúc</t>
  </si>
  <si>
    <t>CTV031867</t>
  </si>
  <si>
    <t>Nguyễn Thị Ngọc Ngoan</t>
  </si>
  <si>
    <t>CTV045659</t>
  </si>
  <si>
    <t>CTV023033</t>
  </si>
  <si>
    <t>Nguyễn Thị Thu Lan</t>
  </si>
  <si>
    <t>P07</t>
  </si>
  <si>
    <t>CTV023034</t>
  </si>
  <si>
    <t>Nguyễn Văn Thanh Bình</t>
  </si>
  <si>
    <t>CTV023035</t>
  </si>
  <si>
    <t>Trần Thị Bé Muội</t>
  </si>
  <si>
    <t>P08</t>
  </si>
  <si>
    <t>CTV049292</t>
  </si>
  <si>
    <t>Nguyễn Hữu Trọng</t>
  </si>
  <si>
    <t>CTV023040</t>
  </si>
  <si>
    <t>Trần Thị Thảo Phương</t>
  </si>
  <si>
    <t>CTV023041</t>
  </si>
  <si>
    <t>Phan Thị Mỹ Hảo</t>
  </si>
  <si>
    <t>CTV023042</t>
  </si>
  <si>
    <t>Nguyễn Thị Mỹ Duyên</t>
  </si>
  <si>
    <t>CTV023043</t>
  </si>
  <si>
    <t>Võ Phạm Huỳnh Trang</t>
  </si>
  <si>
    <t>CTV028284</t>
  </si>
  <si>
    <t>Trần Lâm Minh Thu</t>
  </si>
  <si>
    <t>CTV036747</t>
  </si>
  <si>
    <t>Hà Thị Trúc Huỳnh</t>
  </si>
  <si>
    <t>CTV054886</t>
  </si>
  <si>
    <t>Nguyễn Lê Hữu Duy</t>
  </si>
  <si>
    <t>P10</t>
  </si>
  <si>
    <t>Cộng</t>
  </si>
  <si>
    <t>TỔNG CÔNG TY</t>
  </si>
  <si>
    <t>Cộng Hòa Xã Hội Chủ Nghĩa Việt Nam</t>
  </si>
  <si>
    <t>DỊCH VỤ VIỄN THÔNG</t>
  </si>
  <si>
    <t>Độc lập - Tự do - Hạnh phúc</t>
  </si>
  <si>
    <t>TRUNG TÂM</t>
  </si>
  <si>
    <t>KINH DOANH VNPT-BẾN TRE</t>
  </si>
  <si>
    <t>BẢNG TỔNG HỢP THÙ LAO CỘNG TÁC VIÊN</t>
  </si>
  <si>
    <t>Mã ĐV</t>
  </si>
  <si>
    <t>Mã nV</t>
  </si>
  <si>
    <t>Số TT</t>
  </si>
  <si>
    <t>Họ và tên</t>
  </si>
  <si>
    <t>Điểm P1</t>
  </si>
  <si>
    <t>Hệ số P3</t>
  </si>
  <si>
    <t>Ngày công</t>
  </si>
  <si>
    <t>Lương P1P3</t>
  </si>
  <si>
    <t>Lương Đơn giá</t>
  </si>
  <si>
    <t>Tổng lương</t>
  </si>
  <si>
    <t>Tạm ứng</t>
  </si>
  <si>
    <t>Bảo hiểm</t>
  </si>
  <si>
    <t>Công đoàn phí</t>
  </si>
  <si>
    <t>Còn lại</t>
  </si>
  <si>
    <t>Tổng cộng</t>
  </si>
  <si>
    <t>Thủ trưởng đơn vị</t>
  </si>
  <si>
    <t>Người lập biểu</t>
  </si>
  <si>
    <t>Trưởng phòng NSTH</t>
  </si>
  <si>
    <t>Trương Hoàng Ái Nhân</t>
  </si>
  <si>
    <t>Trần Minh Tuấn</t>
  </si>
  <si>
    <t>Dương Thị Kim Thoa</t>
  </si>
  <si>
    <t>Phan Thị Quyên</t>
  </si>
  <si>
    <t>Thuế TNCN</t>
  </si>
  <si>
    <t>CTV040525</t>
  </si>
  <si>
    <t>Huỳnh Thị Hoàng Linh</t>
  </si>
  <si>
    <t>Nguyễn Thị Diện</t>
  </si>
  <si>
    <t>Võ Ngọc Ẩn</t>
  </si>
  <si>
    <t>Lê Thị Mộng Thủy</t>
  </si>
  <si>
    <t>Nguyễn Lê Thanh</t>
  </si>
  <si>
    <t>Trần Văn Cảnh</t>
  </si>
  <si>
    <t>Nguyễn Khắc Huy</t>
  </si>
  <si>
    <t>Lê Văn Giàu</t>
  </si>
  <si>
    <t>Huỳnh Nguyễn Giao Hân</t>
  </si>
  <si>
    <t>Bùi Tấn Đạt</t>
  </si>
  <si>
    <t>Lê Chí Cường</t>
  </si>
  <si>
    <t>Đặng La Đô</t>
  </si>
  <si>
    <t>Phan Trần Đức Ngân</t>
  </si>
  <si>
    <t>CTV023224</t>
  </si>
  <si>
    <t>CTV023225</t>
  </si>
  <si>
    <t>CTV043657</t>
  </si>
  <si>
    <t>CTV023069</t>
  </si>
  <si>
    <t>CTV023071</t>
  </si>
  <si>
    <t>CTV028655</t>
  </si>
  <si>
    <t>CTV041732</t>
  </si>
  <si>
    <t>CTV028601</t>
  </si>
  <si>
    <t>CTV023209</t>
  </si>
  <si>
    <t>CTV041556</t>
  </si>
  <si>
    <t>CTV036506</t>
  </si>
  <si>
    <t>CTV035279</t>
  </si>
  <si>
    <t>CTV023047</t>
  </si>
  <si>
    <t>Lê Thị Linh Phương</t>
  </si>
  <si>
    <t>Trương Thị Huệ Phương</t>
  </si>
  <si>
    <t>CTV062159</t>
  </si>
  <si>
    <t>CTV023131</t>
  </si>
  <si>
    <t>Tháng trước</t>
  </si>
  <si>
    <t>Chênh lệch</t>
  </si>
  <si>
    <t>VNP0230101</t>
  </si>
  <si>
    <t>VNP0230102</t>
  </si>
  <si>
    <t>VNP0230103</t>
  </si>
  <si>
    <t>VNP0230104</t>
  </si>
  <si>
    <t>VNP0230106</t>
  </si>
  <si>
    <t>VNP0230107</t>
  </si>
  <si>
    <t>VNP0230108</t>
  </si>
  <si>
    <t>VNP0230109</t>
  </si>
  <si>
    <t>Nguyễn Thị  Lan Phương</t>
  </si>
  <si>
    <t>VNP0230110</t>
  </si>
  <si>
    <t>VNP0230111</t>
  </si>
  <si>
    <t>VNP0230112</t>
  </si>
  <si>
    <t>VNP0230113</t>
  </si>
  <si>
    <t>Võ Ngọc Thảo</t>
  </si>
  <si>
    <t>Giảm trừ bản thân</t>
  </si>
  <si>
    <t>VNP0230105</t>
  </si>
  <si>
    <t xml:space="preserve">Tiền lương NLĐ còn được lãnh
</t>
  </si>
  <si>
    <t>CÔNG TY CỔ PHẦN COKYVINA</t>
  </si>
  <si>
    <t>TRUNG TÂM KINH DOANH VNPT BẾN TRE</t>
  </si>
  <si>
    <t>TUQ.TỔNG GIÁM ĐỐC</t>
  </si>
  <si>
    <t>P11</t>
  </si>
  <si>
    <t>07.04.02.01.01</t>
  </si>
  <si>
    <t>07.04.02.01.02</t>
  </si>
  <si>
    <t>07.08.03.01</t>
  </si>
  <si>
    <t>Tiền lương</t>
  </si>
  <si>
    <t>CNTT</t>
  </si>
  <si>
    <t>07.04.02.01.08</t>
  </si>
  <si>
    <t>DV khác</t>
  </si>
  <si>
    <t>Tổng trước VAT</t>
  </si>
  <si>
    <t>HH DDTT</t>
  </si>
  <si>
    <t>CTV059753</t>
  </si>
  <si>
    <t>Nguyễn Hữu Nhân</t>
  </si>
  <si>
    <t>CTV055621</t>
  </si>
  <si>
    <t>Nguyễn Phương Duy</t>
  </si>
  <si>
    <t>Thu nhập khác</t>
  </si>
  <si>
    <t>CTV036722</t>
  </si>
  <si>
    <t>Nguyễn Thành Long</t>
  </si>
  <si>
    <t xml:space="preserve">Nguyễn Thị Diệu Hương </t>
  </si>
  <si>
    <t>CTV074412</t>
  </si>
  <si>
    <t>Phan Thị Kim Đính</t>
  </si>
  <si>
    <t>CTV072905</t>
  </si>
  <si>
    <t>Nguyễn Thành Trung</t>
  </si>
  <si>
    <t>Nguyễn Thị Cẩm Trúc</t>
  </si>
  <si>
    <t>CTV075444</t>
  </si>
  <si>
    <t>Vô T10.2022</t>
  </si>
  <si>
    <t>CNTT khác</t>
  </si>
  <si>
    <t>CTV075851</t>
  </si>
  <si>
    <t>Đoàn Thị Như Ý</t>
  </si>
  <si>
    <t>Nghỉ thai sản từ 10/01/2023 - 09/07/2023</t>
  </si>
  <si>
    <t>Số tiền KD Bến Tre đã tạm ứng BHBB</t>
  </si>
  <si>
    <t>C</t>
  </si>
  <si>
    <t>Tổng Công Ty Dịch vụ Viễn thông</t>
  </si>
  <si>
    <t>Chứng từ</t>
  </si>
  <si>
    <t>Nội dung</t>
  </si>
  <si>
    <t>Phát sinh</t>
  </si>
  <si>
    <t>Quyết toán</t>
  </si>
  <si>
    <t>Tồn</t>
  </si>
  <si>
    <t>Ngày</t>
  </si>
  <si>
    <t>Số</t>
  </si>
  <si>
    <t>Nợ</t>
  </si>
  <si>
    <t>Có</t>
  </si>
  <si>
    <t>Mã tài khoản : 338888 - Phải trả, phải nộp khác</t>
  </si>
  <si>
    <t>CA</t>
  </si>
  <si>
    <t>SMARTCA</t>
  </si>
  <si>
    <t>IOFFCIE</t>
  </si>
  <si>
    <t>HNTT</t>
  </si>
  <si>
    <t>HDDT</t>
  </si>
  <si>
    <t>VÉ ĐIỆN TỬ</t>
  </si>
  <si>
    <t>BLDT</t>
  </si>
  <si>
    <t>TSĐC (Tuyển sinh đầu cấp)</t>
  </si>
  <si>
    <t>PORTAL</t>
  </si>
  <si>
    <t>ELENING</t>
  </si>
  <si>
    <t>HSS</t>
  </si>
  <si>
    <t>VNEDU(QL dinh dưỡng)</t>
  </si>
  <si>
    <t>NGƯỜI LẬP BIỂU</t>
  </si>
  <si>
    <t>KẾ TOÁN TRƯỞNG</t>
  </si>
  <si>
    <t>(Ký, ghi rõ họ tên)</t>
  </si>
  <si>
    <t>(Ký, ghi rõ họ tên, đóng dấu)</t>
  </si>
  <si>
    <t>Lê Thị Thấm</t>
  </si>
  <si>
    <t/>
  </si>
  <si>
    <t>CHI TIẾT CÔNG NỢ THEO TÀI KHOẢN</t>
  </si>
  <si>
    <t>Đầu kỳ</t>
  </si>
  <si>
    <t>Cộng : KTN0100684716 - Công ty Cổ phần Cokyvina</t>
  </si>
  <si>
    <t>Cộng : VND - Việt nam đồng</t>
  </si>
  <si>
    <t>Cộng : 338888 - Phải trả, phải nộp khác</t>
  </si>
  <si>
    <t>A</t>
  </si>
  <si>
    <t>B</t>
  </si>
  <si>
    <t>D</t>
  </si>
  <si>
    <t>Nguyễn Thị Xuân Lan</t>
  </si>
  <si>
    <t>CTV079091</t>
  </si>
  <si>
    <t>TN tính thuế</t>
  </si>
  <si>
    <t>E</t>
  </si>
  <si>
    <t>HKD-BHXH</t>
  </si>
  <si>
    <t>Thai sản</t>
  </si>
  <si>
    <t>thuế tncn</t>
  </si>
  <si>
    <t>Võ Trường Thịnh</t>
  </si>
  <si>
    <t>Nguồn: khen thưởng</t>
  </si>
  <si>
    <t>CTV076984</t>
  </si>
  <si>
    <t>CTV082602</t>
  </si>
  <si>
    <t>Ngô Nguyễn Huỳnh Như</t>
  </si>
  <si>
    <t>CTV082598</t>
  </si>
  <si>
    <t>Nguyễn Thị Hồng Thắm</t>
  </si>
  <si>
    <t>Lê Thị Thanh Trúc</t>
  </si>
  <si>
    <t>CTV082604</t>
  </si>
  <si>
    <t>bhbb</t>
  </si>
  <si>
    <t>phí</t>
  </si>
  <si>
    <t>vat</t>
  </si>
  <si>
    <t>Lưu Thị Trúc Giang</t>
  </si>
  <si>
    <t>Phan Thành Hiếu</t>
  </si>
  <si>
    <t>CTV083203</t>
  </si>
  <si>
    <t>CTV082450</t>
  </si>
  <si>
    <t>MEETING</t>
  </si>
  <si>
    <t>2</t>
  </si>
  <si>
    <t>CTV083584</t>
  </si>
  <si>
    <t>Bùi Thị Như Liên</t>
  </si>
  <si>
    <t>Phan Nguyễn Lan Phương</t>
  </si>
  <si>
    <t>CTV082451</t>
  </si>
  <si>
    <t>Hưu trí</t>
  </si>
  <si>
    <t>1A</t>
  </si>
  <si>
    <t>CHECK</t>
  </si>
  <si>
    <t>CTV083931</t>
  </si>
  <si>
    <t>Võ Thị Thiên Kiều</t>
  </si>
  <si>
    <t>19=D*21.5%</t>
  </si>
  <si>
    <t>20=D*2%</t>
  </si>
  <si>
    <t>25=D*10.5%</t>
  </si>
  <si>
    <t>26=D*1%</t>
  </si>
  <si>
    <t>28=18-25-26-27</t>
  </si>
  <si>
    <t>29=20+26</t>
  </si>
  <si>
    <t xml:space="preserve">bhbb </t>
  </si>
  <si>
    <t>ứng</t>
  </si>
  <si>
    <t>thiếu</t>
  </si>
  <si>
    <t>giảm trừ gia cảnh</t>
  </si>
  <si>
    <t>Số người</t>
  </si>
  <si>
    <t xml:space="preserve">Số tiền
</t>
  </si>
  <si>
    <t>QL GAD9T</t>
  </si>
  <si>
    <t>Từ ngày 01/12/2023 đến ngày 31/12/2023</t>
  </si>
  <si>
    <t>20/12/2023</t>
  </si>
  <si>
    <t>KT2-1131-908</t>
  </si>
  <si>
    <t xml:space="preserve">  - P04-TTKD BTE thanh toán hoa hồng DV CNTT T06.2023-CTV QUA ĐỐI TÁC, HKD -Theo danh sách đính kèm-Qua Ví VNPT Pay ( CA 2.109.040, CA HKD 150.000, HDDT 477.200, IVAN 323.200, IOFFICE 110.000, PORTAL 4.180.000, SMARTAC 10.296.548, TSDC 17.000.000). TRÍCH</t>
  </si>
  <si>
    <t>KT2-1131-910</t>
  </si>
  <si>
    <t xml:space="preserve">  - P04-TTKD BTE thanh toán hoa hồng DV CNTT T7.2023-CTV QUA ĐỐI TÁC -Theo danh sách đính kèm-Qua Ví VNPT Pay ( CA 6.034.240, CA HKD 897.600, HDDT 243.200)</t>
  </si>
  <si>
    <t>KT2-1131-911</t>
  </si>
  <si>
    <t xml:space="preserve">  - P04-TTKD BTE thanh toán hoa hồng DV CNTT T8.2023-CTV QUA ĐỐI TÁC -Theo danh sách đính kèm-Qua Ví VNPT Pay ( CA 3.997.440)</t>
  </si>
  <si>
    <t>KT2-1131-912</t>
  </si>
  <si>
    <t xml:space="preserve">  - P06-TTKD BTE thanh toán hoa hồng DV CNTT T10.2023-CTV QUA ĐỐI TÁC -Theo danh sách đính kèm-Qua Ví VNPT Pay ( CA 1.684.000, IVAN 327.000. ELEARNING 1.000.000, SMARTCA 347.182)</t>
  </si>
  <si>
    <t>KT2-1131-913</t>
  </si>
  <si>
    <t xml:space="preserve">  - P06-TTKD BTE thanh toán hoa hồng DV CNTT T11.2023-CTV QUA ĐỐI TÁC -Theo danh sách đính kèm-Qua Ví VNPT Pay ( CA 509.200, IPORTAL 1.760.000)</t>
  </si>
  <si>
    <t>27/12/2023</t>
  </si>
  <si>
    <t>KT2-1131-942</t>
  </si>
  <si>
    <t xml:space="preserve">  - P02-TTKD BTE thanh toán hoa hồng DV CNTT T8, T10-CTV HỘ KD , CTV QUA ĐỐI TÁC -qua Ví VNPT Pay-Theo danh sách kèm. ( CA 729.200, BLDT 134.000, IVAN 220.000)</t>
  </si>
  <si>
    <t>KT2-1131-946</t>
  </si>
  <si>
    <t xml:space="preserve">  - P04-TTKD BTE thanh toán hoa hồng DV CNTT T9-CTV HỘ KD , CTV QUA ĐỐI TÁC-qua Ví VNPT Pay-Theo danh sách kèm. ( CA 374.000, ELEARNING 1.000.000, IOFFICE 200.000)</t>
  </si>
  <si>
    <t>KT2-1131-947</t>
  </si>
  <si>
    <t xml:space="preserve">  - P04-TTKD BTE thanh toán hoa hồng DV CNTT T11-CTV HỘ KD , CTV QUA ĐỐI TÁC-qua Ví VNPT Pay-Theo danh sách kèm. ( CA 1.689.200, IVAN 1.590.232, BLDT 90.000)</t>
  </si>
  <si>
    <t>KT2-1131-948</t>
  </si>
  <si>
    <t xml:space="preserve">  - P04-TTKD BTE thanh toán hoa hồng DV CNTT T9- CTV QUA ĐỐI TÁC-qua Ví VNPT Pay-Theo danh sách kèm. ( CA 2.366.400, SMARTCA 210.000, HSS 394.200, IVAN 185.600)</t>
  </si>
  <si>
    <t>KT2-1131-951</t>
  </si>
  <si>
    <t xml:space="preserve">  - P05-TTKD BTE thanh toán hoa hồng DV CNTT T4.2023- CTV QUA ĐỐI TÁC-qua Ví VNPT Pay-Theo danh sách kèm. ( CA 8.894.400, IVAN 243.440, HDDT 1.284.000, HOINGHITRUYENHINH 82.575)</t>
  </si>
  <si>
    <t>KT2-1131-952</t>
  </si>
  <si>
    <t xml:space="preserve">  - P05-TTKD BTE thanh toán hoa hồng DV CNTT T5.2023- CTV QUA ĐỐI TÁC-qua Ví VNPT Pay-Theo danh sách kèm. ( CA 2.103.000, IVAN 298.240, HOINGHITRUYENHINH 82.575)</t>
  </si>
  <si>
    <t>KT2-1131-953</t>
  </si>
  <si>
    <t xml:space="preserve">  - P05-TTKD BTE thanh toán hoa hồng DV CNTT T6.2023- CTV QUA ĐỐI TÁC-qua Ví VNPT Pay-Theo danh sách kèm. ( CA 6.749.280, IVAN 486.400, HDDT 273.900, TSDC 27.500.000, IOFFICE 110.000, HOINGHITRUYENHINH 82.575)</t>
  </si>
  <si>
    <t>KT2-1131-954</t>
  </si>
  <si>
    <t xml:space="preserve">  - P05-TTKD BTE thanh toán hoa hồng DV CNTT T7.2023- CTV QUA ĐỐI TÁC-qua Ví VNPT Pay-Theo danh sách kèm. ( CA 16.330.400, HDDT 8.094.273, HKD 1.806.000, IOFFICE 440.000, HOINGHITRUYENHINH 82.575)</t>
  </si>
  <si>
    <t>KT2-1131-955</t>
  </si>
  <si>
    <t xml:space="preserve">  - P06-TTKD BTE thanh toán hoa hồng DV CNTT T1-T9.2023- CTV QUA ĐỐI TÁC-qua Ví VNPT Pay-Theo danh sách kèm. ( CA 2.489.600, CA CN 154.000, IVAN 752.400, ELEARNING 76.800, SMARTCA 210.000, IPORTAL 330.000, TSDC 500.000)</t>
  </si>
  <si>
    <t>KT2-1131-956</t>
  </si>
  <si>
    <t xml:space="preserve">  - P06-TTKD BTE thanh toán hoa hồng DV CNTT T1-T9.2023- CTV QUA ĐỐI TÁC-qua Ví VNPT Pay-Theo danh sách kèm. ( CA 876.000, SMARTCA 347.182)</t>
  </si>
  <si>
    <t>KT2-1131-957</t>
  </si>
  <si>
    <t xml:space="preserve">  - P06-TTKD BTE thanh toán hoa hồng DV CNTT T10.2023- CTV QUA ĐỐI TÁC-qua Ví VNPT Pay-Theo danh sách kèm. ( CA 5.916.400, CA CN 154.000, IVAN 152.000, HDDT HKD 114.000, CA HKD 285.000, HDDT 320.800)</t>
  </si>
  <si>
    <t>KT2-1131-958</t>
  </si>
  <si>
    <t xml:space="preserve">  - P06-TTKD BTE thanh toán hoa hồng DV CNTT T11.2023- CTV QUA ĐỐI TÁC-qua Ví VNPT Pay-Theo danh sách kèm. ( CA 5.408.400, SMARTCA 105.000, IPORTAL 3.190.00, HDDT 320.100)</t>
  </si>
  <si>
    <t>28/12/2023</t>
  </si>
  <si>
    <t>KT2-1131-965</t>
  </si>
  <si>
    <t xml:space="preserve">  - P08 TTKD BTE thanh toán hoa hồng DV CNTT T11.2023, CTV QUA ĐỐI TÁC, CTV HKD -qua Ví VNPT Pay-Theo danh dách đính kèm. Trích thuế TNCN 71.520</t>
  </si>
  <si>
    <t>29/12/2023</t>
  </si>
  <si>
    <t>KT2-1131-971</t>
  </si>
  <si>
    <t xml:space="preserve">  - P03 TTKD BTE thanh toán hoa hồng DV CNTT T7-10.2023-CTV QUA ĐỐI TÁC, CTV HKD --qua Ví VNPT Pay-Theo danh sách kèm-( CA 23.674.040, IVAN 2.042.800, HSS 13.570.200, SMARTCA 49.725.000, IOFFICE 5.500.000, IPORTAL 1.430.000, ELEARNING 2.000.000, BLDT 60.</t>
  </si>
  <si>
    <t>KT2-1131-972</t>
  </si>
  <si>
    <t xml:space="preserve">  - P04 TTKD BTE thanh toán hoa hồng DV CNTT T10.2023-CTV QUA ĐỐI TÁC--qua Ví VNPT Pay-Theo danh sách kèm-( CA 11.134.040, CA HKD 150.000, HDDT 213.600. IVAN 243.200)</t>
  </si>
  <si>
    <t>KT2-1131-973</t>
  </si>
  <si>
    <t xml:space="preserve">  - P04 TTKD BTE thanh toán hoa hồng DV CNTT T10.2023-CTV QUA ĐỐI TÁC--qua Ví VNPT Pay-Theo danh sách kèm-( CA 1.185.040, IVAN 243.200)</t>
  </si>
  <si>
    <t>KT2-1131-974</t>
  </si>
  <si>
    <t xml:space="preserve">  - P07 TTKD BTE thanh toán hoa hồng DV CNTT T07.2023-CTV QUA ĐỐI TÁC--qua Ví VNPT Pay-Nguyễn Văn Thanh Bình-( CA 66.000, TSDC 6.000.000). TRÍCH THUẾ TNCN 606.600</t>
  </si>
  <si>
    <t>KT2-1131-975</t>
  </si>
  <si>
    <t xml:space="preserve">  - P07 TTKD BTE thanh toán hoa hồng DV CNTT T09.2023-CTV QUA ĐỐI TÁC--qua Ví VNPT Pay-Nguyễn Văn Thanh Bình-( CA 1.471.040, ivan 242.200). TRÍCH THUẾ TNCN 171.424</t>
  </si>
  <si>
    <t>KT2-1131-976</t>
  </si>
  <si>
    <t xml:space="preserve">  - P07 TTKD BTE thanh toán hoa hồng DV CNTT T11.2023-CTV QUA ĐỐI TÁC--qua Ví VNPT Pay-Nguyễn Văn Thanh Bình-( CA 5.229.680, IVAN 486.400, HDDT 334.400, ELEARNING 1.000.000). TRÍCH THUẾ 705.048</t>
  </si>
  <si>
    <t>KT2-1131-977</t>
  </si>
  <si>
    <t xml:space="preserve">  - P07 TTKD BTE thanh toán hoa hồng DV CNTT T08.2023-CTV QUA ĐỐI TÁC--qua Ví VNPT Pay-Nguyễn Văn Thanh Bình-( CA 795.200). TRÍCH THUẾ 79.520</t>
  </si>
  <si>
    <t>KT2-1131-977.1</t>
  </si>
  <si>
    <t xml:space="preserve">  - P07 HT THUẾ TNCN-TTKD BTE thanh toán hoa hồng DV CNTT T08.2023-CTV QUA ĐỐI TÁC--qua Ví VNPT Pay-Nguyễn Văn Thanh Bình-( CA 795.200). TRÍCH THUẾ TNCN 79.520</t>
  </si>
  <si>
    <t>KT2-1131-983</t>
  </si>
  <si>
    <t xml:space="preserve">  - P08 TTKD BTE thanh toán hoa hồng DV CNTT T10.2023-CTV QUA ĐỐI TÁC, HKD--qua Ví VNPT Pay-Theo danh sách kèm-( CA 3.874.640, IPORTAL 110.000, GADT 788.400, ELEARNING 1.000.000, IVAN 771.200, HDDT 115.200) TRÍCH THUẾ TNCN 484.984</t>
  </si>
  <si>
    <t>Ngày 17 tháng 01 năm 2024</t>
  </si>
  <si>
    <t>15/12/2023</t>
  </si>
  <si>
    <t>KT2-1131-906</t>
  </si>
  <si>
    <t xml:space="preserve">  - PL1 TTKD BTE thanh toán khen thưởng cá nhân PT VNPT MONEY và ĐCNTT T11, VB 2662/NSTH 13.12.2023-qua Ví VNPT Pay-Theo danh sách kèm. Nguồn NV Quỹ khen thưởng, CTV chi phí hoa hồng</t>
  </si>
  <si>
    <t>KT2-1131-907</t>
  </si>
  <si>
    <t xml:space="preserve">  - PL2 TTKD BTE thanh toán khen thưởng cá nhân PT VNPT MONEY và ĐCNTT T11, VB 2662/NSTH 13.12.2023-qua Ví VNPT Pay-Theo danh sách kèm. Nguồn NV Quỹ khen thưởng, CTV chi phí hoa hồng</t>
  </si>
  <si>
    <t xml:space="preserve">  - TTKD BTE thanh toán khen thưởng cá nhân PT dịch vụ di động T10.2023, VB 26063/NSTH 13.12.2023-qua Ví VNPT Pay-Theo danh sách kèm. Nguồn NV quỹ khen thưởng, CTV chi phí hoa hồng</t>
  </si>
  <si>
    <t>19/12/2023</t>
  </si>
  <si>
    <t>KT2-900.7</t>
  </si>
  <si>
    <t xml:space="preserve">  - P01 HT bù trừ công nợ phải trả qua lương -Thưởng Fiber T11, VB 2710/NSTH- CTV qua đối tác tháng 11.2023- Theo bảng tính lương từ NSTH ( thưởng từ nguồn thu phạt 1.921.195, còn lại CP)</t>
  </si>
  <si>
    <t>KT2-1131-901</t>
  </si>
  <si>
    <t xml:space="preserve">  - PL1-TTKD BTE thanh toán Khen thưởng cá nhân PT MYTV, MESH ngày 04,05.12.2023-VB 2681/NSTH 14.12.2023-Theo danh sách đính kèm. Nguồn ( NV Giảm trừ quỹ nhân công, khen thưởng, CTV chi phí hoa hồng)</t>
  </si>
  <si>
    <t>KT2-1131-902</t>
  </si>
  <si>
    <t xml:space="preserve">  - PL2-TTKD BTE thanh toán Khen thưởng cá nhân PT MYTV, MESH ngày 04,05.12.2023-VB 2681/NSTH 14.12.2023-Theo danh sách đính kèm. Nguồn ( NV Giảm trừ quỹ nhân công, khen thưởng, CTV chi phí hoa hồng)</t>
  </si>
  <si>
    <t>KT2-1131-949</t>
  </si>
  <si>
    <t xml:space="preserve">  - P05-TTKD BTE thanh toán hoa hồng DV CNTT T1.2023- CTV QUA ĐỐI TÁC-qua Ví VNPT Pay-Theo danh sách kèm. ( LMS 1.000.000)</t>
  </si>
  <si>
    <t>KT2-1131-950</t>
  </si>
  <si>
    <t xml:space="preserve">  - P05-TTKD BTE thanh toán hoa hồng DV CNTT T2.2023- CTV QUA ĐỐI TÁC-qua Ví VNPT Pay-Theo danh sách kèm. ( IVAN 888.000, ELEARNING 1.000.000)</t>
  </si>
  <si>
    <t>KT2-1131-974.1</t>
  </si>
  <si>
    <t>KT2-1131-975.1</t>
  </si>
  <si>
    <t xml:space="preserve">  - P07 HT THUẾ TNCN -TTKD BTE thanh toán hoa hồng DV CNTT T09.2023-CTV QUA ĐỐI TÁC--qua Ví VNPT Pay-Nguyễn Văn Thanh Bình-( CA 1.471.040, ivan 242.200). TRÍCH THUẾ 171.424</t>
  </si>
  <si>
    <t>KT2-1131-976.1</t>
  </si>
  <si>
    <t xml:space="preserve">  - P07 HT THUẾ TNCN- TTKD BTE thanh toán hoa hồng DV CNTT T11.2023-CTV QUA ĐỐI TÁC--qua Ví VNPT Pay-Nguyễn Văn Thanh Bình-( CA 5.229.680, IVAN 486.400, HDDT 334.400, ELEARNING 1.000.000). TRÍCH THUẾ 705.048</t>
  </si>
  <si>
    <t>KT2-1131-981</t>
  </si>
  <si>
    <t xml:space="preserve">  - P08 TTKD BTE thanh toán hoa hồng DV CNTT T8.2023-CTV KO DK HỘ KD, CTV QUA ĐỐI TÁC, HKD--qua Ví VNPT Pay-Theo danh sách kèm-( CA 220.000, SMARTCA 3.600.000) TRÍCH THUẾ TNCN 244.000</t>
  </si>
  <si>
    <t>KT2-1131-982</t>
  </si>
  <si>
    <t xml:space="preserve">  - P08 TTKD BTE thanh toán hoa hồng DV CNTT T9.2023-CTV KO DK HỘ KD, CTV QUA ĐỐI TÁC, HKD--qua Ví VNPT Pay-Theo danh sách kèm-( CA 1.273.040, ELEARNING 7.000.000 , GADT 394.200, IVAN 243.200, HDDT 60.000) TRÍCH THUẾ TNCN 597.044</t>
  </si>
  <si>
    <t>KT2-1131-994</t>
  </si>
  <si>
    <t xml:space="preserve">  - TTKD BTE thanh toán khen thưởng cá nhân phát triển sim căp đôi T11.2023, VB 2768/NSTH 27.12.2023-Qua Ví VNPT Pay -Theo danh sách kèm. Nguồn NV Quỹ Khen thưởng, CTV CP hoa hồng</t>
  </si>
  <si>
    <t>30/12/2023</t>
  </si>
  <si>
    <t>KT2-1131-995</t>
  </si>
  <si>
    <t xml:space="preserve">  - TTKD BTE thanh toán kiêm nhiệm quản lý cước T11 PBH Thạnh Phú cho Trúc Phương, Mai Thuỳ, VB 2791/NSTH 29.12.2023-Qua Ví VNPT Pay -Theo danh sách kèm.</t>
  </si>
  <si>
    <t>KT2-1131-1000</t>
  </si>
  <si>
    <t xml:space="preserve">  - P01 thanh toán khen thưởng cá nhân PT di động hoàn thành BSC T11.2023, VB 2784/NSTH 29.12.2023 qua Ví VNPT Pay-Theo danh sách kèm. NGUỒN NV quỹ khen thưởng, CTV chi phí hoa hồng</t>
  </si>
  <si>
    <t>KT2-1131-1001</t>
  </si>
  <si>
    <t xml:space="preserve">  - P01 thanh toán khen thưởng cá nhân tổng lực PT di động ngày 19,20.12.2023, VB 2785/NSTH 29.12.2023 qua Ví VNPT Pay-Theo danh sách kèm.NGUỒN NV quỹ khen thưởng, CTV chi phí hoa hồng</t>
  </si>
  <si>
    <t>Cộng : KCTV - trích trước hoa hồng CTV</t>
  </si>
  <si>
    <t>Thị Hậu</t>
  </si>
  <si>
    <t>CTV khác</t>
  </si>
  <si>
    <t>Thàng 12.2023</t>
  </si>
  <si>
    <t>17A</t>
  </si>
  <si>
    <t>17B</t>
  </si>
  <si>
    <t>17C</t>
  </si>
  <si>
    <t>17D</t>
  </si>
  <si>
    <t>17E</t>
  </si>
  <si>
    <t>17F</t>
  </si>
  <si>
    <t>17G</t>
  </si>
  <si>
    <t>17I</t>
  </si>
  <si>
    <t>3</t>
  </si>
  <si>
    <t>13</t>
  </si>
  <si>
    <t>14</t>
  </si>
  <si>
    <t>15</t>
  </si>
  <si>
    <t>16</t>
  </si>
  <si>
    <t>17</t>
  </si>
  <si>
    <t>Hợp đồng số: 271/HĐTLLĐ ngày 27/12/2022 giữa Trung tâm kinh doanh VNPT - Bến Tre và Công ty Cổ phần COKYVINA</t>
  </si>
  <si>
    <t>Số tiền thuế
phải nộp T11</t>
  </si>
  <si>
    <t>6=2-3-4-5</t>
  </si>
  <si>
    <t>BẢNG TÍNH PHÍ CHO TỪNG CHỨC DANH NHÂN VIÊN TTKD VNPT BẾN TRE THÁNG 12/2023</t>
  </si>
  <si>
    <t xml:space="preserve">Lê Thị Thanh Trúc chấm dứt hđlđ </t>
  </si>
  <si>
    <t>Thi nghỉ ts từ 01/11</t>
  </si>
  <si>
    <t xml:space="preserve">Hương Lan chấm dứt hđlđ </t>
  </si>
  <si>
    <t>Nguyễn Thị Thanh Thủy</t>
  </si>
  <si>
    <t>CTV085174</t>
  </si>
  <si>
    <t>Tháng 1/2024</t>
  </si>
  <si>
    <t>thu nhập xuất HĐ</t>
  </si>
  <si>
    <t>Thuế</t>
  </si>
  <si>
    <t>CTV085393</t>
  </si>
  <si>
    <t>Nguyễn Lê Nguyệt Lâm</t>
  </si>
  <si>
    <t>Hoa hồng PTTB -Lương đơn giá</t>
  </si>
  <si>
    <t>ĐẠI DIỆN BÊN B</t>
  </si>
  <si>
    <t xml:space="preserve">Phụ cấp + Kiêm nhiệm
</t>
  </si>
  <si>
    <t>14/03/2024</t>
  </si>
  <si>
    <t>KT2-252-1131</t>
  </si>
  <si>
    <t xml:space="preserve">  - P02 TTKD BTE thanh toán hoa hồng DV CNTT T12.2023-CTV qua đối tác, Hộ KD cho Theo danh sách đính kèm -Qua Ví VNPT Pay. ( CA 942.000, SMARTCA 149.909, HSS 788.400)</t>
  </si>
  <si>
    <t>15/03/2024</t>
  </si>
  <si>
    <t>KT2-259-1131</t>
  </si>
  <si>
    <t xml:space="preserve">  - P05 TTKD BTE thanh toán hoa hồng DV CNTT T08.2023-CTV qua đối tác -cho Nguyễn Thị Ngọc Hằng-( CA 6.756.300, HDDT 534.200, HKD 450.000, IVAN 634.480, HOINGHITRUYENHINH 82.575)-Qua Ví VNPT Pay</t>
  </si>
  <si>
    <t>20/03/2024</t>
  </si>
  <si>
    <t>KT2-268-1131</t>
  </si>
  <si>
    <t xml:space="preserve">  - P06 - TTKD BTE thanh toán hoa hồng DV CNTT T12.2023, T1.2024-CTV qua đối tác- Theo danh sách đính kèm-Qua Ví VNPT Pay.( CA 2.183.200, IVAN 418.000, CHECK 136.200, HDDT 534.000, IOFFICE 770.000, HSS 646.200)</t>
  </si>
  <si>
    <t>26/03/2024</t>
  </si>
  <si>
    <t>KT2-1131-289</t>
  </si>
  <si>
    <t xml:space="preserve">  - P02 TTKD BTE thanh toán hoa hồng DV CNTT 01/2024-CTV QUA ĐỐI TÁC, CTV HỘ KD cho Theo danh sáchđính kèm-Qua Ví VNPT Pay ( CA 965.040, IVAN 24.200, IOFFICE 220.000, IPORTAL 330.000)</t>
  </si>
  <si>
    <t>KT2-1131-292</t>
  </si>
  <si>
    <t xml:space="preserve">  - P08 -TTKD BTE thanh toán hoa hồng DV CNTT 01/2024-CTV KO ĐKKD , CTV QUA ĐỐI TÁC, CTV HỘ KD cho Theo danh sách đính kèm-Qua Ví VNPT Pay. CA 4.123.440 , BHXH 243.200 , IPORTAL 110.000, IOFFICE 220.000, HDDT 136.800. Trích thuế TNCN 456.944</t>
  </si>
  <si>
    <t>KT2-1131-293</t>
  </si>
  <si>
    <t xml:space="preserve">  - P08 -TTKD BTE thanh toán hoa hồng DV CNTT 02/2024-CTV KO ĐKKD , CTV QUA ĐỐI TÁC cho Theo danh sách đính kèm-Qua Ví VNPT Pay. CA 1.154.800 , ELEARNING 1.000.000, IVAN 142.000, HDDT 76.800. Trích thuế TNCN 121.960</t>
  </si>
  <si>
    <t>29/03/2024</t>
  </si>
  <si>
    <t>KT2-1131-328</t>
  </si>
  <si>
    <t xml:space="preserve">  - P05 TTKD BTE thanh toán hoa hồng DV CNTT T11.2023, CTV qua đối tác- cho Lê văn Giàu qua Ví VNPT Pay.( CA 4.672.800, HDDT 536.030, HKD 495.000)</t>
  </si>
  <si>
    <t>KT2-1131-329</t>
  </si>
  <si>
    <t xml:space="preserve">  - P05 TTKD BTE thanh toán hoa hồng DV CNTT T12.2023, CTV qua đối tác- cho Theo dah sách đính kèm qua Ví VNPT Pay.( CA 10.627.200, HDDT 534.200, HKD 998.400, IVAN 1.358.000, CHECK 442.000)</t>
  </si>
  <si>
    <t>KT2-1131-332</t>
  </si>
  <si>
    <t xml:space="preserve">  - P03 TTKD BTE thanh toán hoa hồng DV CNTT T2.2024-CTV qua đối tác, CTV hộ KD, CTV không ĐKKD cho Theo danh sách đính kèm-qua Ví VNPT Pay ( CA 13.730.360, IVAN 1.263.200, EDU 1.980.000, POSIO 660.000, CHECK 649.200, HDDT 1.621.010), Trích thuế TNCN 363</t>
  </si>
  <si>
    <t>Cộng : KTN0100112194-004 - Chi nhánh TP. HCM - Công ty cổ phần Những Trang Vàng Việt Nam</t>
  </si>
  <si>
    <t>KT2-250-1131</t>
  </si>
  <si>
    <t xml:space="preserve">  - P01 SOHOA TTKD BTE thanh toán khen thưởng cá nhân PT VNPT Money thanh toán hoá đơn viễn thông T2.2024-VB 601/NSTH 13.03.2024 cho Theo danh sách đính kèm -Qua Ví VNPT Pay. Nguồn NV quỹ khen thưởng TTKD, CTV chi phí hoa hồng ( CTV QUA ĐỐI TÁC 700.000 đ</t>
  </si>
  <si>
    <t>KT2-251-1131</t>
  </si>
  <si>
    <t xml:space="preserve">  - P01 BRCD TTKD BTE thanh toán khen thưởng cá nhân PT Fiber VNN nhà mạng khác chuyển sang T2.2024-VB 602/NSTH 12.03.2024 cho Theo danh sách đính kèm -Qua Ví VNPT Pay. Nguồn NV quỹ khen thưởng TTKD, CTV chi phí hoa hồng ( CTV QUA ĐỐI TÁC 8.400.000 đồng)</t>
  </si>
  <si>
    <t>KT2-260-1131</t>
  </si>
  <si>
    <t xml:space="preserve">  - P05 TTKD BTE thanh toán hoa hồng DV CNTT T12.2023-CTV qua đối tác -cho Theo danh sách đính kèm-( LMS 36.000.000, QUANLYGIAOAN 394.200, HOINGHITRUYENHINH 82.575, ECABINET 6.634.636)-Qua Ví VNPT Pay</t>
  </si>
  <si>
    <t>KT2-262-1131</t>
  </si>
  <si>
    <t xml:space="preserve">  - P01 DIDONG- TTKD BTE thanh toán khen thưởng cá nhân bán hàng và CSKH di động ngày 26, 27.02.2024, VB 606/NSTH 13.03.2024-qua Ví VNPT Pay. Nguồn NV quỹ khen thưởng, CTV chi phí hoa hồng ( CTV qua đối tác 6.729.000)</t>
  </si>
  <si>
    <t>KT2-264-1131</t>
  </si>
  <si>
    <t xml:space="preserve">  - P01 DIDONG- TTKD BTE thanh toán khen thưởng cá nhân bán hàng và CSKH di động ngày 26, 27.02.2024, VB 606/NSTH 13.03.2024-qua Ví VNPT Pay. Nguồn NV quỹ khen thưởng, CTV chi phí hoa hồng ( CTV qua đối tác 590.000)</t>
  </si>
  <si>
    <t>KT2-1131-300</t>
  </si>
  <si>
    <t xml:space="preserve">  - TTKD BTE thanh toán kiêm nhiệm quản lý cước T02.2024 PBH Thạnh Phú cho Trúc Phương, Mai Thuỳ, VB 651/NSTH 20.03.2024-Qua Ví VNPT Pay -Theo danh sách kèm.</t>
  </si>
  <si>
    <t>31/03/2024</t>
  </si>
  <si>
    <t>KT2-DC-155.4</t>
  </si>
  <si>
    <t xml:space="preserve">  - P01 HT ĐIỀU CHỈNH VB 399/ĐHNV SANG QUỸ KHEN THƯỞNG, CP HOA HỒNG THEO VB 558/NSTH 08.03.2024- TTKD BTE thanh toán khuyến khích nhân viên, công tác viên bán hàng hội chợ hoa xuân năm 2024-VB 399/ĐHNV 19.02.2024 -Qua Ví VNPT Pay. Theo danh sách đính kèm</t>
  </si>
  <si>
    <t>EDU</t>
  </si>
  <si>
    <t>QLGA</t>
  </si>
  <si>
    <t>QLDD</t>
  </si>
  <si>
    <t>posio</t>
  </si>
  <si>
    <t>LMS</t>
  </si>
  <si>
    <t>ECABINET</t>
  </si>
  <si>
    <t>CHEK</t>
  </si>
  <si>
    <t>PS</t>
  </si>
  <si>
    <t>Mã TK</t>
  </si>
  <si>
    <t>Thống kê</t>
  </si>
  <si>
    <t>Đối tượng</t>
  </si>
  <si>
    <t>SPDV</t>
  </si>
  <si>
    <t>Tiền</t>
  </si>
  <si>
    <t>Đvị Qlý</t>
  </si>
  <si>
    <t>N</t>
  </si>
  <si>
    <t>01.11.01</t>
  </si>
  <si>
    <t>N1898301</t>
  </si>
  <si>
    <t>S000</t>
  </si>
  <si>
    <t>N1898302</t>
  </si>
  <si>
    <t>N1898303</t>
  </si>
  <si>
    <t>N1898304</t>
  </si>
  <si>
    <t>N1898305</t>
  </si>
  <si>
    <t>N1898306</t>
  </si>
  <si>
    <t>N1898307</t>
  </si>
  <si>
    <t>N1898308</t>
  </si>
  <si>
    <t>N1898309</t>
  </si>
  <si>
    <t>N1898310</t>
  </si>
  <si>
    <t>N1898311</t>
  </si>
  <si>
    <t>SBUSAB1VITVIT001</t>
  </si>
  <si>
    <t>SBUS0A1VITVIT008</t>
  </si>
  <si>
    <t>SBUS0A1VITVIT022</t>
  </si>
  <si>
    <t>SGOVAB1VITVIT001</t>
  </si>
  <si>
    <t>SEDUAB1VITVIT001</t>
  </si>
  <si>
    <t>SINF0A3VITVIT003</t>
  </si>
  <si>
    <t>SGOVAB1VITVIT008</t>
  </si>
  <si>
    <t>Thai sản 10/04/2024-10/10/2024</t>
  </si>
  <si>
    <t>SEDUAB1VITVIT009</t>
  </si>
  <si>
    <t>SBUSAB3VITVIT002</t>
  </si>
  <si>
    <t>SEDUAB1VITVIT020</t>
  </si>
  <si>
    <t>Từ ngày 01/04/2024 đến ngày 30/04/2024</t>
  </si>
  <si>
    <t>20/04/2024</t>
  </si>
  <si>
    <t>KT2-1131-346</t>
  </si>
  <si>
    <t xml:space="preserve">  - P06 - TTKD BTE thanh toán hoa hồng DV CNTT T1-T2.2024-CTV qua đối tác, CA 3,446,800, SMARTCA 2,118,927, HDDT 334,000, BHXH 1,170,400, IOFFICE 2,970,000</t>
  </si>
  <si>
    <t>26/04/2024</t>
  </si>
  <si>
    <t>KT2-1131-368</t>
  </si>
  <si>
    <t xml:space="preserve">  - P03 TTKD BTE thanh toán hoa hồng DV CNTT T1-T2-T3.2024-CTV QUA ĐỐI TÁC, CTV HKD, CTV KDKKD, qua Ví VNPT Pay, Theo ds đính kèm,. Trích thuế TNCN 3.974.270 ( CA 27.642.280 , HDDT 1.766.200, BHXH 2.434.400, BLDT 134,000, ELEARNING-LMS 28.500.000, IOFFIC</t>
  </si>
  <si>
    <t>KT2-1131-373</t>
  </si>
  <si>
    <t xml:space="preserve">  - P08-TTKD BTE thanh toán hoa hồng DV CNTT T2.2024-CTV QUA ĐỐI TÁC, CTV HKD, CTV KDKKD, qua Ví VNPT Pay Cho theo DS đính kèm. Trích thuế TNCN 594.060 ( CA 4,006,400, , BHXH 385,200, ELEARNING-LMS 1,000,000, HSS 4,336,200)</t>
  </si>
  <si>
    <t>KT2-1131-379</t>
  </si>
  <si>
    <t xml:space="preserve">  - P04 TTKD BTE thanh toán hoa hồng DV CNTT T2.2024-CTV QUA ĐỐI TÁC ( CA 2.232.800, IVAN 142.800) qua Ví VNPT PAY cho Phan Thành Hiếu</t>
  </si>
  <si>
    <t>KT2-1131-391</t>
  </si>
  <si>
    <t xml:space="preserve">  - P02 TTKD BTE thanh toán hoa hồng DV CNTT T2.2024-CTV QUA ĐỐI TÁC, CTV hộ KD cho Theo danh sách kèm, Qua Ví VNPT Pay, ( CA 1.215.000, BLDT 2,000,000, HDDT 810.000, IOFFICE 110,000, IPORTAL 110,000)</t>
  </si>
  <si>
    <t>KT2-1131-392</t>
  </si>
  <si>
    <t xml:space="preserve">  - P06 TTKD BTE thanh toán hoa hồng DV CNTT T3.2024-CTV QUA ĐỐI TÁC cho Theo danh sách kèm, Qua Ví VNPT Pay, ( CA 1.754.000, HDDT 183.500, HKD 240.000)</t>
  </si>
  <si>
    <t>Ngày 15 tháng 05 năm 2024</t>
  </si>
  <si>
    <t>11/04/2024</t>
  </si>
  <si>
    <t>KT2-P01-1904</t>
  </si>
  <si>
    <t xml:space="preserve">  - DIDONG-PL1-TTKD BTE thanh toán khen thưởng cá nhân chương trình Tổng lực ra quân bán hàng ngày 14, 15.03.2024-VB 792/NSTH 06.04.2024-Theo danh sách đính kèm, Nguồn: NV giảm trừ quỹ nhân công Fiber VNN, Quỹ khen thưởng, CTV chi phí hoa hồng, ( CTV qua</t>
  </si>
  <si>
    <t>KT2-P01-1905</t>
  </si>
  <si>
    <t xml:space="preserve">  - PL3-TTKD BTE thanh toán khen thưởng cá nhân chương trình Tổng lực ra quân bán hàng ngày 14, 15.03.2024-VB 792/NSTH 06.04.2024-Theo danh sách đính kèm, Nguồn: NV giảm trừ quỹ nhân công Fiber VNN, Quỹ khen thưởng, CTV chi phí hoa hồng, ( CTV qua đối tá</t>
  </si>
  <si>
    <t>KT2-P01-1907</t>
  </si>
  <si>
    <t xml:space="preserve">  - P01 TTKD BTE thanh toán cá nhân kết quà chương trình thi đua phát triển Sim thâm canh T2.2024, VB 793/NSTH 06.04.2024. Nguồn NV quỹ khen thưởng, CTV chi phí hoa hồng</t>
  </si>
  <si>
    <t>12/04/2024</t>
  </si>
  <si>
    <t>KT2-P01-1948</t>
  </si>
  <si>
    <t xml:space="preserve">  - BRCD-PL2-TTKD BTE thanh toán khen thưởng cá nhân chương trình Tổng lực ra quân bán hàng ngày 14, 15.03.2024-VB 792/NSTH 06.04.2024-Theo danh sách đính kèm, Nguồn: NV giảm trừ quỹ nhân công Fiber VNN, Quỹ khen thưởng, CTV chi phí hoa hồng, ( CTV qua đ</t>
  </si>
  <si>
    <t>16/04/2024</t>
  </si>
  <si>
    <t>KT2-P01-2080</t>
  </si>
  <si>
    <t xml:space="preserve">  - TTKD BTE thanh toán khen thưởng cá nhân PT VNPT Money thanh toán hoá đơn viễn thông T3.2024, VB 839/NSTH 10.04 cho Theo danh sách đính kèm.Nguồn NV Quỹ khen thưởng, CTV chi phí hoa hồng ( CTV qua đối tác 560.000)</t>
  </si>
  <si>
    <t>KT2-P01-2084</t>
  </si>
  <si>
    <t xml:space="preserve">  - P01 DIDONG-TTKD BTE thanh toán PL1-DD-thưởng cá nhân kinh doanh DV cốt lõi theo mô hình mới T2, VB 841/NSTH cho Theo danh sách đính kèm. Nguồn NV quỹ khen thưởng, CTV chi phí hoa hồng ( CTV qua đối tác 18.236.000)</t>
  </si>
  <si>
    <t>KT2-P01-2087</t>
  </si>
  <si>
    <t xml:space="preserve">  - P01 BRCD-TTKD BTE thanh toán PL5-BRCD-thưởng cá nhân kinh doanh DV cốt lõi theo mô hình mới T2, VB 841/NSTH cho Theo danh sách đính kèm. Nguồn NV quỹ khen thưởng, CTV chi phí hoa hồng ( CTV qua đối tác 1.415.000)</t>
  </si>
  <si>
    <t>19/04/2024</t>
  </si>
  <si>
    <t>KT2-P01-2131</t>
  </si>
  <si>
    <t xml:space="preserve">  - P01 TTKD BTE thanh toán thưởng cá nhân tham gia bán hàng di động ngày 27 28.03.2024, VB 817/NSTH cho Theo danh sách đính kèm. Nguồn NV Quỹ khen thưởng, CTV chi phí hoa hồng ( CTV qua đối tac 5.132.000)</t>
  </si>
  <si>
    <t>KT2-P01-2129.1</t>
  </si>
  <si>
    <t xml:space="preserve">  - P01 HT THUẾ TNCN- P11 thanh toán hoa hồng CTV tháng 3- PBH Online cho Theo danh sách đính kèm. Trích thuế TNCN 9.063.903</t>
  </si>
  <si>
    <t>KT2-1131-340.1</t>
  </si>
  <si>
    <t xml:space="preserve">  - P10 HT THUẾ TNCN-TTKD BTE thanh toán hoa hồng DV CNTT T02.2024-CTV hộ KD cho Trịnh Thanh Thảo ( CA 5.741.840, HDDT 1,188,500, BHXH 1.191.600. Trích thuế TNCN 812.194</t>
  </si>
  <si>
    <t>KT2-1131-341.1</t>
  </si>
  <si>
    <t xml:space="preserve">  - P10 HT THUẾ TNCN-TTKD BTE thanh toán hoa hồng DV CNTT T02.2024-CTV hộ KD cho Nguyễn Thành Trung ( HDDT 15.000.000, CHECK 10.000.000). Trích thuế TNCN 2.500.000</t>
  </si>
  <si>
    <t>KT2-1131-344.1</t>
  </si>
  <si>
    <t xml:space="preserve">  - P06 -HT THUẾ TNCN- TTKD BTE thanh toán hoa hồng PTTB T3.2024-CTV thu cước, CTV bán hàng- Theo danh sách đính kèm-Qua Ví VNPT Pay. Thuế TNCN 813.994</t>
  </si>
  <si>
    <t>KT2-1131-347.1</t>
  </si>
  <si>
    <t xml:space="preserve">  - P09 - TRÍCH THUẾ TNCN-TTKD BTE thanh toán hoa hồng DV CNTT T2.2024-CTV HỘ KD, CA 242.000, HDDT 76.800. TRÍCH THUẾ TNCN 31.880</t>
  </si>
  <si>
    <t>KT2-349.5</t>
  </si>
  <si>
    <t xml:space="preserve">  - P01 HT Lương T3.2024-CTV qua đối tác -Theo bảng lương từ NSTH</t>
  </si>
  <si>
    <t>KT2-P01-349.8</t>
  </si>
  <si>
    <t xml:space="preserve">  - P01-P09 HT phải thu Lương T3.2024 từ bảng tính NSTH-CTV qua đối tác CTV023042 Nguyễn Thị Mỹ Duyên</t>
  </si>
  <si>
    <t>KT2-349.9</t>
  </si>
  <si>
    <t xml:space="preserve">  - P01-P02 HT phải thu Lương T3.2024 từ bảng tính NSTH-CTV qua đối tác CTV082598 Nguyễn Thị Hồng Thắm</t>
  </si>
  <si>
    <t>KT2-349.10</t>
  </si>
  <si>
    <t xml:space="preserve">  - P01-P02 HT bù trừ phải trả qua lương cuối T3.2024 CTV qua đối tác CTV079091 Nguyễn Thị Xuân Lan ( TK 33888)</t>
  </si>
  <si>
    <t>KT2-349.11</t>
  </si>
  <si>
    <t xml:space="preserve">  - P01-HT phải trả thưởng Fiber VNN T3, VB 860/NSTH qua lương cuối T3.2024 CTV qua đối tác ( thu từ nguồn phạt 652.531</t>
  </si>
  <si>
    <t>KT2-349.16</t>
  </si>
  <si>
    <t xml:space="preserve">  - P01-HT phải thu phải trả CTV Nguyễn Châu Đoan qua lương cuối T3-CTV qua đối tác</t>
  </si>
  <si>
    <t>24/04/2024</t>
  </si>
  <si>
    <t>KT2-1131-351.1</t>
  </si>
  <si>
    <t xml:space="preserve">  - P09 HT THUẾ TNCN-TTKD BTE thanh toán hoa hồng PTTB T3.2024-CTV thu cước, CTVHKD qua Ví Pay-Theo danh sách kèm. Trích thuế TNCN 659.880</t>
  </si>
  <si>
    <t>KT2-1131-352.1</t>
  </si>
  <si>
    <t xml:space="preserve">  - P03 HT THUẾ TNCN-TTKD BTE thanh toán hoa hồng PTTB T3.2024-CTV thu cước, CTVHKD qua Ví Pay-Theo danh sách kèm. Trích thuế TNCN 1.890.814, trừ CN TK13138 Phượng Linh 6.088.341)</t>
  </si>
  <si>
    <t>KT2-1131-353.1</t>
  </si>
  <si>
    <t xml:space="preserve">  - P08 HT THUẾ TNCN-TTKD BTE thanh toán hoa hồng PTTB T3.2024-CTV thu cước, CTVHKD qua Ví Pay-Theo danh sách kèm. Trích thuế TNCN 1.385.375</t>
  </si>
  <si>
    <t>KT2-1131-355</t>
  </si>
  <si>
    <t xml:space="preserve">  - P01 BRCD TTKD BTE thanh toán khen thưởng cá nhân PT Mytv mới trên Fiber hiện hữu T3.2024, VB 894/NSTH 19.04.204 qua Ví Pay-Theo danh sách kèm. Nguồn NV Quỹ Khen thưởng, CTV Chi phí hoa hồng ( CTV qua đối tác 460.000)</t>
  </si>
  <si>
    <t>KT2-1131-356</t>
  </si>
  <si>
    <t xml:space="preserve">  - P01 DIDONG TTKD BTE thanh toán khen thưởng cá nhân đổi sim 4G T3.2024, VB 893/NSTH 19.04.204 qua Ví Pay-Theo danh sách kèm. Nguồn NV Quỹ Khen thưởng, CTV Chi phí hoa hồng CTV qua đối tác 2.205.000</t>
  </si>
  <si>
    <t>KT2-1131-363</t>
  </si>
  <si>
    <t xml:space="preserve">  - P01 DIDONG-PL1-TTKD BTE thanh toán khen thưởng cá nhân chương trình tổng lực ra quân bán hàng ngày 19, 20/02/2024, VB 929/nsth 23.04.2024, qua Ví VNPT Pay, Theo ds đính kèm,. Nguồn NV Quỹ khen thưởng, CTV cp hoa hồng ( CTV qua đối tác 9.715.000)</t>
  </si>
  <si>
    <t>KT2-1131-364</t>
  </si>
  <si>
    <t xml:space="preserve">  - P01 BRCD-PL2-TTKD BTE thanh toán khen thưởng cá nhân chương trình tổng lực ra quân bán hàng ngày 19, 20/02/2024, VB 929/nsth 23.04.2024, qua Ví VNPT Pay, Theo ds đính kèm,. Nguồn NV Quỹ khen thưởng, CTV cp hoa hồng ( CTV qua đối tác 1.780.000)</t>
  </si>
  <si>
    <t>KT2-1131-365</t>
  </si>
  <si>
    <t xml:space="preserve">  - P01 SOHOA-PL3-TTKD BTE thanh toán khen thưởng cá nhân chương trình tổng lực ra quân bán hàng ngày 19, 20/02/2024, VB 929/nsth 23.04.2024, qua Ví VNPT Pay, Theo ds đính kèm,. Nguồn NV Quỹ khen thưởng, CTV cp hoa hồng ( CTV qua đối tác 405.000)</t>
  </si>
  <si>
    <t>KT2-1131-366</t>
  </si>
  <si>
    <t xml:space="preserve">  - P01 -PL4-TTKD BTE thanh toán khen thưởng cá nhân chương trình tổng lực ra quân bán hàng ngày 19, 20/02/2024, VB 929/nsth 23.04.2024, qua Ví VNPT Pay, Theo ds đính kèm,. Nguồn NV Quỹ khen thưởng, CTV cp hoa hồng ( CTV qua đối tác 1.250.000)</t>
  </si>
  <si>
    <t>KT2-1131-368.1</t>
  </si>
  <si>
    <t xml:space="preserve">  - P03 HT THUẾ TNCN- TTKD BTE thanh toán hoa hồng DV CNTT T1-T2-T3.2024-CTV QUA ĐỐI TÁC, CTV HKD, CTV KDKKD, qua Ví VNPT Pay, Theo ds đính kèm,. Trích thuế TNCN 3.974.270 ( CA 27.642.280 , HDDT 1.766.200, BHXH 2.434.400, BLDT 134,000, ELEARNING-LMS 28.5</t>
  </si>
  <si>
    <t>KT2-1131-369.1</t>
  </si>
  <si>
    <t xml:space="preserve">  - P07 HT THUẾ TNCN-TTKD BTE thanh toán hoa hồng DV CNTT T1.2024-CTV KDKKD, qua Ví VNPT Pay Cho Lê Duy Thịnh. Trích thuế TNCN 1.387.888 ( CA 4,637,680, HDDT 250,000, BHXH 721,200, ELEARNING-LMS 2,000,000, IOFFICE 2,640,000, , IPORTAL 2,640,000,  EDU-PHA</t>
  </si>
  <si>
    <t>KT2-1131-370.1</t>
  </si>
  <si>
    <t xml:space="preserve">  - P07 HT THUẾ TNCN-TTKD BTE thanh toán hoa hồng DV CNTT T2.2024-CTV KDKKD, qua Ví VNPT Pay Cho Lê Duy Thịnh. Trích thuế TNCN 1.070.816 ( CA 7,798,960, HDDT 426,800, BHXH 1,262,400, ELEARNING-LMS 1,000,000, IOFFICE 110,000, IPORTAL 110,000)</t>
  </si>
  <si>
    <t>KT2-1131-371.1</t>
  </si>
  <si>
    <t xml:space="preserve">  - P07 HT THUẾ TNCN-TTKD BTE thanh toán hoa hồng DV CNTT T3.2024-CTV KDKKD, qua Ví VNPT Pay Cho Lê Duy Thịnh. Trích thuế TNCN 174.524 ( CA 1.502.040, BHXH 243.200)</t>
  </si>
  <si>
    <t>KT2-1131-372</t>
  </si>
  <si>
    <t xml:space="preserve">  - P08-TTKD BTE thanh toán hoa hồng DV CNTT T1.2024-CTV QUA ĐỐI TÁC, CTV HKD, CTV KDKKD, qua Ví VNPT Pay Cho theo DS đính kèm. Trích thuế TNCN 316.345 ( CA 2,571,200, SMARTCA 185,455, HDDT 320,800, IOFFICE 330,000)</t>
  </si>
  <si>
    <t>KT2-1131-372.1</t>
  </si>
  <si>
    <t xml:space="preserve">  - P08-HT THUẾ TNCN-TTKD BTE thanh toán hoa hồng DV CNTT T1.2024-CTV QUA ĐỐI TÁC, CTV HKD, CTV KDKKD, qua Ví VNPT Pay Cho theo DS đính kèm. Trích thuế TNCN 316.345 ( CA 2,571,200, SMARTCA 185,455, HDDT 320,800, IOFFICE 330,000)</t>
  </si>
  <si>
    <t>KT2-1131-373.1</t>
  </si>
  <si>
    <t xml:space="preserve">  - P08-HT THUẾ TNCN-TTKD BTE thanh toán hoa hồng DV CNTT T2.2024-CTV QUA ĐỐI TÁC, CTV HKD, CTV KDKKD, qua Ví VNPT Pay Cho theo DS đính kèm. Trích thuế TNCN 594.060 ( CA 4,006,400, , BHXH 385,200, ELEARNING-LMS 1,000,000, HSS 4,336,200)</t>
  </si>
  <si>
    <t>KT2-1131-374.1</t>
  </si>
  <si>
    <t xml:space="preserve">  - P08-HT THUẾ TNCN-TTKD BTE thanh toán hoa hồng DV CNTT T3.2024- CTV HKD, CTV KDKKD, qua Ví VNPT Pay Cho theo DS đính kèm. Trích thuế TNCN 33.750 ( CA 154.000, HDDT 183.500)</t>
  </si>
  <si>
    <t>KT2-1131-376</t>
  </si>
  <si>
    <t xml:space="preserve">  - TTKD BTE thanh toán kiêm nhiệm quản lý cước T03.2024 PBH Thạnh Phú cho Trúc Phương, Mai Thuỳ, VB 925/NSTH 23.04.2024-Qua Ví VNPT Pay -Theo danh sách kèm.</t>
  </si>
  <si>
    <t>KT2-1131-376.1</t>
  </si>
  <si>
    <t xml:space="preserve">  - P01 HT Lương T3.2024-CTV qua đối tác -Theo bảng lương từ NSTH-bổ sung Đào Thị Vỏi</t>
  </si>
  <si>
    <t>KT2-1131-378.1</t>
  </si>
  <si>
    <t xml:space="preserve">  - P04 HT THUẾ TNCN-TTKD BTE thanh toán hoa hồng PTTB T3.2024-CTV thu cước, Hộ KD qua Ví VNPT Pay , Theo danh sách đính kèm, Trích thuế TNCN 560.281</t>
  </si>
  <si>
    <t>KT2-1131-380.1</t>
  </si>
  <si>
    <t xml:space="preserve">  - P07 HT THUẾ TNCN-TTKD BTE thanh toán hoa hồng PTTB T3.2024-CTV thu cước, CTV KDKKD qua Ví VNPT Pay , Theo danh sách đính kèm, Trích thuế TNCN 671.030</t>
  </si>
  <si>
    <t>KT2-1131-381.1</t>
  </si>
  <si>
    <t xml:space="preserve">  - P09 HT THUẾ TNCN-TTKD BTE thanh toán hoa hồng DV CNTT T1.2024-CTV HỘ KD qua Ví VNPT Pay, cho Đào Thị Thanh Mai, Trích thuế TNCN 1.012.376 ( CA 2,299,800, SMARTCA 286,364, HDDT 250,000, BHXH 418,000, BLDT 200,000, IOFFICE 330,000, HSS 394,200, HOINGHI</t>
  </si>
  <si>
    <t>KT2-1131-382.1</t>
  </si>
  <si>
    <t xml:space="preserve">  - P09 HT THUẾ TNCN-TTKD BTE thanh toán hoa hồng DV CNTT T1.2024-CTV HỘ KD qua Ví VNPT Pay, cho lê Thị Kim Cương, Trích thuế TNCN 101.070 ( CA 19.800, HOINGHITRUYENHINH 990.900 )</t>
  </si>
  <si>
    <t>KT2-1131-383.1</t>
  </si>
  <si>
    <t xml:space="preserve">  - P09 HT THUẾ TNCN-TTKD BTE thanh toán hoa hồng DV CNTT T2.2024-CTV HỘ KD qua Ví VNPT Pay, cho Đào Thị Thanh Mai, Trích thuế TNCN 15.400 ( CA 154.000)</t>
  </si>
  <si>
    <t>KT2-1131-384.1</t>
  </si>
  <si>
    <t xml:space="preserve">  - P09 HT THUẾ TNCN-TTKD BTE thanh toán hoa hồng DV CNTT T3.2024-CTV HỘ KD qua Ví VNPT Pay, cho lê Thị Kim Cương, Trích thuế TNCN 553.440 ( CA 5.534.400)</t>
  </si>
  <si>
    <t>KT2-1131-389</t>
  </si>
  <si>
    <t xml:space="preserve">  - P01 TTKD BTE thanh toán khen thưởng cá nhân bán hàng tổng lực bán hàng DI ĐỘNG 07, 08/03/2024, VB 928/NSTH 23.04.2024-qua Ví VNPT Pay, Theo ds kèm, Nguồn NV Quỹ khen thưởng TTKD, CTV CP hoa hồng ( CTV qua đối tác 2.924.000)</t>
  </si>
  <si>
    <t>KT2-1131-390.1</t>
  </si>
  <si>
    <t xml:space="preserve">  - P02 HT THUẾ TNCN-TTKD BTE thanh toán hoa hồng DV CNTT T1 T2.2024-CTV hộ KD cho Phạm Thị Hậu, Qua Ví VNPT Pay, Trích Thuế TNCN 233.000 ( BLDT 2,000,000, IOFFICE 110,000, IPORTAL 220,000)</t>
  </si>
  <si>
    <t>DANH SÁCH CÁ NHÂN ĐƯỢC KHEN THƯỞNG  DỊCH VỤ DI ĐỘNG</t>
  </si>
  <si>
    <t>(Kèm theo Quyết định số:792/QĐ-TTKD BTre – NSTH ngày 06/4/2024)</t>
  </si>
  <si>
    <t>Đơn vị</t>
  </si>
  <si>
    <t>Mức khen thưởng (đồng)</t>
  </si>
  <si>
    <t>Ghi Chú</t>
  </si>
  <si>
    <t>Ngô Thành Thuận</t>
  </si>
  <si>
    <t>BDI</t>
  </si>
  <si>
    <t>Hồ Thị Hồng Huế</t>
  </si>
  <si>
    <t>Nguyễn Xuân Đoàn</t>
  </si>
  <si>
    <t>Lê Quốc Hưng</t>
  </si>
  <si>
    <t>Trần Văn Châu</t>
  </si>
  <si>
    <t>Trần Minh Tâm</t>
  </si>
  <si>
    <t>BTI</t>
  </si>
  <si>
    <t>Trần Thanh Vũ</t>
  </si>
  <si>
    <t>Đào Thị Vỏi</t>
  </si>
  <si>
    <t>Nguyễn Tấn Đạt</t>
  </si>
  <si>
    <t>CLH</t>
  </si>
  <si>
    <t>Nguyễn Văn Bé Út</t>
  </si>
  <si>
    <t>Phạm Văn Dũng Em</t>
  </si>
  <si>
    <t>CTH</t>
  </si>
  <si>
    <t>GTM</t>
  </si>
  <si>
    <t>Võ Văn Nhân</t>
  </si>
  <si>
    <t>Nguyễn Tiến Hữu</t>
  </si>
  <si>
    <t>MCY</t>
  </si>
  <si>
    <t>Trịnh Minh Dương</t>
  </si>
  <si>
    <t>Trần Văn Khải</t>
  </si>
  <si>
    <t>Trịnh Văn Nguyên</t>
  </si>
  <si>
    <t>Nguyễn Hoàng Việt</t>
  </si>
  <si>
    <t>Đỗ Minh Đạt</t>
  </si>
  <si>
    <t>Lê Văn Bảo Anh</t>
  </si>
  <si>
    <t>Tưởng Mộng Thùy</t>
  </si>
  <si>
    <t>Online</t>
  </si>
  <si>
    <t>Nguyễn Thị Đằng Giao</t>
  </si>
  <si>
    <t>Nguyễn Thị Kim Hồng</t>
  </si>
  <si>
    <t>Nguyễn Thị Ngọc Hân</t>
  </si>
  <si>
    <t>Lê Thị Kiều Trinh</t>
  </si>
  <si>
    <t>Nguyễn Phạm Bảo Châu</t>
  </si>
  <si>
    <t>Nguyễn Thị Yến Trinh</t>
  </si>
  <si>
    <t>TPO</t>
  </si>
  <si>
    <t>Huỳnh Thị Lan Hương</t>
  </si>
  <si>
    <t>Phạm Văn Thanh</t>
  </si>
  <si>
    <t>Đoàn Chí Công</t>
  </si>
  <si>
    <t>Nguyễn Vũ Phương</t>
  </si>
  <si>
    <t>Đoàn Trung Hiếu</t>
  </si>
  <si>
    <t>TPU</t>
  </si>
  <si>
    <t>Trần Quang Phú</t>
  </si>
  <si>
    <t>Tổng</t>
  </si>
  <si>
    <t>Số tiền bằng chữ: Bảy triệu một trăm sáu mươi tám ngàn đồng./.</t>
  </si>
  <si>
    <t>PHỤ LỤC 2</t>
  </si>
  <si>
    <t>DANH SÁCH CÁ NHÂN ĐƯỢC KHEN THƯỞNG  DỊCH VỤ BRCĐ</t>
  </si>
  <si>
    <t>(Kèm theo Quyết định số: 792/QĐ-TTKD BTre – NSTH ngày 06/4/2024)</t>
  </si>
  <si>
    <t>Phạm Thị Hồng Phúc</t>
  </si>
  <si>
    <t>Mai Hoàng Vũ</t>
  </si>
  <si>
    <t>Huỳnh Minh Tâm</t>
  </si>
  <si>
    <t>Nguyễn Xuân Bách</t>
  </si>
  <si>
    <t>Nguyễn Minh Bằng</t>
  </si>
  <si>
    <t>Đặng Hữu Khánh</t>
  </si>
  <si>
    <t>Nguyễn Ngọc Triều</t>
  </si>
  <si>
    <t>Trần An Tựu</t>
  </si>
  <si>
    <t>Nguyễn Thanh Tùng</t>
  </si>
  <si>
    <t>Trần Thị Phượng Linh</t>
  </si>
  <si>
    <t>Nguyễn Văn Cường</t>
  </si>
  <si>
    <t>Nguyễn Văn Huyền Em</t>
  </si>
  <si>
    <t>Lê Khắc Tiến</t>
  </si>
  <si>
    <t>Lê Phạm Bích Quyên</t>
  </si>
  <si>
    <t>Số tiền bằng chữ: Ba triệu năm trăm mười ngàn đồng chẳn./.</t>
  </si>
  <si>
    <t>PHỤ LỤC 3</t>
  </si>
  <si>
    <t xml:space="preserve"> </t>
  </si>
  <si>
    <t xml:space="preserve">DANH SÁCH CÁ NHÂN XUẤT SẮC ĐƯỢC KHEN THƯỞNG </t>
  </si>
  <si>
    <t>Ghi chú</t>
  </si>
  <si>
    <t>Giải 1</t>
  </si>
  <si>
    <t>Giải 2</t>
  </si>
  <si>
    <t>Giải 3</t>
  </si>
  <si>
    <t>Số tiền bằng chữ: Tám trăm ngàn đồng./.</t>
  </si>
  <si>
    <t>PHỤ LỤC 4</t>
  </si>
  <si>
    <t xml:space="preserve">DANH SÁCH TẬP THỄ ĐƯỢC KHEN THƯỞNG </t>
  </si>
  <si>
    <t>Phòng bán hàng Mỏ Cày</t>
  </si>
  <si>
    <t>1.000.000</t>
  </si>
  <si>
    <t>Phòng bán hàng Châu Thành</t>
  </si>
  <si>
    <t>Phòng bán hàng Giồng trôm</t>
  </si>
  <si>
    <t>3.000.000</t>
  </si>
  <si>
    <t>Số tiền bằng chữ: Ba triệu đồng./.</t>
  </si>
  <si>
    <t xml:space="preserve">DANH SÁCH CÁ NHÂN ĐƯỢC KHEN THƯỞNG  </t>
  </si>
  <si>
    <t>(Kèm theo Quyết định số:795/QĐ-TTKD BTre – NSTH ngày 06/4/2024)</t>
  </si>
  <si>
    <t xml:space="preserve">               1.200.000 </t>
  </si>
  <si>
    <t>Nguyễn Hoàng Độ</t>
  </si>
  <si>
    <t>Nguyễn Tiến Trọng</t>
  </si>
  <si>
    <t>BĐI</t>
  </si>
  <si>
    <t xml:space="preserve">               2.850.000 </t>
  </si>
  <si>
    <t xml:space="preserve">               1.800.000 </t>
  </si>
  <si>
    <t xml:space="preserve">               1.650.000 </t>
  </si>
  <si>
    <t>Nguyễn Hiệp Đoàn</t>
  </si>
  <si>
    <t>Nguyễn Thanh Hòa</t>
  </si>
  <si>
    <t>Lê Chí Răng</t>
  </si>
  <si>
    <t xml:space="preserve">               1.050.000 </t>
  </si>
  <si>
    <t>Đỗ Lê Trung Hậu</t>
  </si>
  <si>
    <t xml:space="preserve">               1.950.000 </t>
  </si>
  <si>
    <t>Đỗ Thành Vinh</t>
  </si>
  <si>
    <t>Phan Thanh Hải</t>
  </si>
  <si>
    <t xml:space="preserve">               1.500.000 </t>
  </si>
  <si>
    <t>Võ Hoàng Thương</t>
  </si>
  <si>
    <t>Lê Tấn Lộc</t>
  </si>
  <si>
    <t>Nguyễn Thị Huỳnh</t>
  </si>
  <si>
    <t xml:space="preserve">               1.350.000 </t>
  </si>
  <si>
    <t>Nguyễn Văn Phúc</t>
  </si>
  <si>
    <t>KHTCDN</t>
  </si>
  <si>
    <t>45.750,000</t>
  </si>
  <si>
    <t>Số tiền bằng chữ: Bốn mươi lăm triệ</t>
  </si>
  <si>
    <t>(Kèm theo Quyết định số: 841/QĐ-TTKD BTre – NSTH ngày10 /4/2024)</t>
  </si>
  <si>
    <t>CNV (a)</t>
  </si>
  <si>
    <t>CTV(b)</t>
  </si>
  <si>
    <t>Lê Thanh Phúc</t>
  </si>
  <si>
    <t>Lê Văn Quyền</t>
  </si>
  <si>
    <t>Võ Hoàng Le</t>
  </si>
  <si>
    <t>La Uyển Oanh</t>
  </si>
  <si>
    <t>Mai Thị Ngọc</t>
  </si>
  <si>
    <t>KDOL</t>
  </si>
  <si>
    <t>Phạm Thị Thanh Tâm</t>
  </si>
  <si>
    <t>Nguyễn Thị Mộng Nghi</t>
  </si>
  <si>
    <t>Nguyễn Ngọc Châu</t>
  </si>
  <si>
    <t>Trương Thị Chi</t>
  </si>
  <si>
    <t>Phan Thị Thùy Trang</t>
  </si>
  <si>
    <t>Lê Thị Mỹ Tuyền</t>
  </si>
  <si>
    <t>Tổng a+b</t>
  </si>
  <si>
    <t>Số tiền bằng chữ: Hai mươi tám triệu một trăm bốn mươi bảy ngàn đồng chẳn./.</t>
  </si>
  <si>
    <t>Phan Thanh Tần</t>
  </si>
  <si>
    <t>KHDN</t>
  </si>
  <si>
    <t>Lâm Vĩnh Phước</t>
  </si>
  <si>
    <t xml:space="preserve">Tổng </t>
  </si>
  <si>
    <t>PHỤ LỤC 5</t>
  </si>
  <si>
    <t>(Kèm theo Quyết định số: 841/QĐ-TTKD BTre – NSTH ngày 10/02/2024)</t>
  </si>
  <si>
    <t>1.350.000</t>
  </si>
  <si>
    <t>1.415.000</t>
  </si>
  <si>
    <t>2.765.000</t>
  </si>
  <si>
    <t>Số tiền bằng chữ: Hai triệu bảy trăm sáu mươi lăm ngàn đồng chẳn./.</t>
  </si>
  <si>
    <t>Lê Duy Thịnh</t>
  </si>
  <si>
    <t xml:space="preserve">DANH SÁCH CÁ NHÂN ĐƯỢC KHEN THƯỞNG </t>
  </si>
  <si>
    <t>(Kèm theo Quyết định số:840/QĐ-TTKD BTre – NSTH ngày 10/4/2024)</t>
  </si>
  <si>
    <t>Lê Văn Kiếm</t>
  </si>
  <si>
    <t>KT-CLB</t>
  </si>
  <si>
    <t>Nguyễn Hoàng Nam 81</t>
  </si>
  <si>
    <t>Nguyễn Hoàng Nam 78</t>
  </si>
  <si>
    <t>Lê Hoàng Phong</t>
  </si>
  <si>
    <t>KT-CT-BD</t>
  </si>
  <si>
    <t>KTKH</t>
  </si>
  <si>
    <t>Võ Thị Ngọc</t>
  </si>
  <si>
    <t>Huỳnh Văn Thắng</t>
  </si>
  <si>
    <t>Trần Thị Minh Tâm</t>
  </si>
  <si>
    <t>Nguyễn Văn Mỹ</t>
  </si>
  <si>
    <t>Phạm Thị Ráng</t>
  </si>
  <si>
    <t>Phạm Ngọc Thạch</t>
  </si>
  <si>
    <t>Ngô Thị Hồng Loan</t>
  </si>
  <si>
    <t>Nguyễn Thị Tuyết</t>
  </si>
  <si>
    <t>Hồ Thị Phương Thanh</t>
  </si>
  <si>
    <t>Cao Hoài Đức</t>
  </si>
  <si>
    <t>Nguyễn Thị Tuyết Trân</t>
  </si>
  <si>
    <t>Nguyễn Thị Hồng Nhung</t>
  </si>
  <si>
    <t>Nguyễn Văn Đạt</t>
  </si>
  <si>
    <t>Hồ Thanh Khương</t>
  </si>
  <si>
    <t>Lý Nhật Tường</t>
  </si>
  <si>
    <t>Nguyễn Thị Trúc Hà</t>
  </si>
  <si>
    <t>Nguyễn Hồng Hải</t>
  </si>
  <si>
    <t>Trần Hoàng Nam</t>
  </si>
  <si>
    <t>Trần Út Tâm</t>
  </si>
  <si>
    <t>Nguyễn Hương Giang</t>
  </si>
  <si>
    <t>Nguyễn Di Linh</t>
  </si>
  <si>
    <t>Lê Anh Minh</t>
  </si>
  <si>
    <t>Lê Minh Hào</t>
  </si>
  <si>
    <t>Phan Vân Trường An</t>
  </si>
  <si>
    <t>Trần Thị Thâm</t>
  </si>
  <si>
    <t>Phan Mỹ Phụng</t>
  </si>
  <si>
    <t>Lê Văn Trạch</t>
  </si>
  <si>
    <t>Nguyễn Thị Duy Linh</t>
  </si>
  <si>
    <t>Văn Thị Dung</t>
  </si>
  <si>
    <t>Nguyễn Thị Thủy</t>
  </si>
  <si>
    <t>Huỳnh Thị Hồng Nhung</t>
  </si>
  <si>
    <t>Châu Thị Thúy Ái</t>
  </si>
  <si>
    <t>Nguyễn Thị Vẹn</t>
  </si>
  <si>
    <t>Đinh Văn Thi</t>
  </si>
  <si>
    <t>Nguyễn Văn Đoàn</t>
  </si>
  <si>
    <t>Lê Thanh Xuân</t>
  </si>
  <si>
    <t>Nguyễn Thị Thanh Hiền</t>
  </si>
  <si>
    <t>Võ Thị Mỹ Linh</t>
  </si>
  <si>
    <t>Bùi Thị Thủy</t>
  </si>
  <si>
    <t>Võ Thị Tuyết vân</t>
  </si>
  <si>
    <t>Nguyễn Thị Kim Liên</t>
  </si>
  <si>
    <t>Bùi Thị Phương Hạnh</t>
  </si>
  <si>
    <t>Nguyễn Thị Tám</t>
  </si>
  <si>
    <t>Bùi Thị Nga</t>
  </si>
  <si>
    <t>Võ Thị Bé Thủy</t>
  </si>
  <si>
    <t>Huỳnh Nhựt Quang</t>
  </si>
  <si>
    <t>Trần Thị Kim Liên</t>
  </si>
  <si>
    <t>Trần Thanh Tú</t>
  </si>
  <si>
    <t>Đào Hữu Nghĩa</t>
  </si>
  <si>
    <r>
      <t>Số tiền bằng chữ: Mười một triệu không trăm mươi lăm ngàn</t>
    </r>
    <r>
      <rPr>
        <i/>
        <sz val="11"/>
        <color indexed="8"/>
        <rFont val="Times New Roman"/>
        <family val="1"/>
      </rPr>
      <t xml:space="preserve"> đồng chẳn./.</t>
    </r>
  </si>
  <si>
    <t>(Kèm theo Quyết định số:839/QĐ-TTKD BTre – NSTH ngày 10/4/2024)</t>
  </si>
  <si>
    <t>Số tiền bằng chữ:Bảy trăm ngàn đồng chẳn./.</t>
  </si>
  <si>
    <t>(Kèm theo Quyết định số:817/QĐ-TTKD BTre – NSTH ngày 09/4/2024)</t>
  </si>
  <si>
    <t>CNV(a)</t>
  </si>
  <si>
    <t>CTV (b)</t>
  </si>
  <si>
    <t xml:space="preserve">                            </t>
  </si>
  <si>
    <t>Hồ Thanh Tuyền</t>
  </si>
  <si>
    <t xml:space="preserve">                              </t>
  </si>
  <si>
    <t>Tổng  (a+b)</t>
  </si>
  <si>
    <t>Số tiền bằng chữ: Mười triệu sáu trăm ngàn đồng./.</t>
  </si>
  <si>
    <t>(Kèm theo Quyết định số:817/QĐ-TTKD BTre - NSTH ngày 09/4/2024)</t>
  </si>
  <si>
    <t>Phòng bán hàng Thạnh Phú</t>
  </si>
  <si>
    <t>Phòng bán hàng Giồng Trôm</t>
  </si>
  <si>
    <t>(Kèm theo Quyết định số 894/QĐ-TTKD BTre – NSTH ngày 19/4/2024)</t>
  </si>
  <si>
    <t>KT(c)</t>
  </si>
  <si>
    <t>Huỳnh Thái Dương</t>
  </si>
  <si>
    <t>KT</t>
  </si>
  <si>
    <t>Nguyễn Chí Thanh</t>
  </si>
  <si>
    <t>Lê Văn Tiến</t>
  </si>
  <si>
    <t>Lê Minh Tâm</t>
  </si>
  <si>
    <t>Phạm Đức Xuyên</t>
  </si>
  <si>
    <t>Bùi Khắc Tính</t>
  </si>
  <si>
    <t>Nguyễn Hoàng Thiện</t>
  </si>
  <si>
    <t>Mai Hồng Phước</t>
  </si>
  <si>
    <t>Lê Tuấn Khanh</t>
  </si>
  <si>
    <t>Phan Quốc Cường</t>
  </si>
  <si>
    <t>Võ Khánh Toàn</t>
  </si>
  <si>
    <t>Trần Văn Thành Em</t>
  </si>
  <si>
    <t>Võ Hoàng Chương</t>
  </si>
  <si>
    <t>Lê Chí Công</t>
  </si>
  <si>
    <t>Nguyễn Thanh Ngoan</t>
  </si>
  <si>
    <t>Trần Thái Hoàng Anh</t>
  </si>
  <si>
    <t>Nguyễn Văn Bình</t>
  </si>
  <si>
    <t>Nguyễn Thanh Thắng</t>
  </si>
  <si>
    <t>Mai Nhật Trường</t>
  </si>
  <si>
    <t>Nguyễn Văn Hùng</t>
  </si>
  <si>
    <t>Đoàn Văn Sắc</t>
  </si>
  <si>
    <t>Trịnh Văn Minh Hải</t>
  </si>
  <si>
    <t>Trần Hải Đăng</t>
  </si>
  <si>
    <t>Tổng  (a+b+c)</t>
  </si>
  <si>
    <t xml:space="preserve">Số tiền bằng chữ: Một triệu bốn trăm tám mươi ngàn </t>
  </si>
  <si>
    <t>(Kèm theo Quyết định số 893/QĐ-TTKD BTre – NSTH ngày 19/4/2024)</t>
  </si>
  <si>
    <t>Số tiền bằng chữ: Hai triệu ba trăm năm mươi lăm ngàn đồng./.</t>
  </si>
  <si>
    <t>PHỤ LỤC 1</t>
  </si>
  <si>
    <t>(Kèm theo Quyết định số: 929/QĐ-TTKD BTre – NSTH ngày 23/4/2024)</t>
  </si>
  <si>
    <t>Phạm Minh Quí</t>
  </si>
  <si>
    <t>LÊ KHÁNH DUY</t>
  </si>
  <si>
    <t>Huỳnh Thị Việt Nhân</t>
  </si>
  <si>
    <t>Ngô Minh Kiệt</t>
  </si>
  <si>
    <t>KT TPO</t>
  </si>
  <si>
    <t>Số tiền bằng chữ: Mười lăm triệu năm trăm hai mươi bốn ngàn đồng./.</t>
  </si>
  <si>
    <t>Lê Thanh Tú</t>
  </si>
  <si>
    <t>Số tiền bằng chữ: Ba triệu chín trăm ba mươi ngàn đồng chẳn./.</t>
  </si>
  <si>
    <t>DANH SÁCH CÁ NHÂN ĐƯỢC KHEN THƯỞNG  DỊCH VỤ SỐ HÓA</t>
  </si>
  <si>
    <t>Hồ Thanh Hải</t>
  </si>
  <si>
    <t>KTTPO</t>
  </si>
  <si>
    <t>KTCLM</t>
  </si>
  <si>
    <t>Số tiền bằng chữ:Năm trăm sáu mươi bốn ngàn đồng chẳn./.</t>
  </si>
  <si>
    <t>(Kèm theo Quyết định số:929/QĐ-TTKD BTre – NSTH ngày 23/4/2024)</t>
  </si>
  <si>
    <t>KK</t>
  </si>
  <si>
    <t>1.250.000</t>
  </si>
  <si>
    <t>Số tiền bằng chữ: Một triệu hai trăm năm mươi ngàn đồng./.</t>
  </si>
  <si>
    <t xml:space="preserve">PHỤ LỤC 5 </t>
  </si>
  <si>
    <t>Phòng bán hàng Thành Phố</t>
  </si>
  <si>
    <t>1.500.000</t>
  </si>
  <si>
    <t>Phòng bán hàng Bình Đại</t>
  </si>
  <si>
    <t>5.250.000</t>
  </si>
  <si>
    <t>Số tiền bằng chữ: Năm triệu hai trăm năm mươi ngàn đồng./.</t>
  </si>
  <si>
    <t>(Kèm theo Quyết định số 928/QĐ-TTKD BTre – NSTH ngày 23/4/2024)</t>
  </si>
  <si>
    <t>Mức thưởng (đồng)</t>
  </si>
  <si>
    <t xml:space="preserve">               </t>
  </si>
  <si>
    <t>Phan Ngọc Hưng</t>
  </si>
  <si>
    <t xml:space="preserve">Số tiền bằng chữ: Năm triệu chín trăm ba mươi hai </t>
  </si>
  <si>
    <t>Tháng: 04/2024</t>
  </si>
  <si>
    <t>HÔ4 trợ</t>
  </si>
  <si>
    <t>x</t>
  </si>
  <si>
    <t>CTV085612</t>
  </si>
  <si>
    <t>hộ sản</t>
  </si>
  <si>
    <t>Hộ sản</t>
  </si>
  <si>
    <t>CÔNG TY CỔ PHẦN NHỮNG TRANG VÀNG VN</t>
  </si>
  <si>
    <t>Hợp đồng số:Hợp đồng số: : 08/HĐTLLĐ TTKD BTE -VNYP ngày 28 tháng 12 năm 2023  ký giữa Công ty Cổ phần những trang vàng Việt Nam và Trung tâm Kinh doanh VNPT - Bến Tre</t>
  </si>
  <si>
    <t xml:space="preserve">Giản trừ gia cảnh </t>
  </si>
  <si>
    <t xml:space="preserve">Thuế TNCN </t>
  </si>
  <si>
    <t>Số người giảm trừ</t>
  </si>
  <si>
    <t>ST giản trừ</t>
  </si>
  <si>
    <t>ST phải tính thuế</t>
  </si>
  <si>
    <t>ST thuế phải nộp</t>
  </si>
  <si>
    <t>7=6*4400000</t>
  </si>
  <si>
    <t>8=3-4-5-7</t>
  </si>
  <si>
    <t>CTV023010</t>
  </si>
  <si>
    <t>Trà Thị Minh Lý</t>
  </si>
  <si>
    <t>CTV055531</t>
  </si>
  <si>
    <t>Nguyễn Thị Thanh Trúc</t>
  </si>
  <si>
    <t>CTV023036</t>
  </si>
  <si>
    <t>Từ Thị Trâm</t>
  </si>
  <si>
    <t>CTV042998</t>
  </si>
  <si>
    <t>Huỳnh Ánh Hồng</t>
  </si>
  <si>
    <t>Phan Thị Quyên</t>
  </si>
  <si>
    <t>CTV038173</t>
  </si>
  <si>
    <t>Ngô Thị Thu Hạnh</t>
  </si>
  <si>
    <t>CTV038174</t>
  </si>
  <si>
    <t>Hồ Thị Nhi</t>
  </si>
  <si>
    <t>Số NPT theo bảng lương T7</t>
  </si>
  <si>
    <t>CN .TP HCM CÔNG TY CỔ PHẦN  NHỮNG TRANG VÀNG VN</t>
  </si>
  <si>
    <t xml:space="preserve"> GIÁM ĐỐC</t>
  </si>
  <si>
    <t>BẢNG THUẾ TNCN- CHO TỪNG CHỨC DANH NHÂN VIÊN TTKD VNPT BẾN TRE THÁNG 4/2024</t>
  </si>
  <si>
    <t>CÔNG TY CỔ PHẦN</t>
  </si>
  <si>
    <t>CỘNG HÒA XÃ HỘI CHỦ NGHĨA VIỆT NAM</t>
  </si>
  <si>
    <t>NHỮNG TRANG VÀNG VIỆT NAM</t>
  </si>
  <si>
    <t>Độc lập – Tự do – Hạnh phúc</t>
  </si>
  <si>
    <t>CHI NHÁNH TP.HỒ CHÍ MINH</t>
  </si>
  <si>
    <r>
      <t>Kính gởi</t>
    </r>
    <r>
      <rPr>
        <b/>
        <sz val="16"/>
        <color indexed="8"/>
        <rFont val="Times New Roman"/>
        <family val="1"/>
      </rPr>
      <t>: TRUNG TÂM KINH DOANH VNPT – BẾN TRE</t>
    </r>
  </si>
  <si>
    <r>
      <t xml:space="preserve">- Căn cứ Hợp đồng thuê lại lao động số: 08/HĐTLLĐ TTKD BTE -VNYP </t>
    </r>
    <r>
      <rPr>
        <sz val="13"/>
        <color indexed="10"/>
        <rFont val="Times New Roman"/>
        <family val="1"/>
      </rPr>
      <t xml:space="preserve">ngày 28/12/2023 </t>
    </r>
    <r>
      <rPr>
        <sz val="13"/>
        <color indexed="8"/>
        <rFont val="Times New Roman"/>
        <family val="1"/>
      </rPr>
      <t xml:space="preserve"> giữa Trung tâm kinh doanh VNPT - Bến Tre và Chi nhánh TP.HCM - Công ty Cổ Phần Những Trang Vàng Việt Nam (VNYP);</t>
    </r>
  </si>
  <si>
    <t>Số lượng lao động</t>
  </si>
  <si>
    <t>Các khoản phụ cấp không tính thuế TNCN</t>
  </si>
  <si>
    <t>BHXH - BHYT - BHTN 10.5%</t>
  </si>
  <si>
    <t>BHXH - BHYT - BHTN 21,5%</t>
  </si>
  <si>
    <t xml:space="preserve">Tổng thu nhập của người lao động </t>
  </si>
  <si>
    <t>KPCĐ 2%</t>
  </si>
  <si>
    <t>Phí 
quản lý</t>
  </si>
  <si>
    <t>Thuế TNCN tạm trích (nếu có)</t>
  </si>
  <si>
    <t xml:space="preserve">Cộng </t>
  </si>
  <si>
    <t>VAT 8%</t>
  </si>
  <si>
    <t>Giảm trừ 2% KPCĐ</t>
  </si>
  <si>
    <t>Giảm trừ 1% CĐP</t>
  </si>
  <si>
    <t>Giảm trừ thù lao CK cho NLĐ</t>
  </si>
  <si>
    <t xml:space="preserve">-  TTKD VNPT Bến Tre chi trả hộ thu nhập + 10.5% BH cho người lao động số tiền: </t>
  </si>
  <si>
    <t>- 32 % phí bảo hiềm bắt buộc:</t>
  </si>
  <si>
    <r>
      <rPr>
        <sz val="13"/>
        <color indexed="8"/>
        <rFont val="Times New Roman"/>
        <family val="1"/>
      </rPr>
      <t xml:space="preserve">- Số tiền thuế VAT: </t>
    </r>
  </si>
  <si>
    <t xml:space="preserve">Đơn vị nhận tiền: Chi nhánh TP. Hồ Chí Minh - Công ty cổ phần những trang vàng Việt Nam </t>
  </si>
  <si>
    <r>
      <t xml:space="preserve">Số tài khoản :   </t>
    </r>
    <r>
      <rPr>
        <b/>
        <sz val="13"/>
        <rFont val="Times New Roman"/>
        <family val="1"/>
      </rPr>
      <t>6420201013507</t>
    </r>
  </si>
  <si>
    <r>
      <t xml:space="preserve">Ngân hàng :     </t>
    </r>
    <r>
      <rPr>
        <b/>
        <sz val="13"/>
        <rFont val="Times New Roman"/>
        <family val="1"/>
      </rPr>
      <t xml:space="preserve"> AGRIBANK  – CN 10</t>
    </r>
  </si>
  <si>
    <t>Kính mong Trung tâm kinh doanh VNPT - Bến Tre  thực hiện thanh toán sớm để Chi nhánh TP.HCM - Công ty Cổ Phần Những Trang Vàng Việt Nam (VNYP) thực hiện nộp các khoản BHBB cho người lao động đúng quy định của hợp đồng.</t>
  </si>
  <si>
    <t>Trân trọng.</t>
  </si>
  <si>
    <t>KT.GIÁM ĐỐC</t>
  </si>
  <si>
    <r>
      <rPr>
        <b/>
        <i/>
        <u/>
        <sz val="13"/>
        <color indexed="8"/>
        <rFont val="Times New Roman"/>
        <family val="1"/>
      </rPr>
      <t>Nơi nhận</t>
    </r>
    <r>
      <rPr>
        <b/>
        <i/>
        <sz val="13"/>
        <color indexed="8"/>
        <rFont val="Times New Roman"/>
        <family val="1"/>
      </rPr>
      <t>:</t>
    </r>
  </si>
  <si>
    <t>PHÓ GIÁM ĐỐC</t>
  </si>
  <si>
    <t>-  Như trên</t>
  </si>
  <si>
    <t>-  KT CN, Lưu TH CN</t>
  </si>
  <si>
    <t>Đỗ Lương Ngọc</t>
  </si>
  <si>
    <t>TP. Hồ Chí Minh, ngày 22  tháng 05 năm 2024</t>
  </si>
  <si>
    <t xml:space="preserve">  Số:  282/VNYP HCM/2024</t>
  </si>
  <si>
    <t>V/v: Đề nghị thanh toán chi phí thuê lao động tháng 04 năm 2024</t>
  </si>
  <si>
    <t>- Căn cứ Bảng tính chi phí trả người lao động tháng 4 năm 2024.</t>
  </si>
  <si>
    <t>- Căn cứ điều 3 “Phí dịch vụ thuê lại lao động và phương thức thanh toán” của hợp đồng này, Chi nhánh TP. Hồ Chí Minh - Công ty cổ phần những trang vàng Việt Nam đề nghị TTKD VNPT - Bến Tre  thanh toán các khoản tiền phát sinh tháng 4 năm 2024, cụ thể như sau:</t>
  </si>
  <si>
    <t>Tháng 4</t>
  </si>
  <si>
    <t>Tổng số tiền dịch vụ phát sinh tháng 4/2024:(đồng)</t>
  </si>
  <si>
    <r>
      <rPr>
        <sz val="13"/>
        <rFont val="Times New Roman"/>
        <family val="1"/>
      </rPr>
      <t xml:space="preserve">Theo bảng đối soát </t>
    </r>
    <r>
      <rPr>
        <b/>
        <sz val="13"/>
        <rFont val="Times New Roman"/>
        <family val="1"/>
      </rPr>
      <t>tháng</t>
    </r>
    <r>
      <rPr>
        <b/>
        <sz val="13"/>
        <color indexed="10"/>
        <rFont val="Times New Roman"/>
        <family val="1"/>
      </rPr>
      <t xml:space="preserve"> 4 </t>
    </r>
    <r>
      <rPr>
        <b/>
        <sz val="13"/>
        <rFont val="Times New Roman"/>
        <family val="1"/>
      </rPr>
      <t>năm 2024</t>
    </r>
    <r>
      <rPr>
        <sz val="13"/>
        <rFont val="Times New Roman"/>
        <family val="1"/>
      </rPr>
      <t>, (đơn vị tính: đồng)</t>
    </r>
  </si>
  <si>
    <r>
      <t>Ø</t>
    </r>
    <r>
      <rPr>
        <b/>
        <sz val="13"/>
        <color indexed="8"/>
        <rFont val="Times New Roman"/>
        <family val="1"/>
      </rPr>
      <t> Số tiền TTKD VNPT Bến Tre thanh toán cho VNYP tháng 4/2024 là: 32 % BH + Phí quản lý + VAT + Thuế TNCN tạm trích (nếu có)</t>
    </r>
  </si>
  <si>
    <t>VNYP đã xuất hóa đơn số 1C24TYP  00000         ngày 22/05/ 2024 số tiền là: 982,429,224 đồng; Số tiền bằng chữ: Chín trăm tám mươi hai triệu bốn trăm hai mươi chín nghìn hai trăm hai mươi bốn đồng.</t>
  </si>
  <si>
    <t>Số tiền bằng chữ: Một trăm chín mươi bốn triệu hai trăm bốn mươi lăm nghìn hai trăm hai mươi bảy đồng.</t>
  </si>
  <si>
    <t>SDDD</t>
  </si>
  <si>
    <t>SBCDINT</t>
  </si>
  <si>
    <t>SBCDITT</t>
  </si>
  <si>
    <t>SMTVB2C</t>
  </si>
  <si>
    <t>SDFSUTI</t>
  </si>
  <si>
    <t>SDCD</t>
  </si>
  <si>
    <t>STSL</t>
  </si>
  <si>
    <t>SHTK0A1VNTVNT004</t>
  </si>
  <si>
    <t>SVGT0A1VNTVNT000</t>
  </si>
  <si>
    <t>SVGT99</t>
  </si>
  <si>
    <t>SINF0A1VITVIT001</t>
  </si>
  <si>
    <t>SINF0A2VITDVK007</t>
  </si>
  <si>
    <t>SINF99.99</t>
  </si>
  <si>
    <t>SHIS0A1VITVIT011</t>
  </si>
  <si>
    <t>EDUAB1VITVIT012</t>
  </si>
  <si>
    <t>SBUSAB1VITVIT003</t>
  </si>
  <si>
    <t>SBUS99.99</t>
  </si>
  <si>
    <t>SPVTVID</t>
  </si>
  <si>
    <t>SEDUAB1VITVIT012</t>
  </si>
  <si>
    <t>SDN99</t>
  </si>
  <si>
    <t>SKSK</t>
  </si>
  <si>
    <t>Văn bản chi phí di động</t>
  </si>
  <si>
    <t xml:space="preserve">Tính tỷ lệ theo doanh thu BHXH, BHYT, PHÍ LAO ĐỘNG </t>
  </si>
  <si>
    <r>
      <t>Đ</t>
    </r>
    <r>
      <rPr>
        <b/>
        <u/>
        <sz val="13"/>
        <color indexed="8"/>
        <rFont val="Times New Roman"/>
        <family val="1"/>
      </rPr>
      <t>ộc lập - Tự do - Hạnh phú</t>
    </r>
    <r>
      <rPr>
        <b/>
        <sz val="13"/>
        <color indexed="8"/>
        <rFont val="Times New Roman"/>
        <family val="1"/>
      </rPr>
      <t>c</t>
    </r>
  </si>
  <si>
    <r>
      <t>K</t>
    </r>
    <r>
      <rPr>
        <b/>
        <u/>
        <sz val="13"/>
        <color indexed="8"/>
        <rFont val="Times New Roman"/>
        <family val="1"/>
      </rPr>
      <t>INH DOANH VNPT-BẾN TR</t>
    </r>
    <r>
      <rPr>
        <b/>
        <sz val="13"/>
        <color indexed="8"/>
        <rFont val="Times New Roman"/>
        <family val="1"/>
      </rPr>
      <t>E</t>
    </r>
  </si>
  <si>
    <t>BÁO CÁO DOANH THU VTCNTT GHI NHẬN</t>
  </si>
  <si>
    <t>Kỳ</t>
  </si>
  <si>
    <t>năm</t>
  </si>
  <si>
    <r>
      <t xml:space="preserve">Lưu ý: </t>
    </r>
    <r>
      <rPr>
        <sz val="13"/>
        <color indexed="8"/>
        <rFont val="Times New Roman"/>
        <family val="1"/>
      </rPr>
      <t>doanh thu "Dịch vụ còn lại" năm 2022 không bao gồm "Phí thu tại nhà" do Tập đoàn đưa vào doanh thu SPDV khác</t>
    </r>
    <r>
      <rPr>
        <b/>
        <sz val="13"/>
        <color indexed="8"/>
        <rFont val="Times New Roman"/>
        <family val="1"/>
      </rPr>
      <t>.</t>
    </r>
  </si>
  <si>
    <t>Di động 5917</t>
  </si>
  <si>
    <t>Thoại quốc tế về và Roaming</t>
  </si>
  <si>
    <t>Băng rộng</t>
  </si>
  <si>
    <t>Internet trực tiếp</t>
  </si>
  <si>
    <t>MyTV</t>
  </si>
  <si>
    <t>Tiện ích</t>
  </si>
  <si>
    <t>Cố định</t>
  </si>
  <si>
    <t>Truyền số liệu</t>
  </si>
  <si>
    <t>Hạ tầng</t>
  </si>
  <si>
    <t>SMS brandname</t>
  </si>
  <si>
    <t>Dịch vụ còn lại</t>
  </si>
  <si>
    <t>Hạ tầng số</t>
  </si>
  <si>
    <t>Công nghệ nền tảng</t>
  </si>
  <si>
    <t>An toàn thông tin</t>
  </si>
  <si>
    <t>Chính quyền số</t>
  </si>
  <si>
    <t>Y tế số</t>
  </si>
  <si>
    <t>Giáo dục số</t>
  </si>
  <si>
    <t>Quản trị doanh nghiệp</t>
  </si>
  <si>
    <t>Vận tải và Logistics</t>
  </si>
  <si>
    <t>Du lịch thông minh</t>
  </si>
  <si>
    <t>Nông nghiệp thông minh</t>
  </si>
  <si>
    <t>Phân phối bán lẻ</t>
  </si>
  <si>
    <t>Dự án số Doanh nghiệp khác</t>
  </si>
  <si>
    <t>Thiết bị, giải pháp</t>
  </si>
  <si>
    <t>Tổng doanh thu VT CNTT</t>
  </si>
  <si>
    <t>Di động trả sau</t>
  </si>
  <si>
    <t>Di động trả trước</t>
  </si>
  <si>
    <t>Hòa mạng</t>
  </si>
  <si>
    <t>Colocation</t>
  </si>
  <si>
    <t>Cloud</t>
  </si>
  <si>
    <t>Hạ tầng CNTT còn lại</t>
  </si>
  <si>
    <t>VNPT CA</t>
  </si>
  <si>
    <t>Hóa đơn điện tử (VNPT Invoice)</t>
  </si>
  <si>
    <t>Dịch vụ I-Van (BHXH)</t>
  </si>
  <si>
    <t>Quản trị doanh nghiệp còn lại</t>
  </si>
  <si>
    <t>Thương mại</t>
  </si>
  <si>
    <t>SPDV khác</t>
  </si>
  <si>
    <t>DDD0A1VNTVNT033</t>
  </si>
  <si>
    <t>TQT*</t>
  </si>
  <si>
    <t>BCD*</t>
  </si>
  <si>
    <t>BCD0A1VNTVNT004</t>
  </si>
  <si>
    <t>MTV*</t>
  </si>
  <si>
    <t>PVT*</t>
  </si>
  <si>
    <t>DCD*</t>
  </si>
  <si>
    <t>TSL*</t>
  </si>
  <si>
    <t>HT*</t>
  </si>
  <si>
    <t>VGT0A3VMADVK011</t>
  </si>
  <si>
    <t>VGT*</t>
  </si>
  <si>
    <t>INF0A1VITVIT00101</t>
  </si>
  <si>
    <t>INF0A2VITDVK00401</t>
  </si>
  <si>
    <t>INF*</t>
  </si>
  <si>
    <t>TEC*</t>
  </si>
  <si>
    <t>SEC*</t>
  </si>
  <si>
    <t>GOV*</t>
  </si>
  <si>
    <t>HIS*</t>
  </si>
  <si>
    <t>EDU*</t>
  </si>
  <si>
    <t>BUSAB1VITVIT00301</t>
  </si>
  <si>
    <t>BUSAB1VITVIT00101</t>
  </si>
  <si>
    <t>BUS0A1VITVIT00801</t>
  </si>
  <si>
    <t>BUS*</t>
  </si>
  <si>
    <t>LOS*</t>
  </si>
  <si>
    <t>TRAAB1VITVIT00201</t>
  </si>
  <si>
    <t>AG*</t>
  </si>
  <si>
    <t>RET*</t>
  </si>
  <si>
    <t>TRAAB1VITVIT00202</t>
  </si>
  <si>
    <t>KTM*</t>
  </si>
  <si>
    <t>KSK*03</t>
  </si>
  <si>
    <t>DDD0A1VNTVNT034</t>
  </si>
  <si>
    <t>UTI*</t>
  </si>
  <si>
    <t>VGT0A3VMADVK013</t>
  </si>
  <si>
    <t>VCI</t>
  </si>
  <si>
    <t>INF0A2VITDVK00701</t>
  </si>
  <si>
    <t>BUSAB1VITVIT02501</t>
  </si>
  <si>
    <t>VGT0A3VMADVK010</t>
  </si>
  <si>
    <t>VGTUTI</t>
  </si>
  <si>
    <t>INF0A1VITVIT01201</t>
  </si>
  <si>
    <t>*01</t>
  </si>
  <si>
    <t>VP</t>
  </si>
  <si>
    <t>*02</t>
  </si>
  <si>
    <t>*03</t>
  </si>
  <si>
    <t>*04</t>
  </si>
  <si>
    <t>*05</t>
  </si>
  <si>
    <t>*06</t>
  </si>
  <si>
    <t>*07</t>
  </si>
  <si>
    <t>*08</t>
  </si>
  <si>
    <t>*09</t>
  </si>
  <si>
    <t>*10</t>
  </si>
  <si>
    <t>*11</t>
  </si>
  <si>
    <t>*</t>
  </si>
  <si>
    <t>TTKD</t>
  </si>
  <si>
    <t>% đóng góp</t>
  </si>
  <si>
    <t>CƠ CẤU DOANH THU THEO THÁNG</t>
  </si>
  <si>
    <t>CƠ CẤU DOANH THU LŨY KẾ</t>
  </si>
  <si>
    <t>BẢNG LƯƠNG P1P3 NHÂN TỶ LỆ DOANH THU THỰC HIỆN T4/2024</t>
  </si>
  <si>
    <t>B0205</t>
  </si>
  <si>
    <t>Mã SPDV</t>
  </si>
  <si>
    <t>BUSAB1VITVIT003</t>
  </si>
  <si>
    <t>\</t>
  </si>
  <si>
    <t>SCN99</t>
  </si>
  <si>
    <t>BH</t>
  </si>
  <si>
    <t>công đoàn</t>
  </si>
  <si>
    <t>BHXH, KPCD, PHÍ QL, PHỤ CẤP,</t>
  </si>
  <si>
    <t>Từ ngày 01/05/2024 đến ngày 31/05/2024</t>
  </si>
  <si>
    <t>14/05/2024</t>
  </si>
  <si>
    <t>KT2-1131-399</t>
  </si>
  <si>
    <t xml:space="preserve">  - P04 TTKD BTE thanh toán hoa hồng DV CNTT T1.2024-CTV qua đối tác ( CA 5.310.400, HDDT 286.700, IVAN 336.800, HSS 394.000) cho Phan Thành Hiếu-qua Ví VNPT Pay</t>
  </si>
  <si>
    <t>24/05/2024</t>
  </si>
  <si>
    <t>KT2-1131-454</t>
  </si>
  <si>
    <t xml:space="preserve">  - P06-TTKD BTE thanh toán hoa hồng DV CNTT T3.2024-CTV qua đối tác ( CA 10.656.800, CA CN 737.000, IVAN 418.000, HDDT 791.800). Qua Ví Pay cho Hồ Thanh Liêm</t>
  </si>
  <si>
    <t>KT2-1131-455</t>
  </si>
  <si>
    <t xml:space="preserve">  - P06-TTKD BTE thanh toán hoa hồng DV CNTT T4.2024-CTV qua đối tác ( CA 2.489.600, CA CN 66.000). Qua Ví Pay cho Hồ Thanh Liêm</t>
  </si>
  <si>
    <t>KT2-1131-458</t>
  </si>
  <si>
    <t xml:space="preserve">  - P08-TTKD BTE thanh toán hoa hồng DV CNTT T2.2024-CTV QUA ĐỐI TÁC, CTV HỘ KD. Qua Ví Pay cho Theo danh sách đính kèm. Trích thuế TNCN 1.048.502 ( CA 1.953.080, SMARTCA 81.818, HSS 13.797.000, IVAN 487.200)</t>
  </si>
  <si>
    <t>KT2-1131-459</t>
  </si>
  <si>
    <t xml:space="preserve">  - P08-TTKD BTE thanh toán hoa hồng DV CNTT T3.2024-CTV QUA ĐỐI TÁC, CTV HỘ KD. Qua Ví Pay cho Theo danh sách đính kèm. Trích thuế TNCN 465.688 ( CA 3.660.080, IVAN 628.400, HDDT 1.068.000)</t>
  </si>
  <si>
    <t>KT2-1131-460</t>
  </si>
  <si>
    <t xml:space="preserve">  - P08-TTKD BTE thanh toán hoa hồng DV CNTT T4.2024-CTV QUA ĐỐI TÁC, CTV HỘ KD. Qua Ví Pay cho Theo danh sách đính kèm. Trích thuế TNCN 405.424 ( CA 5.118.240, IVAN 243.200, HDDT 320.800)</t>
  </si>
  <si>
    <t>27/05/2024</t>
  </si>
  <si>
    <t>KT2-1131-479</t>
  </si>
  <si>
    <t xml:space="preserve">  - P03 -TTKD BTE thanh toán hoa hồng DV CNTT T4.2024. CTV QUA ĐỐI TÁC, CTV HỘ KD cho Theo danh sách đính kèm( CA 28,010,360, HDDT 4.147.600, BHXH 3.148.800 , ELEARNING-LMS 10.000.000, IOFFICE 440,000, HSS 394.200 , EDU 330,000).Trích thuế TNCN 1.957.262</t>
  </si>
  <si>
    <t>Ngày 17 tháng 06 năm 2024</t>
  </si>
  <si>
    <t>KT2-1131-403</t>
  </si>
  <si>
    <t xml:space="preserve">  - P01 DIDONG TTKD BTE thanh toán khen thưởng cá nhân phát triển sim thâm canh tháng 03.2024-VB 967/NSTH 26.04.2024-Qua Ví VNPT Pay. Nguồn NV Quỹ khen thưởng, CTV Chi phí hoa hồng ( CTV qua đối tác 1.710.000)</t>
  </si>
  <si>
    <t>KT2-1131-405</t>
  </si>
  <si>
    <t xml:space="preserve">  - P01 DIDONG TTKD BTE thanh toán khen thưởng cá nhân Bán hàng dịch vụ di động và số hoá ngày 09,10 T4.2024-VB 972/NSTH 26.04.2024-Qua Ví VNPT Pay. Nguồn NV Quỹ khen thưởng , CTV chi phí hoa hồng ( CTV qua đối tác 3.100.000)</t>
  </si>
  <si>
    <t>KT2-1131-407</t>
  </si>
  <si>
    <t xml:space="preserve">  - P01 SOHOA -PL3 TTKD BTE thanh toán khen thưởng cá nhân Bán hàng dịch vụ di động và số hoá ngày 09,10 T4.2024-VB 972/NSTH 26.04.2024-Qua Ví VNPT Pay. Nguồn NV Quỹ khen thưởng , CTV chi phí hoa hồng ( CTV qua đối tác 327.000)</t>
  </si>
  <si>
    <t>KT2-1131-409</t>
  </si>
  <si>
    <t xml:space="preserve">  - P01 BRCD- TTKD BTE thanh toán khen thưởng cá nhân chương trình B2A PT mới MYTV, MESH, CAMERA sim thâm canh trên Fiber hiện hữu ngày 02-03.04.2024, VB 975/NSTH 26.04.2024-Qua Ví VNPT Pay. Nguồn NV Quỹ khen thưởng , CTV, NVKT CHI PHÍ hoa hồng ( CTV qua</t>
  </si>
  <si>
    <t>KT2-1131-410</t>
  </si>
  <si>
    <t xml:space="preserve">  - P01 DIDONG- PL1 TTKD BTE thanh toán khen thưởng cá nhân chương trình thi đua bán hàng dịch vụ di động và số hoá ngày 16, 17.04.2024, VB 976/NSTH 26.04.2024-Qua Ví VNPT Pay. Nguồn NV Quỹ khen thưởng , CTV, NVKT CHI PHÍ hoa hồng ( CTV qua đối tác 3.760</t>
  </si>
  <si>
    <t>KT2-1131-414</t>
  </si>
  <si>
    <t xml:space="preserve">  - P01 -PL1 TTKD BTE thanh toán khen thưởng cá nhân hợp lực bán hàng tại Mỏ Cày cùng TTKD Trà Vinh , VB 1021/NSTH 04.05.2024-Qua Ví VNPT Pay. Nguồn NV Quỹ khen thưởng TTKD, CTV chi phí hoa hồng ( CTV qua đối tác 625.000)</t>
  </si>
  <si>
    <t>KT2-1131-421</t>
  </si>
  <si>
    <t xml:space="preserve">  - P02 TTKD BTE thanh toán hoa hồng DV CNTT T1-T3.2024-CTV hộ KD cho Phạm Thị Hậu, Qua Ví VNPT Pay ( CA 2.274.800, HDDT 49,550, IOFFICE 220,000, IPORTAL 220,000) .Trích thuế TNCN 142.595</t>
  </si>
  <si>
    <t>KT2-1131-422</t>
  </si>
  <si>
    <t xml:space="preserve">  - P01 DIDONG-PL1 TTKD BTE thanh toán khen thưởng cá nhân chương trình thúc đẩy bán hàng kinh doanh dịch vụ cốt lõi T3.2024. VB 994/NSTH 02.05.2024 Qua Ví VNPT Pay, Theo danh sách đính kèm, Nguồn NV Quỹ khen thưởng, CTV chi phí hoa hồng ( CTV qua đối tá</t>
  </si>
  <si>
    <t>KT2-1131-424</t>
  </si>
  <si>
    <t xml:space="preserve">  - P01 BRCD-PL6 TTKD BTE thanh toán khen thưởng cá nhân chương trình thúc đẩy bán hàng kinh doanh dịch vụ cốt lõi T3.2024. VB994/NSTH 2.05.2024. Qua Ví VNPT Pay, Theo danh sách đính kèm, Nguồn NV Quỹ khen thưởng, CTV chi phí hoa hồng ( CTV qua đối tác 1</t>
  </si>
  <si>
    <t>KT2-1131-450</t>
  </si>
  <si>
    <t xml:space="preserve">  - P01-DIDONG -PL2-TTKD BTE thanh toán khen thưởng cá nhân bán hàng dịp lễ 30.04.2024, VB 1144/NSTH 17.05.2024. Qua Ví Pay, Theo ds kèm. Nguồn NV Quỹ quỹ khen thưởng, CTV chi phí hoa hồng ( CTV qua đối tác 4.851.000)</t>
  </si>
  <si>
    <t>KT2-1131-456</t>
  </si>
  <si>
    <t xml:space="preserve">  - P08-TTKD BTE thanh toán hoa hồng DV CNTT T1.2024-CTV qua đối tác, CTV HỘ KD ( IOFFICE 110.000, SMARTCA 545.455). Qua Ví Pay cho Theo danh sách đính kèm. Trích thuế TNCN 54.636</t>
  </si>
  <si>
    <t>KT2-1131-471</t>
  </si>
  <si>
    <t xml:space="preserve">  - TTKD BTE thanh toán kiêm nhiệm quản lý cước T04.2024 PBH Thạnh Phú cho Trúc Phương, Mai Thuỳ, VB 1170/NSTH 25.05.2024-Qua Ví VNPT Pay -Theo danh sách kèm.</t>
  </si>
  <si>
    <t>30/05/2024</t>
  </si>
  <si>
    <t>KT2-1131-510</t>
  </si>
  <si>
    <t xml:space="preserve">  - P01 MYTV-TTKD BTE thanh toán Khen thưởng cá nhân PT mối MYTV trên Fiber hiện hữu T4.2024-VB 1204/NSTH 27.05.2024-Qua Ví VNPT Pay, Theo danh sách kèm, Nguồn NV Quỷ khen thương, CTV, NV KT chi phí hoa hồng ( CTV qua đối tác 400.000)</t>
  </si>
  <si>
    <t>KT2-1131-511</t>
  </si>
  <si>
    <t xml:space="preserve">  - P01 BRCD-TTKD BTE thanh toán Khen thưởng cá nhân PT mới FIBER VNN và Khuyến khích PT Mới sim Thâm canh T4.2024-VB 1150/NSTH 20.05.2024-Qua Ví VNPT Pay, Theo danh sách kèm, Nguồn NV Quỷ khen thưởng, CTV, NV KT chi phí hoa hồng ( CTV qua đối tác 9.225.</t>
  </si>
  <si>
    <t>31/05/2024</t>
  </si>
  <si>
    <t>KT2-1131-516</t>
  </si>
  <si>
    <t xml:space="preserve">  - P06 TTKD BTE thanh toán hoa hồng DV CNTT T1+2.2024-CTV qua đối tác cho Hồ Thanh Liêm ( IVAN 387.200, IPORTAL 110.000, HDDT 167.200, IOFFICE 2.200.000)-qua Ví VNPT Pay</t>
  </si>
  <si>
    <t>KT2-1131-412</t>
  </si>
  <si>
    <t xml:space="preserve">  - P01 SOHOA-PL3 TTKD BTE thanh toán khen thưởng cá nhân chương trình thi đua bán hàng dịch vụ di động và số hoá ngày 16, 17.04.2024, VB 976/NSTH 26.04.2024-Qua Ví VNPT Pay. Nguồn NV Quỹ khen thưởng , CTV, NVKT CHI PHÍ hoa hồng ( CTV qua đối tác 198.000</t>
  </si>
  <si>
    <t>CTV thường</t>
  </si>
  <si>
    <t>PHỤC LỤC 1</t>
  </si>
  <si>
    <t xml:space="preserve">DANH SÁCH CÁ NHÂN KINH DOANH ĐƯỢC KHEN THƯỞNG DỊCH VU DI ĐỘNG  </t>
  </si>
  <si>
    <t>(Kèm theo Quyết định số 972 /QĐ-TTKD BTre – NSTH ngày 26/4/2024)</t>
  </si>
  <si>
    <t xml:space="preserve">      </t>
  </si>
  <si>
    <t>Phạm Hoàng Lam</t>
  </si>
  <si>
    <t>ONLINE</t>
  </si>
  <si>
    <t xml:space="preserve">TRUNG TÂM </t>
  </si>
  <si>
    <t>DANH SÁCH CÁ NHÂN KỸ THUẬT ĐƯỢC KHEN THƯỞNG  DỊCH VU DI ĐỘNG</t>
  </si>
  <si>
    <t>(Kèm theo Quyết định số 972/QĐ-TTKD BTre – NSTH ngày 26/4/2024)</t>
  </si>
  <si>
    <t>Mai Đức Phong</t>
  </si>
  <si>
    <t>TTVT CTH-BDI</t>
  </si>
  <si>
    <t>Phạm Hữu Thạch Hải</t>
  </si>
  <si>
    <t>Nguyễn Phước Thịnh</t>
  </si>
  <si>
    <t>Nguyễn Đông Xuân</t>
  </si>
  <si>
    <t>Trương Văn Trọng</t>
  </si>
  <si>
    <t>Phạm Nguyễn Song An</t>
  </si>
  <si>
    <t>Phan Văn Nhân</t>
  </si>
  <si>
    <t>Lê Huỳnh Tài</t>
  </si>
  <si>
    <t>TTVT CLB</t>
  </si>
  <si>
    <t>Hồ Mai Sơn</t>
  </si>
  <si>
    <t>Nguyễn Thanh Tâm</t>
  </si>
  <si>
    <t>TTVT CLM</t>
  </si>
  <si>
    <t>Phan Văn Huy</t>
  </si>
  <si>
    <t>Nguyễn Văn Phong 81</t>
  </si>
  <si>
    <t>Nguyễn Văn Nghệ</t>
  </si>
  <si>
    <t>Nguyễn Văn Khánh</t>
  </si>
  <si>
    <t>Nguyễn Công Thoại</t>
  </si>
  <si>
    <t>Lê Hoàng Oanh</t>
  </si>
  <si>
    <t>Nguyễn Văn Bé Ba</t>
  </si>
  <si>
    <t>Lý Văn Dũng</t>
  </si>
  <si>
    <t>Nguyễn Hữu Chân</t>
  </si>
  <si>
    <t>Phạm Hữu Tình</t>
  </si>
  <si>
    <t>Nguyễn Văn Phong 78</t>
  </si>
  <si>
    <t>Tô Văn Mến Em</t>
  </si>
  <si>
    <t>Trần Dương Quya</t>
  </si>
  <si>
    <t>Võ Thanh Phương</t>
  </si>
  <si>
    <t>Nguyễn Thanh Khoa</t>
  </si>
  <si>
    <t>TTVT TPO</t>
  </si>
  <si>
    <t>Trần Thanh Hùng</t>
  </si>
  <si>
    <t>Trần Kim Chiến</t>
  </si>
  <si>
    <t>Tưởng Long Tường</t>
  </si>
  <si>
    <t>Võ Huỳnh Nhân</t>
  </si>
  <si>
    <t>Phan Thanh Thảo</t>
  </si>
  <si>
    <t>Trần Kim Chinh</t>
  </si>
  <si>
    <t>Lê Xuân Hoàng</t>
  </si>
  <si>
    <t>Châu Thanh Phú</t>
  </si>
  <si>
    <t>Phan Văn Dương</t>
  </si>
  <si>
    <t>Châu Quốc Hiền</t>
  </si>
  <si>
    <t>Đoàn Thiện Chinh</t>
  </si>
  <si>
    <t>Phan Hoài Nam</t>
  </si>
  <si>
    <t>Nguyễn Thanh Bình</t>
  </si>
  <si>
    <t>DANH SÁCH CÁ NHÂN KINH DOANH ĐƯỢC KHEN THƯỞNG DỊCH VỤ SỐ HÓA</t>
  </si>
  <si>
    <t>Số tiền bằng chữ: Bảy trăm hai mươi ngàn đồng chẳn./.</t>
  </si>
  <si>
    <t>DANH SÁCH CÁ NHÂN KỸ THUẬT ĐƯỢC KHEN THƯỞNG  DỊCH VU SỐ HÓA</t>
  </si>
  <si>
    <t>Lê Thị Tuyết Nga</t>
  </si>
  <si>
    <t>TTVT CTH-BĐI</t>
  </si>
  <si>
    <t>Số tiền bằng chữ: Hai mươi mốt ngàn đồng chẳn./.</t>
  </si>
  <si>
    <t xml:space="preserve">DANH SÁCH CÁ NHÂN KINH DOANH ĐƯỢC KHEN THƯỞNG </t>
  </si>
  <si>
    <t>(Kèm theo Quyết định số 975/QĐ-TTKD BTre – NSTH ngày 26/4/2024)</t>
  </si>
  <si>
    <t>KT –CLM</t>
  </si>
  <si>
    <t>Số tiền bằng chữ: Một triệu bốn tram chin mươi ngàn đồng./</t>
  </si>
  <si>
    <t>(Kèm theo Quyết định số:976/QĐ-TTKD BTre – NSTH ngày 26/4/2024)</t>
  </si>
  <si>
    <t>Đỗ Văn Quyền</t>
  </si>
  <si>
    <t>ĐHNV</t>
  </si>
  <si>
    <t>Số tiền bằng chữ: Sáu triệu một trăm sáu mươi lăm ngàn đồng chẳn.</t>
  </si>
  <si>
    <t>(Kèm theo Quyết định số 976/QĐ-TTKD BTre – NSTH ngày 26/4/2024)</t>
  </si>
  <si>
    <t>Nguyễn Văn Mến</t>
  </si>
  <si>
    <t>Lê Quốc Thái</t>
  </si>
  <si>
    <t>Trần Thành Triều</t>
  </si>
  <si>
    <t>Trần Văn Sự</t>
  </si>
  <si>
    <t>Trần Văn Chiến</t>
  </si>
  <si>
    <t>Bùi Hoàng Bảo</t>
  </si>
  <si>
    <t>Đặng Thanh Mộng</t>
  </si>
  <si>
    <t>TTVT Cù lao Bảo</t>
  </si>
  <si>
    <t>Số tiền bằng chữ: Sáu trăm bảy mươi sáu ngàn đồng./.</t>
  </si>
  <si>
    <t>Huỳnh Thị Ngọc Hiền</t>
  </si>
  <si>
    <t>Số tiền bằng chữ: Bốn trăm lẻ năm ngàn đồng chẳn./.</t>
  </si>
  <si>
    <t>(Kèm theo Quyết định số:994/QĐ-TTKD BTre – NSTH ngày 02/5/2024)</t>
  </si>
  <si>
    <t xml:space="preserve">          </t>
  </si>
  <si>
    <t>Số tiền bằng chữ: Hai mươi hai triệu hai trăm chín mươi sáu ngàn sáu trăm bảy mươi đồng chẳn./.</t>
  </si>
  <si>
    <t>DANH SÁCH CÁ NHÂN BỊ PHẠT KHÔNG HOÀN THÀNH</t>
  </si>
  <si>
    <t xml:space="preserve"> DỊCH VỤ DI ĐỘNG</t>
  </si>
  <si>
    <t>(Kèm theo Quyết định số 994/QĐ-TTKD BTre – NSTH ngày 02/5/2024</t>
  </si>
  <si>
    <t>Họ và Tên</t>
  </si>
  <si>
    <t>Mức phạt (đồng)</t>
  </si>
  <si>
    <t>Đặng Hoàng Thiện</t>
  </si>
  <si>
    <t>Trịnh Thị Thanh Hồng</t>
  </si>
  <si>
    <t>Phan Trung Thành</t>
  </si>
  <si>
    <t>Số tiền bằng: Ba triệu chín trăm tám mươi bốn ngàn đồng chẳn./.</t>
  </si>
  <si>
    <t>(Kèm theo Quyết định số 994/QĐ-TTKD BTre – NSTH ngày 02/5/2024)</t>
  </si>
  <si>
    <t>Mức thưởng           ( đồng)</t>
  </si>
  <si>
    <t>DANH SÁCH CÁ NHÂN CẤP TTKD BỊ PHẠT DỊCH VỤ BRCĐ</t>
  </si>
  <si>
    <t>Chức danh</t>
  </si>
  <si>
    <t>Lê Thị Diễm</t>
  </si>
  <si>
    <t>CV ĐHNV</t>
  </si>
  <si>
    <t>PHỤ LỤC 6</t>
  </si>
  <si>
    <t>(Kèm theo Quyết định số: 994/QĐ-TTKD BTre – NSTH ngày 02/5/2024)</t>
  </si>
  <si>
    <t>3.220.000</t>
  </si>
  <si>
    <t>2.490.000</t>
  </si>
  <si>
    <t>5.710.000</t>
  </si>
  <si>
    <t>Số tiền bằng chữ: Năm triệu bảy trăm mười ngàn đồng chẳn./.</t>
  </si>
  <si>
    <t>PHỤ LỤC 7</t>
  </si>
  <si>
    <t>DANH SÁCH CÁ NHÂN BỊ PHẠT KHÔNG HOÀN THÀNH DỊCH VỤ BRCĐ</t>
  </si>
  <si>
    <t>(Kèm theo Quyết định số 994/QĐ-TTKD BTre – NSTH ngày  02/5/2024</t>
  </si>
  <si>
    <t>1.475.000</t>
  </si>
  <si>
    <t>Số tiền bằng: Một triệu bốn trăm bảy mươi lăm ngàn đồng chẳn./.</t>
  </si>
  <si>
    <t>PHỤ LỤC 10</t>
  </si>
  <si>
    <t>Lê Minh Bằng</t>
  </si>
  <si>
    <t>TP ĐHNV</t>
  </si>
  <si>
    <t>Phạm Tấn Tài</t>
  </si>
  <si>
    <t>PGĐ TTKD</t>
  </si>
  <si>
    <t>Số tiền bằng chữ: Tám trăm mười ngàn đồng đồng chẵn</t>
  </si>
  <si>
    <t>DANH SÁCH CÁ NHÂN ĐƯỢC THƯỞNG</t>
  </si>
  <si>
    <t>(Kèm theo Quyết định số 1091/QĐ-TTKD BTre – NSTH ngày 10/5/2024)</t>
  </si>
  <si>
    <t>Mức thưởng (đông)</t>
  </si>
  <si>
    <t>1.200.000</t>
  </si>
  <si>
    <t>5.100.000</t>
  </si>
  <si>
    <t>1.800.000</t>
  </si>
  <si>
    <t>2.100.000</t>
  </si>
  <si>
    <t>6.000.000</t>
  </si>
  <si>
    <t>2.400.000</t>
  </si>
  <si>
    <t>1.400.000</t>
  </si>
  <si>
    <t>28.700.000</t>
  </si>
  <si>
    <t>Số tiền bằng chữ: Hai mươi tám triệu bảy trăm ngàn đồng./.</t>
  </si>
  <si>
    <t>PHỤ LỤC 01</t>
  </si>
  <si>
    <t>DANH SÁCH NHÂN VIÊN ĐƯỢC KHEN THƯỞNG PHÁT TRIỂN BRCĐ</t>
  </si>
  <si>
    <t>(Kèm theo Quyết định số 1144/QĐ-TTKD BTre – NSTH ngày 17/5/2024)</t>
  </si>
  <si>
    <t xml:space="preserve">    </t>
  </si>
  <si>
    <t>4.950.000</t>
  </si>
  <si>
    <t>2.600.000</t>
  </si>
  <si>
    <t>7.550.000</t>
  </si>
  <si>
    <t>Số tiền bằng chữ:Bảy triệu năm trăm năm mươi ngàn đồng./.</t>
  </si>
  <si>
    <t>PHỤ LỤC 02</t>
  </si>
  <si>
    <t>DANH SÁCH NHÂN VIÊN ĐƯỢC KHEN THƯỞNG PHÁT TRIỂN</t>
  </si>
  <si>
    <t>(Kèm theo Quyết định số1144/QĐ-TTKD BTre – NSTH ngày 17/5/2024)</t>
  </si>
  <si>
    <t xml:space="preserve">  1.575.000 </t>
  </si>
  <si>
    <t xml:space="preserve">  1.087.500 </t>
  </si>
  <si>
    <t xml:space="preserve">     </t>
  </si>
  <si>
    <t xml:space="preserve">       </t>
  </si>
  <si>
    <t>3.531.750</t>
  </si>
  <si>
    <t>5.094.000</t>
  </si>
  <si>
    <t>8.625.750</t>
  </si>
  <si>
    <t>Số tiền bằng chữ: Tám triệu sáu trăm hai mươi lăm ngàn bảy trăm năm mươi đồng./.</t>
  </si>
  <si>
    <t>2.600.001</t>
  </si>
  <si>
    <t>2.600.002</t>
  </si>
  <si>
    <t>2.600.003</t>
  </si>
  <si>
    <t>5.094.001</t>
  </si>
  <si>
    <t>5.094.002</t>
  </si>
  <si>
    <t>5.094.003</t>
  </si>
  <si>
    <t>CTV086734</t>
  </si>
  <si>
    <t>CTV086353</t>
  </si>
  <si>
    <t>CTV086349</t>
  </si>
  <si>
    <t>Trần Thị Phương Dung</t>
  </si>
  <si>
    <t>Nguyễn Thị Tuyết Sang</t>
  </si>
  <si>
    <t>bắt đầu T5.2024</t>
  </si>
  <si>
    <t>Mai Thị Hoa Lan</t>
  </si>
  <si>
    <t>Tháng 5/2024</t>
  </si>
  <si>
    <t>BẢNG THUẾ TNCN- CHO TỪNG CHỨC DANH NHÂN VIÊN TTKD VNPT BẾN TRE THÁNG 5/2024</t>
  </si>
  <si>
    <t>TP. Hồ Chí Minh, ngày 24 tháng 06 năm 2024</t>
  </si>
  <si>
    <t xml:space="preserve">  Số: 337/VNYP HCM/2024</t>
  </si>
  <si>
    <t>V/v: Đề nghị thanh toán chi phí thuê lao động tháng 05 năm 2024</t>
  </si>
  <si>
    <t>- Căn cứ Bảng tính chi phí trả người lao động tháng 5 năm 2024.</t>
  </si>
  <si>
    <t>- Căn cứ điều 3 “Phí dịch vụ thuê lại lao động và phương thức thanh toán” của hợp đồng này, Chi nhánh TP. Hồ Chí Minh - Công ty cổ phần những trang vàng Việt Nam đề nghị TTKD VNPT - Bến Tre  thanh toán các khoản tiền phát sinh tháng 5 năm 2024, cụ thể như sau:</t>
  </si>
  <si>
    <t>Tháng 5</t>
  </si>
  <si>
    <t>Tổng số tiền dịch vụ phát sinh tháng 5/2024:(đồng)</t>
  </si>
  <si>
    <r>
      <rPr>
        <sz val="13"/>
        <rFont val="Times New Roman"/>
        <family val="1"/>
      </rPr>
      <t xml:space="preserve">Theo bảng đối soát </t>
    </r>
    <r>
      <rPr>
        <b/>
        <sz val="13"/>
        <rFont val="Times New Roman"/>
        <family val="1"/>
      </rPr>
      <t>tháng</t>
    </r>
    <r>
      <rPr>
        <b/>
        <sz val="13"/>
        <color indexed="10"/>
        <rFont val="Times New Roman"/>
        <family val="1"/>
      </rPr>
      <t xml:space="preserve"> 5 </t>
    </r>
    <r>
      <rPr>
        <b/>
        <sz val="13"/>
        <rFont val="Times New Roman"/>
        <family val="1"/>
      </rPr>
      <t>năm 2024</t>
    </r>
    <r>
      <rPr>
        <sz val="13"/>
        <rFont val="Times New Roman"/>
        <family val="1"/>
      </rPr>
      <t>, (đơn vị tính: đồng)</t>
    </r>
  </si>
  <si>
    <r>
      <t>Ø</t>
    </r>
    <r>
      <rPr>
        <b/>
        <sz val="13"/>
        <color indexed="8"/>
        <rFont val="Times New Roman"/>
        <family val="1"/>
      </rPr>
      <t> Số tiền TTKD VNPT Bến Tre thanh toán cho VNYP tháng 5/2024 là: 32 % BH + Phí quản lý + VAT + Thuế TNCN tạm trích (nếu có)</t>
    </r>
  </si>
  <si>
    <t>VNYP đã xuất hóa đơn số 1C24TYP  00000         ngày 24/06/ 2024 số tiền là: 989,401,692 đồng; Số tiền bằng chữ: Chín trăm tám mươi chín triệu bốn trăm lẻ một nghìn sáu trăm chín mươi hai đồng.</t>
  </si>
  <si>
    <t>Số tiền bằng chữ: Một trăm chín mươi tám triệu ba trăm hai mươi sáu nghìn ba trăm sáu mươi đồng.</t>
  </si>
  <si>
    <t>GIÁM ĐỐC</t>
  </si>
  <si>
    <t>-  Như trên;</t>
  </si>
  <si>
    <t>-  KT CN, Lưu TH CN.</t>
  </si>
  <si>
    <r>
      <t>Đ</t>
    </r>
    <r>
      <rPr>
        <b/>
        <u/>
        <sz val="13"/>
        <color theme="1"/>
        <rFont val="Times New Roman"/>
        <family val="1"/>
      </rPr>
      <t>ộc lập - Tự do - Hạnh phú</t>
    </r>
    <r>
      <rPr>
        <b/>
        <sz val="13"/>
        <color theme="1"/>
        <rFont val="Times New Roman"/>
        <family val="1"/>
      </rPr>
      <t>c</t>
    </r>
  </si>
  <si>
    <r>
      <t>K</t>
    </r>
    <r>
      <rPr>
        <b/>
        <u/>
        <sz val="13"/>
        <color theme="1"/>
        <rFont val="Times New Roman"/>
        <family val="1"/>
      </rPr>
      <t>INH DOANH VNPT-BẾN TR</t>
    </r>
    <r>
      <rPr>
        <b/>
        <sz val="13"/>
        <color theme="1"/>
        <rFont val="Times New Roman"/>
        <family val="1"/>
      </rPr>
      <t>E</t>
    </r>
  </si>
  <si>
    <r>
      <t xml:space="preserve">Lưu ý: </t>
    </r>
    <r>
      <rPr>
        <sz val="13"/>
        <color theme="1"/>
        <rFont val="Times New Roman"/>
        <family val="1"/>
      </rPr>
      <t>doanh thu "Dịch vụ còn lại" năm 2022 không bao gồm "Phí thu tại nhà" do Tập đoàn đưa vào doanh thu SPDV khác</t>
    </r>
    <r>
      <rPr>
        <b/>
        <sz val="13"/>
        <color theme="1"/>
        <rFont val="Times New Roman"/>
        <family val="1"/>
      </rPr>
      <t>.</t>
    </r>
  </si>
  <si>
    <t>DV lõi cơ bản</t>
  </si>
  <si>
    <t>SME</t>
  </si>
  <si>
    <t>Hòa mạng di động</t>
  </si>
  <si>
    <t>Tổng TD</t>
  </si>
  <si>
    <t>Data</t>
  </si>
  <si>
    <t>CNTT không bao gồm GPTB</t>
  </si>
  <si>
    <t>Tăng trưởng doanh thu BSC</t>
  </si>
  <si>
    <t>Doanh thu SMS Brandname/1800/1900</t>
  </si>
  <si>
    <t>VNP</t>
  </si>
  <si>
    <t>BR+My</t>
  </si>
  <si>
    <t>DVCL</t>
  </si>
  <si>
    <t>BR</t>
  </si>
  <si>
    <t>VGT</t>
  </si>
  <si>
    <t>DDDTHE</t>
  </si>
  <si>
    <t>BUS0A1VITVIT02201</t>
  </si>
  <si>
    <t>BUSAB1VITQNH02301</t>
  </si>
  <si>
    <t>BCD</t>
  </si>
  <si>
    <t>mtv</t>
  </si>
  <si>
    <t>VCI0A1VNTVNT005</t>
  </si>
  <si>
    <t>topup</t>
  </si>
  <si>
    <t>CLM</t>
  </si>
  <si>
    <t>CLB</t>
  </si>
  <si>
    <t>CTH_BDI</t>
  </si>
  <si>
    <t>BẢNG LƯƠNG P1P3 NHÂN TỶ LỆ DOANH THU THỰC HIỆN T5/2024</t>
  </si>
  <si>
    <t>SHISAB1VITVIT001</t>
  </si>
  <si>
    <t>BẢNG LƯƠNG ĐƠN GIÁ T4/2024</t>
  </si>
  <si>
    <t>CN99</t>
  </si>
  <si>
    <t>PHẠT</t>
  </si>
  <si>
    <t>Hiện hữu</t>
  </si>
  <si>
    <t>Dịch vụ di động trả trước</t>
  </si>
  <si>
    <t>Dịch vụ Di động trả sau</t>
  </si>
  <si>
    <t>Dịch vụ băng rộng cố định</t>
  </si>
  <si>
    <t>Dịch vụ điện thoại cố định</t>
  </si>
  <si>
    <t>Video, truyền hình trả tiền</t>
  </si>
  <si>
    <t>Dịch vụ công nghệ thông tin khác</t>
  </si>
  <si>
    <t>Dịch vụ Viễn thông còn lại (là cột C sheet lương sản lượng)</t>
  </si>
  <si>
    <t>Sản phẩm dịch vụ khác (trong đó có truyền thông)</t>
  </si>
  <si>
    <t>SPDV kinh doanh thương mại</t>
  </si>
  <si>
    <t>Lương BR Gia hạn
(anh Tuấn tính vào lương KK)</t>
  </si>
  <si>
    <t>Lương BR đóng cước trước hạn
(anh Tuấn tính vào lương đơn giá)</t>
  </si>
  <si>
    <t>Lương khuyến khích (thu cước)
sheet SL cột D)</t>
  </si>
  <si>
    <t>Quản lý dịch vụ phòng KHDN</t>
  </si>
  <si>
    <t>Di động</t>
  </si>
  <si>
    <t>lương P1P3 T5.2024</t>
  </si>
  <si>
    <t>di động</t>
  </si>
  <si>
    <t>BRCD</t>
  </si>
  <si>
    <t>tỷ lệ di động</t>
  </si>
  <si>
    <t>tỷ lệ băng rộng</t>
  </si>
  <si>
    <t>tổng didong</t>
  </si>
  <si>
    <t>tổng BRCD</t>
  </si>
  <si>
    <t>văn bản kt</t>
  </si>
  <si>
    <t>SGOVAB1VITVIT003</t>
  </si>
  <si>
    <t>1898303</t>
  </si>
  <si>
    <t>1898304</t>
  </si>
  <si>
    <t>1898306</t>
  </si>
  <si>
    <t>1898308</t>
  </si>
  <si>
    <t>CĐP</t>
  </si>
  <si>
    <t>KYK</t>
  </si>
  <si>
    <t>(Kèm theo Quyết định số:1223/QĐ-TTKD BTre – NSTH ngày 29/5/2024)</t>
  </si>
  <si>
    <t>Số tiền bằng chữ: Mười một triệu hai trăm lẻ tám ngàn sáu trăm đồng chẳn./.</t>
  </si>
  <si>
    <t>(Kèm theo Quyết định số: 1223/QĐ-TTKD BTre – NSTH ngày 29/5/2024)</t>
  </si>
  <si>
    <t>3.100.000</t>
  </si>
  <si>
    <t>1.280.000</t>
  </si>
  <si>
    <t>4.380.000</t>
  </si>
  <si>
    <t>Số tiền bằng chữ: Bốn triệu ba trăm tám mươi ngàn đồng chẳn./.</t>
  </si>
  <si>
    <t>Nguyễn Văn Hiếu</t>
  </si>
  <si>
    <t>(Kèm theo Quyết định số:1214/QĐ-TTKD BTre – NSTH ngày 28/5/2024)</t>
  </si>
  <si>
    <t>BHOL</t>
  </si>
  <si>
    <t>1.788.600</t>
  </si>
  <si>
    <t>3.237.300</t>
  </si>
  <si>
    <t>5.025.900</t>
  </si>
  <si>
    <t>Số tiền bằng chữ: Năm triệu không trăm hai mươi lăm ngàn chìn trăm đồng chẳn.</t>
  </si>
  <si>
    <t>(Kèm theo Quyết định số 1214/QĐ-TTKD BTre – NSTH ngày 28/5/2024)</t>
  </si>
  <si>
    <t>KT-CTH</t>
  </si>
  <si>
    <t>Phan Anh Tuấn</t>
  </si>
  <si>
    <t>KT-BTI</t>
  </si>
  <si>
    <t>KT-MCY</t>
  </si>
  <si>
    <t>KT-TPU</t>
  </si>
  <si>
    <t>KT-CLH</t>
  </si>
  <si>
    <t>Trương Hoàng Duy</t>
  </si>
  <si>
    <t>KT-TPO</t>
  </si>
  <si>
    <t>Số tiền bằng chữ: Hai trăm bảy mươi hai ngàn đồng./.</t>
  </si>
  <si>
    <t>Số tiền bằng chữ: Hai trăm bảy mươi chín ngàn đồng chẳn./.</t>
  </si>
  <si>
    <t xml:space="preserve">DANH SÁCH TẬP THỂ ĐƯỢC KHEN THƯỞNG </t>
  </si>
  <si>
    <t>Số tiền bằng chữ: Một triệu năm trăm ngàn đồng chẳn./.</t>
  </si>
  <si>
    <t>(Kèm theo Quyết định số1295 /QĐ-TTKD BTre – NSTH ngày 06/6/2024)</t>
  </si>
  <si>
    <t>1.030.000</t>
  </si>
  <si>
    <t>1.880.000</t>
  </si>
  <si>
    <t>Số tiền bằng chữ: Một triệu tám trăm tám mươi ngàn đồng./</t>
  </si>
  <si>
    <t>(Kèm theo Quyết định số:1355/QĐ-TTKD BTre – NSTH ngày 13/6/2024)</t>
  </si>
  <si>
    <t>Số tiền bằng chữ: Một triệu sáu trăm hai mươi ngàn đồng chẳn.</t>
  </si>
  <si>
    <t>(Kèm theo Quyết định số 1355/QĐ-TTKD BTre – NSTH ngày 13/6/2024)</t>
  </si>
  <si>
    <t>Thành Phố</t>
  </si>
  <si>
    <t>Mỏ Cày</t>
  </si>
  <si>
    <t>Số tiền bằng chữ: Một trăm tám mươi ngàn đồng chẳn./.</t>
  </si>
  <si>
    <t>DANH SÁCH NHÂN VIÊN ĐƯỢC KHEN THƯỞNG KHUYẾN KHÍCH</t>
  </si>
  <si>
    <t>(Kèm theo Quyết định số1381 /QĐ-TTKD BTre – NSTH ngày18 /6/2024)</t>
  </si>
  <si>
    <t>1.215.000</t>
  </si>
  <si>
    <t>Nguyễn Tự Minh Tiến</t>
  </si>
  <si>
    <t>2.430.000</t>
  </si>
  <si>
    <t>1.485.000</t>
  </si>
  <si>
    <t>2.160.000</t>
  </si>
  <si>
    <t>1.620.000</t>
  </si>
  <si>
    <t>1.080.000</t>
  </si>
  <si>
    <t>1.260.000</t>
  </si>
  <si>
    <t>1.125.000</t>
  </si>
  <si>
    <t>Số tiền bằng chữ:Bốn mươi mốt ngàn một trăm bảy mươi lăm ngàn đồng./.</t>
  </si>
  <si>
    <t>(Kèm theo Quyết định số:1383/QĐ-TTKD BTre – NSTH ngày 18/6/2024)</t>
  </si>
  <si>
    <r>
      <t>Số tiền bằng chữ: Một triệu ba trăm mười ngàn đồng chẳn</t>
    </r>
    <r>
      <rPr>
        <i/>
        <sz val="11"/>
        <color theme="1"/>
        <rFont val="Times New Roman"/>
        <family val="1"/>
      </rPr>
      <t>.</t>
    </r>
  </si>
  <si>
    <t>(Kèm theo Quyết định số1383 /QĐ-TTKD BTre – NSTH ngày 18 /6/2024)</t>
  </si>
  <si>
    <t>Châu Thành</t>
  </si>
  <si>
    <t>Số tiền bằng chữ: Mười hai ngàn đồng./.</t>
  </si>
  <si>
    <t>(Kèm theo Quyết định số 1383/QĐ-TTKD BTre – NSTH ngày 18/6/2024)</t>
  </si>
  <si>
    <t>Số tiền bằng chữ: Hai trăm mười chín ngàn đồng chẳn./.</t>
  </si>
  <si>
    <t>Phòng bán hàng Chợ Lách</t>
  </si>
  <si>
    <t>Số tiền bằng chữ:Bốn triệu đồng chẳn./.</t>
  </si>
  <si>
    <t>(Kèm theo Quyết định số:1407/QĐ-TTKD BTre – NSTH ngày 21/6/2024)</t>
  </si>
  <si>
    <t>Số tiền bằng chữ: Bảy trăm bảy mươi ngàn đồng chẳn.</t>
  </si>
  <si>
    <t>(Kèm theo Quyết định số 1407/QĐ-TTKD BTre – NSTH ngày 21/6/2024)</t>
  </si>
  <si>
    <t>Số tiền bằng chữ: Sáu trăm ba mươi tám ngàn đồng chẳn./.</t>
  </si>
  <si>
    <t>Số tiền bằng chữ:Ba triệu năm trăm ngàn đồng chẳn./.</t>
  </si>
  <si>
    <t>CTV086744</t>
  </si>
  <si>
    <t>Trần Ngô Thúy Vy</t>
  </si>
  <si>
    <t>P4</t>
  </si>
  <si>
    <t>P2</t>
  </si>
  <si>
    <t>P6</t>
  </si>
  <si>
    <t>P3</t>
  </si>
  <si>
    <t>P8</t>
  </si>
  <si>
    <t>Văn bản chi phí BRCĐ</t>
  </si>
  <si>
    <t>(Kèm theo Quyết định số:1474/QĐ-TTKD BTre – NSTH ngày 02/7/2024)</t>
  </si>
  <si>
    <t>Dương Minh Hiếu</t>
  </si>
  <si>
    <t>3.015.000</t>
  </si>
  <si>
    <t>3.310.000</t>
  </si>
  <si>
    <t>6.325.000</t>
  </si>
  <si>
    <t xml:space="preserve">Số tiền bằng chữ: Sáu triệu ba trăm </t>
  </si>
  <si>
    <t>CTV080670</t>
  </si>
  <si>
    <t>CTV087041</t>
  </si>
  <si>
    <t>Nguyễn Ngọc Linh Đan</t>
  </si>
  <si>
    <t>(Kèm theo Quyết định số:1520/QĐ-TTKD BTre – NSTH ngày 08/7/2024)</t>
  </si>
  <si>
    <t>Số tiền bằng chữ: Bốn triệu sáu trăm sáu mươi ngàn đồng chẳn.</t>
  </si>
  <si>
    <t>DANH SÁCH CÁ NHÂN KỸ THUẬT ĐƯỢC KHEN THƯỞNG  DỊCH VU DI ĐỘNG VÀ SỐ HÓA</t>
  </si>
  <si>
    <t>(Kèm theo Quyết định số 1520/QĐ-TTKD BTre – NSTH ngày 08/7/2024)</t>
  </si>
  <si>
    <t>Đào Văn Minh Mỹ</t>
  </si>
  <si>
    <t>Lê Văn Khánh</t>
  </si>
  <si>
    <t>Số tiền bằng chữ: Một trăm bốn mươi mốt ngàn đồng./.</t>
  </si>
  <si>
    <t>Số tiền bằng chữ: Hai trăm ba mươi mốt ngàn đồng chẳn./.</t>
  </si>
  <si>
    <t xml:space="preserve">Phòng bán hàng Giồng Trôm </t>
  </si>
  <si>
    <t>9.500.000</t>
  </si>
  <si>
    <t>Số tiền bằng chữ: Chín triệu năm trăm ngàn đồng chẳn./.</t>
  </si>
  <si>
    <t xml:space="preserve">PHỤC LỤC </t>
  </si>
  <si>
    <t xml:space="preserve">DANH SÁCH CÁ NHÂN KINH DOANH ĐƯỢC KHEN THƯỞNG  </t>
  </si>
  <si>
    <t>(Kèm theo Quyết định số:1527/QĐ-TTKD BTre – NSTH ngày 09/7/2024)</t>
  </si>
  <si>
    <t>Nguyễn Thanh Phương</t>
  </si>
  <si>
    <t>Số tiền bằng chữ:Một triệu bảy trăm năm mươi ngàn đồng chẳn.</t>
  </si>
  <si>
    <t>(Kèm theo Quyết định số:1549/QĐ-TTKD BTre – NSTH ngày 11/7/2024)</t>
  </si>
  <si>
    <t>Số tiền bằng chữ: Tám triệu năm trăm mười lăm ngàn đồng chẳn.</t>
  </si>
  <si>
    <t xml:space="preserve">DANH SÁCH CÁ NHÂN KỸ THUẬT ĐƯỢC KHEN THƯỞNG  DỊCH VU DI ĐỘNG </t>
  </si>
  <si>
    <t>(Kèm theo Quyết định số 1549/QĐ-TTKD BTre – NSTH ngày 11/7/2024)</t>
  </si>
  <si>
    <t>Lê Văn Cường</t>
  </si>
  <si>
    <t>Số tiền bằng chữ: Bốn mươi ngàn đồng./.</t>
  </si>
  <si>
    <t>Số tiền bằng chữ: Hai trăm sáu mươi bảy ngàn đồng chẳn./.</t>
  </si>
  <si>
    <t>(Kèm theo Quyết định số1549/QĐ-TTKD BTre – NSTH ngày 11/7/2024)</t>
  </si>
  <si>
    <t>5.500.000</t>
  </si>
  <si>
    <t>Số tiền bằng chữ: Năm triệu năm trăm ngàn đồng chẳn./.</t>
  </si>
  <si>
    <t>DANH SÁCH CÁ NHÂN KINH DOANH ĐƯỢC KHEN THƯỞNG BRCĐ</t>
  </si>
  <si>
    <t>(Kèm theo Quyết định số:1737/QĐ-TTKD BTre – NSTH ngày 19/7/2024)</t>
  </si>
  <si>
    <t>DANH SÁCH CÁ NHÂN KINH DOANH ĐƯỢC KHEN THƯỞNG CHIẾN BINH XUẤT SẮC</t>
  </si>
  <si>
    <t>Giải nhất</t>
  </si>
  <si>
    <t>Giải nhì</t>
  </si>
  <si>
    <t>Giải ba</t>
  </si>
  <si>
    <t>DANH SÁCH CÁ NHÂN KINH DOANH ĐƯỢC KHEN THƯỞNG VINAHONE</t>
  </si>
  <si>
    <t>Kiều Quang Việt</t>
  </si>
  <si>
    <t>KT-BDI</t>
  </si>
  <si>
    <t>Trần Xuân Nguyên</t>
  </si>
  <si>
    <t xml:space="preserve">DANH SÁCH  TẬP THỂ ĐƯỢC KHEN THƯỞNG </t>
  </si>
  <si>
    <t>(Kèm theo Quyết định số 1737/QĐ-TTKD BTre – NSTH ngày 19/7/2024)</t>
  </si>
  <si>
    <t>(Kèm theo Quyết định số:1735/QĐ-TTKD BTre – NSTH ngày 19/7/2024)</t>
  </si>
  <si>
    <t>Số tiền bằng chữ: Năm triệu bảy trăm hai mươi sáu ngàn ba trăm năm mươi đồng chẳn.</t>
  </si>
  <si>
    <t>(Kèm theo Quyết định số 1735/QĐ-TTKD BTre – NSTH ngày 19/7/2024)</t>
  </si>
  <si>
    <t>Phan Tân Thanh</t>
  </si>
  <si>
    <t>Dương Văn Khô</t>
  </si>
  <si>
    <t>Số tiền bằng chữ: Tám mươi bảy ngàn chín trăm năm mươi ngàn đồng./.</t>
  </si>
  <si>
    <t>Số tiền bằng chữ: Hai trăm bảy mươi tám ngàn đồng chẳn./.</t>
  </si>
  <si>
    <t>Số tiền bằng chữ: Bảy triệu đồng chẳn./.</t>
  </si>
  <si>
    <t>(Kèm theo Quyết định số:1752/QĐ-TTKD BTre – NSTH ngày 20/7/2024)</t>
  </si>
  <si>
    <t xml:space="preserve">1.400.000 </t>
  </si>
  <si>
    <t xml:space="preserve">1.200.000 </t>
  </si>
  <si>
    <t xml:space="preserve">2.000.000 </t>
  </si>
  <si>
    <t xml:space="preserve">1.800.000 </t>
  </si>
  <si>
    <t xml:space="preserve">1.600.000 </t>
  </si>
  <si>
    <t xml:space="preserve">3.200.000 </t>
  </si>
  <si>
    <t xml:space="preserve">2.400.000 </t>
  </si>
  <si>
    <t xml:space="preserve">2.200.000 </t>
  </si>
  <si>
    <t xml:space="preserve">3.400.000 </t>
  </si>
  <si>
    <t xml:space="preserve">2.600.000 </t>
  </si>
  <si>
    <t>18.600.000</t>
  </si>
  <si>
    <t>19.600.000</t>
  </si>
  <si>
    <t>38.200.000</t>
  </si>
  <si>
    <t>Số tiền bằng chữ: Ba mươi tám triệu hai trăm ngàn đồng./.</t>
  </si>
  <si>
    <t>(Kèm theo Quyết định số:1762/QĐ-TTKD BTre – NSTH ngày 22/7/2024)</t>
  </si>
  <si>
    <t>1.270.000</t>
  </si>
  <si>
    <t>1.920.000</t>
  </si>
  <si>
    <t>1.140.000</t>
  </si>
  <si>
    <t>1.655.000</t>
  </si>
  <si>
    <t>2.795.000</t>
  </si>
  <si>
    <t>DANH SÁCH CÁ NHÂN KỸ THUẬT ĐƯỢC KHEN THƯỞNG VINAHONE</t>
  </si>
  <si>
    <t>Nguyễn Thị Tố Trinh</t>
  </si>
  <si>
    <t>TTCNTT</t>
  </si>
  <si>
    <t>Huỳnh Duy Thanh</t>
  </si>
  <si>
    <t>(Kèm theo Quyết định số 1762/QĐ-TTKD BTre – NSTH ngày 22/7/2024)</t>
  </si>
  <si>
    <t>(Kèm theo Quyết định số:1764/QĐ-TTKD BTre – NSTH ngày 22/7/2024)</t>
  </si>
  <si>
    <t>1.750.000</t>
  </si>
  <si>
    <t>2.650.000</t>
  </si>
  <si>
    <t xml:space="preserve">         </t>
  </si>
  <si>
    <t>1.610.000</t>
  </si>
  <si>
    <t>2.145.000</t>
  </si>
  <si>
    <t>Dương Hoàng Việt</t>
  </si>
  <si>
    <t>(Kèm theo Quyết định số 1764/QĐ-TTKD BTre – NSTH ngày 22/7/2024)</t>
  </si>
  <si>
    <t>(Kèm theo Quyết định số:1763/QĐ-TTKD BTre – NSTH ngày 22/7/2024)</t>
  </si>
  <si>
    <t>2.020.000</t>
  </si>
  <si>
    <t>1.720.000</t>
  </si>
  <si>
    <t>2.320.000</t>
  </si>
  <si>
    <t>(Kèm theo Quyết định số:1794/QĐ-TTKD BTre – NSTH ngày 25/7/2024)</t>
  </si>
  <si>
    <t>1.330.000</t>
  </si>
  <si>
    <t xml:space="preserve">DANH SÁCH CÁ NHÂN KỸ THUẬT ĐƯỢC KHEN THƯỞNG </t>
  </si>
  <si>
    <t>Phạm Tấn Lành</t>
  </si>
  <si>
    <t>Võ Hồng Quân</t>
  </si>
  <si>
    <t>Đỗ Anh Tuyền</t>
  </si>
  <si>
    <t>Lê Văn Hạnh</t>
  </si>
  <si>
    <t>Trần Văn Thảo</t>
  </si>
  <si>
    <t>(Kèm theo Quyết định số 1794 /QĐ-TTKD BTre – NSTH ngày 25/7/2024)</t>
  </si>
  <si>
    <t>02/08/2024</t>
  </si>
  <si>
    <t>KT2-1131-733</t>
  </si>
  <si>
    <t xml:space="preserve">  - P05 TTKD BTE thanh toán hoa hồng DV CNTT T1-CTV Qua đối tác CHO LÊ VĂN GIÀU-qua Ví VNPT Pay- CA 8.331.600, IVAN 2.002.320, HDDDT 750.000, HOINGHITRUYENHINH 82.575, LMS 1.000.000</t>
  </si>
  <si>
    <t>08/08/2024</t>
  </si>
  <si>
    <t>KT2-1131-738</t>
  </si>
  <si>
    <t xml:space="preserve">  - P04 TTKD BTE thanh toán hoa hồng DV CNTT T1-5-CTV qua đối tác cho Phan Thành Hiếu --Qua Ví VNPT Pay.( CA 1.227.200, BLDT 200.000, HDDT 967.500, IPORTAL 2.970.000, TSDC 500.000, SMARTCA 204.545)</t>
  </si>
  <si>
    <t>19/08/2024</t>
  </si>
  <si>
    <t>KT2-1131-779</t>
  </si>
  <si>
    <t xml:space="preserve">  - P06 TTKD BTE thanh toán hoa hồng DV CNTT T6 cho CTV QUA ĐỐI TÁC - Theo danh sách đính kèm-( CA 13.185.480, IVAN 487.200, TSDC 1.000.000)</t>
  </si>
  <si>
    <t>KT2-1131-780</t>
  </si>
  <si>
    <t xml:space="preserve">  - P04 TTKH BTE thanh toan hoa hồng DV CNTT T6.2024-CTV Qua đối tác, CTV hộ KD-Theo danh sách đính kèm-Qua Ví VNPT Pay- CA 2,901,140, TSDC 9,000,000, HDDT 10,142,100, BHXH 566,000, IOFFICE 110,000- Trích thuế TNCN 1.801.590</t>
  </si>
  <si>
    <t>23/08/2024</t>
  </si>
  <si>
    <t>KT2-1131-804</t>
  </si>
  <si>
    <t xml:space="preserve">  - P03- TTKD BTE thanh toán hoa hồng DV CNTT T2-6-CTV HKD, CTV QUA ĐỐI TÁC-Theo danh sách đính kèm-Qua Ví VNPT Pay ( CA 24,926,800, TSDC 11,500,000, HKD , HDDT 1,736,200, BHXH 1,500,000, HSS 394,091,PHAN MEM QLGD 330,000). Trích thuế TNCN 1.786.907</t>
  </si>
  <si>
    <t>KT2-1131-810</t>
  </si>
  <si>
    <t xml:space="preserve">  - P06- TTKD BTE thanh toán hoa hồng DV CNTT T6-CTV QUA ĐỐI TÁC -cho Theo danh sách đính kèm-Qua Ví VNPT Pay ( CA 2.604.600, HDDT 114.000, HSS 646.200, SMARTCA 204.545, TSDC 5.500.000)</t>
  </si>
  <si>
    <t>KT2-1131-811</t>
  </si>
  <si>
    <t xml:space="preserve">  - P06- TTKD BTE thanh toán hoa hồng DV CNTT T6-CTV QUA ĐỐI TÁC -cho Theo danh sách đính kèm-Qua Ví VNPT Pay ( CA 2.992.800, HDDT 1.170.000)</t>
  </si>
  <si>
    <t>29/08/2024</t>
  </si>
  <si>
    <t>KT2-1131-829</t>
  </si>
  <si>
    <t xml:space="preserve">  - P02 -TTKD BTE thanh toán hoa hồng DV CNTT T7- CTV qua đối tác cho Võ Thị Tuyết Vân, Qua Ví VNPT Pay ( CA 509.200, ELEARNING 3.000.000)</t>
  </si>
  <si>
    <t>KT2-1131-830</t>
  </si>
  <si>
    <t xml:space="preserve">  - P05 -TTKD BTE thanh toán hoa hồng DV CNTT T2.2024- CTV qua đối tác cho Theo danh sách đính kèm, Qua Ví VNPT Pay ( CA 965,040, HKD 405,000, HDDT 282,400, BHXH 243,200)</t>
  </si>
  <si>
    <t>KT2-1131-832</t>
  </si>
  <si>
    <t xml:space="preserve">  - P05 -TTKD BTE thanh toán hoa hồng DV CNTT T3.2024- CTV qua đối tác cho Theo danh sách đính kèm, Qua Ví VNPT Pay ( CA 8.504.400, HKD 1.215.000, HDDT 290.200)</t>
  </si>
  <si>
    <t>KT2-1131-833</t>
  </si>
  <si>
    <t xml:space="preserve">  - P05 -TTKD BTE thanh toán hoa hồng DV CNTT T3.2024- CTV qua đối tác cho Theo danh sách đính kèm, Qua Ví VNPT Pay ( CA 1.410.800, IVAN 234.800, HDDT 250.000, ECABINET 6.634.636, SMARTCA 218.182)</t>
  </si>
  <si>
    <t>KT2-1131-834</t>
  </si>
  <si>
    <t xml:space="preserve">  - P05 -TTKD BTE thanh toán hoa hồng DV CNTT T4.2024- CTV qua đối tác cho Theo danh sách đính kèm, Qua Ví VNPT Pay ( CA 7.293.000. HDDT 250.000, LMS 2.000.000)</t>
  </si>
  <si>
    <t>KT2-1131-835</t>
  </si>
  <si>
    <t xml:space="preserve">  - P05 -TTKD BTE thanh toán hoa hồng DV CNTT T4.2024- CTV qua đối tác cho Theo danh sách đính kèm, Qua Ví VNPT Pay ( CA 6,551,120, IVAN 729.600, HDDT 534.000, HKD 840.000)</t>
  </si>
  <si>
    <t>KT2-1131-840</t>
  </si>
  <si>
    <t xml:space="preserve">  - P08-TTKD BTE thanh toán hoa hồng DV CNTT T5.2024- CTV HỘ KD, CTV QUA ĐỐI TÁC- Qua Ví VNPT Pay -Theo danh sách đính kèm-( CA 2.648.840, IOFFICE 330.000, SMARTCA 81.818, HKD 180.000, IVAN 324.200). Trích thuế TNCN 186.071</t>
  </si>
  <si>
    <t>KT2-1131-842</t>
  </si>
  <si>
    <t xml:space="preserve">  - P08-TTKD BTE thanh toán hoa hồng DV CNTT T7.2024- CTV HỘ KD, CTV QUA ĐỐI TÁC- Qua Ví VNPT Pay -Theo danh sách đính kèm-( CA 4.059.840, IPORTAL 110.000, HKD 720.000, IVAN 243.200, HDDT 1.319.500). Trích thuế TNCN 195.920</t>
  </si>
  <si>
    <t>KT2-1131-737</t>
  </si>
  <si>
    <t xml:space="preserve">  - TTKD BTE thanh toán khen thưởng BSC 6 tháng đầu năm 2024-CTV qua đối tác, Bảo vệ -Qua Ví VNPT Pay.Nguồn chi phí TTKD ( CTV qua đối tác 50.000.000, Bảo vệ 900.000 đồng)</t>
  </si>
  <si>
    <t>KT2-1131-739</t>
  </si>
  <si>
    <t xml:space="preserve">  - TTKD BTE thanh toán khen thưởng cá nhân thi đua bán hàng qua web Dighishop T6.2024, VB 1841/NSTH 31.07.2024-Qua Ví VNPT Pay. Nguồn NV quỹ khen thưởng, CTV chi phí hoa hồng ( CTV qua đối tác 8.699.600)</t>
  </si>
  <si>
    <t>KT2-1131-740</t>
  </si>
  <si>
    <t xml:space="preserve">  - TTKD BTE thanh toán khen thưởng cá nhân đổi sim 4G Q2.2024, VB 1839/NSTH 31.07.2024-Qua Ví VNPT Pay. Nguồn Chi phí hoa hồng 2024( CTV qua đối tác 4.270.000)</t>
  </si>
  <si>
    <t>KT2-1131-741</t>
  </si>
  <si>
    <t xml:space="preserve">  - PL1-DD-TTKD BTE thanh toán khen thưởng cá nhân bán hàng tổng lực ngày 16, 17.07.2024, VB 1833/NSTH 31.07.2024-Qua Ví VNPT Pay. Nguồn NV Quỹ khen thưởng, CTV Chi phí hoa hồng ( CTV qua đối tác 3.711.900)</t>
  </si>
  <si>
    <t>KT2-1131-742</t>
  </si>
  <si>
    <t xml:space="preserve">  - PL2-SOHOA-TTKD BTE thanh toán khen thưởng cá nhân bán hàng tổng lực ngày 16, 17.07.2024, VB 1833/NSTH 31.07.2024-Qua Ví VNPT Pay. Nguồn NV Quỹ khen thưởng, CTV Chi phí hoa hồng ( CTV qua đối tác 205.000)</t>
  </si>
  <si>
    <t>15/08/2024</t>
  </si>
  <si>
    <t>KT2-1131-754</t>
  </si>
  <si>
    <t xml:space="preserve">  - P01-DIDONG- PL1-TTKD BTE thanh toán khen thưởng cá nhân bán hàng tổng lực ngày 23, 24/07.2024-VB 1902/NSTH 06.08.2024-Qua Ví VNPT Pay. Nguồn NVquỹ khen thưởng , CTV Chi phí hoa hồng , CTV qua đối tác 5.323.650</t>
  </si>
  <si>
    <t>KT2-1131-756</t>
  </si>
  <si>
    <t xml:space="preserve">  - P01-SOHOA- PL3-TTKD BTE thanh toán khen thưởng cá nhân bán hàng tổng lực ngày 23, 24/07.2024-VB 1902/NSTH 06.08.2024-Qua Ví VNPT Pay. Nguồn NVquỹ khen thưởng , CTV Chi phí hoa hồng( CTV QUA ĐỐI TÁC</t>
  </si>
  <si>
    <t>KT2-1131-760</t>
  </si>
  <si>
    <t xml:space="preserve">  - P01-DIDONG- PL3-TTKD BTE thanh toán khen thưởng cá nhân bán hàng tổng lực ngày 19,20/07.2024-VB 1918/NSTH 07.08.2024-Qua Ví VNPT Pay. Nguồn NV Quỹ khen thưởng, CTV CP hoa hồng ( ctv qua đối tác 1.765.000)</t>
  </si>
  <si>
    <t>KT2-1131-765</t>
  </si>
  <si>
    <t xml:space="preserve">  - P01-DIDONG- PL3-TTKD BTE thanh toán khen thưởng cá nhân bán hàng tổng lực ngày 26,27.07.2024-VB 1944/NSTH 09.08.2024-Qua Ví VNPT Pay. Nguồn NV Quỹ khen thưởng, CTV chi phí hoa hồng ( CTV qua đối tác 1.835.000)</t>
  </si>
  <si>
    <t>KT2-1131-769</t>
  </si>
  <si>
    <t xml:space="preserve">  - P11 TTKD BTE thanh toán tiền làm thêm giờ PBH Online T7.2024. VB 1969/NSTH 13.08-qua Ví VNPT Pay. Nguồn NV Quỹ lương khuyến khích, CTV CP hoa hồng ( CTV QUA ĐỐI TÁC 240.000)</t>
  </si>
  <si>
    <t>KT2-1131-802</t>
  </si>
  <si>
    <t xml:space="preserve">  - P02- TTKD BTE thanh toán hoa hồng DV CNTT T6-CTV QUA ĐỐI TÁC -cho Võ Thị Tuyết Vân-Qua Ví VNPT Pay ( HDDT 2.028.000, IOFFICE 110.000)</t>
  </si>
  <si>
    <t>KT2-1131-807</t>
  </si>
  <si>
    <t xml:space="preserve">  - P06- TTKD BTE thanh toán hoa hồng DV CNTT T1-5-CTV QUA ĐỐI TÁC -cho Theo danh sách đính kèm-Qua Ví VNPT Pay ( HSS 1.938.600, SMARTCA 7.996.091)</t>
  </si>
  <si>
    <t>KT2-1131-808</t>
  </si>
  <si>
    <t xml:space="preserve">  - P06- TTKD BTE thanh toán hoa hồng DV CNTT T4 5-CTV QUA ĐỐI TÁC -cho Theo danh sách đính kèm-Qua Ví VNPT Pay ( HSS 646.200, SMARTCA 2.924.455)</t>
  </si>
  <si>
    <t>KT2-1131-809</t>
  </si>
  <si>
    <t xml:space="preserve">  - P06- TTKD BTE thanh toán hoa hồng DV CNTT T6-CTV QUA ĐỐI TÁC -cho Theo danh sách đính kèm-Qua Ví VNPT Pay ( HSS 3.877.200, SMARTCA 1.227.270, TSDC 7.000.000, CHECK 152.836)</t>
  </si>
  <si>
    <t>KT2-1131-819</t>
  </si>
  <si>
    <t xml:space="preserve">  - P01-DIDONG- TKD BTE thanh toán khen thưởng cá nhân bán hàng tổng lực ngày 5,6.08.2024, VB 2047/NSTH 22.08.2024 . Nguồn NV Quỹ khen thưởng, CTV chi phí hoa hồng ( CTV qua đối tác 2.962.500) cho Theo danh sách đính kèm-Qua Ví VNPT Pay</t>
  </si>
  <si>
    <t>KT2-1131-821</t>
  </si>
  <si>
    <t xml:space="preserve">  - P01-SOHOA- PL3 TTKD BTE thanh toán khen thưởng cá nhân bán hàng tổng lực ngày 5,6.08.2024, VB 2047/NSTH 22.08.2024 . Nguồn NV Quỹ khen thưởng, CTV chi phí hoa hồng ( CTV qua đối tác 164.000) cho Theo danh sách đính kèm-Qua Ví VNPT Pay</t>
  </si>
  <si>
    <t>KT2-1131-824</t>
  </si>
  <si>
    <t xml:space="preserve">  - P01 CA-TTKD thanh toán khen thưởng cá nhân cấp bù chứng thư số năm 2024, VB 2031/NSTH 21.08.2024. Nguồn NV Quỹ lương khuyến khích, CTV chi phí hoa hồng ( CTV qua đối tác 3.780.000)-Qua Ví VNPT Pay -Theo danh sách đính kèm</t>
  </si>
  <si>
    <t>30/08/2024</t>
  </si>
  <si>
    <t>KT2-1131-856</t>
  </si>
  <si>
    <t xml:space="preserve">  - P01 BRCD- PL1 TTKD BTE thanh toán khen thưởng cá nhân B2A PT mới MYTV, MESH, SIM THÂM CANH trên FIBER hiện hữu ngày 02, 03 T8.2024, VB 2064/NSTH 26.08.2024- Qua Ví VNPT Pay -Theo danh dách đính kèm- Nguồn NV quỹ khen thưởng, CTV chi phí hoa hồng ( CT</t>
  </si>
  <si>
    <t>KT2-1131-859</t>
  </si>
  <si>
    <t xml:space="preserve">  - P01 DIDONG- PL1 TTKD BTE thanh toán khen thưởng cá nhân tổng lực bán hàng di động ngày 9, 10 T8.2024, VB 2065/NSTH 26.08.2024- Qua Ví VNPT Pay -Theo danh dách đính kèm- Nguồn NV quỹ khen thưởng, CTV chi phí hoa hồng (CTV QUA ĐỐI TÁC 2.680.000)</t>
  </si>
  <si>
    <t>KT2-1131-861</t>
  </si>
  <si>
    <t xml:space="preserve">  - P01 SOHOA- PL3 TTKD BTE thanh toán khen thưởng cá nhân tổng lực bán hàng di động ngày 9, 10 T8.2024, VB 2065/NSTH 26.08.2024- Qua Ví VNPT Pay -Theo danh dách đính kèm- Nguồn NV quỹ khen thưởng, CTV chi phí hoa hồng ( CTV QUA ĐỐI TÁC 51.000)</t>
  </si>
  <si>
    <t>Trần Trung Hiếu</t>
  </si>
  <si>
    <t>Hồ Minh Nhựt</t>
  </si>
  <si>
    <t>Phan Minh Truyên</t>
  </si>
  <si>
    <t>3.080.000</t>
  </si>
  <si>
    <t>DANH SÁCH CÁ NHÂN KINH DOANH ĐƯỢC KHEN THƯỞNG DỊCH VỤ DI ĐỘNG</t>
  </si>
  <si>
    <t>PHỤ LỤC  2</t>
  </si>
  <si>
    <t>DANH SÁCH CÁ NHÂN KỸ THUẬT ĐƯỢC KHEN THƯỞNG DỊCH VỤ DI ĐỘNG</t>
  </si>
  <si>
    <t>Nguyễn Thị Hồng Hạnh</t>
  </si>
  <si>
    <t>1.160.000</t>
  </si>
  <si>
    <t>POL</t>
  </si>
  <si>
    <t>DANH SÁCH CÁ NHÂN KINH DOANH ĐƯỢC KHEN THƯỞNG SỐ HÓA</t>
  </si>
  <si>
    <t>CTV083070</t>
  </si>
  <si>
    <t>Vô T8/2024</t>
  </si>
  <si>
    <t>BLĐT</t>
  </si>
  <si>
    <t>TSĐC</t>
  </si>
  <si>
    <t>POS</t>
  </si>
  <si>
    <t>Từ ngày 01/09/2024 đến ngày 30/09/2024</t>
  </si>
  <si>
    <t>06/09/2024</t>
  </si>
  <si>
    <t>KT2-1131-881</t>
  </si>
  <si>
    <t xml:space="preserve">  - P08 TTKD BTE thanh toán hoa hồng DV CNTT T6.2024-CTV Hộ KD- CA 7,315,000, TSDC 20,000,000, HKD 810,000, SMARTCA 460,909, HDDT 5,773,500, BHXH 1,358,000 Qua VNPT Pay-Theo danh sách đính kèm-Trích thuế TNCN 2.142.054</t>
  </si>
  <si>
    <t>16/09/2024</t>
  </si>
  <si>
    <t>KT2-1131-896</t>
  </si>
  <si>
    <t xml:space="preserve">  - P03 TTKD BTE thanh toán hoa hồng DV CNTT T4,5,6,7.2024-CTV qua đối tác , CTV hộ KD-Theo danh sách đính kèm-Qua Ví VNPT Pay. Trích thuế TNCN 2.732.311 ( CA 41,912,160, TSDC 26,500,000, SMARTCA 657,273, HDDT 7,672,500, BHXH 2,704,400, IOFFICE 1,430,000</t>
  </si>
  <si>
    <t>17/09/2024</t>
  </si>
  <si>
    <t xml:space="preserve">  - P05-TTKD BTE thanh toán hoa hồng DV CNTT T5.2024 -CTV qua đối tác (CA 12,947,920, HKD 1,140,000, HDDT 764,600, BHXH 336,000) qua Ví Pay-cho Huỳnh Nguyễn Giao Hân.</t>
  </si>
  <si>
    <t>26/09/2024</t>
  </si>
  <si>
    <t>KT2-1131-925</t>
  </si>
  <si>
    <t xml:space="preserve">  - P07- TTKD BTE thanh toán hoa hồng DV CNTT T8 .2024-CTV qua đối tác- theo danh sách kèm-Qua Ví VNPT Pay.( CA 501.000, HDDT 418.700, HKD 270.000)</t>
  </si>
  <si>
    <t>KT2-1131-926</t>
  </si>
  <si>
    <t xml:space="preserve">  - P06- TTKD BTE thanh toán hoa hồng DV CNTT T8 .2024-CTV qua đối tác- Cho Hồ Thanh Liêm-Qua Ví VNPT Pay.( CA 4.459.440, CA CN 220.000, IVAN 1.651.200, HDDT MTT 3.600.000, CA HKD 150.000, HDDT HKD 90.000)</t>
  </si>
  <si>
    <t>27/09/2024</t>
  </si>
  <si>
    <t xml:space="preserve">  - P07- TTKD BTE thanh toán hoa hồng DV CNTT T6.2024-CTV QUA ĐỐI TÁC--Theo danh sách kèm-Qua Ví VNPT Pay. ( CA 6,926,160, TSDC 6,500,000, SMARTCA 736,366, BHXH 1,065,600)</t>
  </si>
  <si>
    <t xml:space="preserve">  - P08-TTKD BTE thanh toán hoa hồng DV CNTT T07.2024-CTV HỘ KD, CTV QUA ĐỐI TÁC--Theo danh sách kèm-Qua Ví VNPT Pay. Trích thuế TNCN 241.510 ( CA 2,713,200, HKD 270,000, HDDT 433,500, BHXH 243,200, HSS 1,292,400)</t>
  </si>
  <si>
    <t xml:space="preserve">  - P08-TTKD BTE thanh toán hoa hồng DV CNTT T08.2024-CTV HỘ KD, CTV QUA ĐỐI TÁC--Theo danh sách kèm-Qua Ví VNPT Pay. Trích thuế TNCN 316.240 ( CA 4,405,200, HKD 990,000, HDDT 290,200, BHXH 142,000)</t>
  </si>
  <si>
    <t>30/09/2024</t>
  </si>
  <si>
    <t>KT2-1131-959</t>
  </si>
  <si>
    <t xml:space="preserve">  - P07-TTKD BTE thanh toán hoa hồng DV CNTT T7.2024-CTV qua đối tác - cho Theo danh sách đính kèm-Qua Ví VNPT Pay. ( CA 1,719,800, SMARTCA 40,909, HDDT 106,700, HSS 646,200, IPORTAL 110,000, TENMIEN 30,000)</t>
  </si>
  <si>
    <t>KT2-1131-968</t>
  </si>
  <si>
    <t xml:space="preserve">  - P03-TTKD BTE thanh toán hoa hồng DV CNTT T7.2024-CTV HỘ KD , CTV QUA ĐỐI TÁC cho Theo danh sách đính kèm-Qua Ví VNPT Pay. Trích thuế TNCN 2.553.705 ( CA 25,806,400, TSDC 2,500,000, SMARTCA 2,945,455, HDDT 2,933,900, BHXH 1,707,600, IOFFICE 330,000, H</t>
  </si>
  <si>
    <t>KT2-1131-969</t>
  </si>
  <si>
    <t xml:space="preserve">  - P06-TTKD BTE thanh toán hoa hồng DV CNTT T5 6 7.2024-CTV HỘ KD , CTV QUA ĐỐI TÁC cho Theo danh sách đính kèm-Qua Ví VNPT Pay. Trích thuế TNCN 1.384.687 ( CA 4,980,800, TSDC 7,000,000, SMARTCA 1,677,270, HDDT 2,398,400, BHXH 255,200, HSS 5,169,600, ED</t>
  </si>
  <si>
    <t>Ngày 17 tháng 10 năm 2024</t>
  </si>
  <si>
    <t>KT2-1131-870</t>
  </si>
  <si>
    <t xml:space="preserve">  - P01- PL1 DIDONG-TTKD BTE thanh toán khen thưởng CÁ NHÂN chương trình bán hàng tổng lực ngày 23, 24.08.2024, VB 2121/MSTH 30.08 .Nguồn NV Quỹ khen thưởng, CTV chi phí hoa hồng-( CTV QUA ĐỐI TÁC 3.252.50) Theo danh sách đính kèm-Qua Ví VNPT Pay</t>
  </si>
  <si>
    <t>KT2-1131-872</t>
  </si>
  <si>
    <t xml:space="preserve">  - P01- PL3 SOHOA-TTKD BTE thanh toán khen thưởng CÁ NHÂN chương trình bán hàng tổng lực ngày 23, 24.08.2024, VB 2121/MSTH 30.08 .Nguồn NV Quỹ khen thưởng, CTV chi phí hoa hồng ( CTV QUA ĐỐI TÁC 276.000)- Theo danh sách đính kèm-Qua Ví VNPT Pay</t>
  </si>
  <si>
    <t>KT2-1131-879</t>
  </si>
  <si>
    <t xml:space="preserve">  - P08 TTKD BTE thanh toán hoa hồng DV CNTT T2.2024-CTV qua đối tác, Hộ KD- HSS 1.971.000 -qua Ví VNPT Pay-Theo danh sách đính kèm-Trích thuế TNCN 78.840</t>
  </si>
  <si>
    <t>KT2-1131-884</t>
  </si>
  <si>
    <t xml:space="preserve">  - P01 TTKD BTE thanh toán khen thưởng cá nhân bán hàng dịp lễ Quốc khánh 2.09,2024, VB 2198/NSTH 10.09.2024 Cho Theo danh sách đính kèm. Nguồn : NV Quỹ khen thưởng, CTV chi phí hoa hồng ( CTV qua đố tác 1.780.000)</t>
  </si>
  <si>
    <t>KT2-1131-886</t>
  </si>
  <si>
    <t xml:space="preserve">  - P01 BRCD PL3-TTKD BTE thanh toán khen thưởng cá nhân bán hàng dịp lễ Quốc khánh 2.09,2024, VB 2198/NSTH 10.09.2024 Cho Theo danh sách đính kèm. Nguồn : NV Quỹ khen thưởng, CTV chi phí hoa hồng ( CTV QUA ĐỐI TÁC 1.500.000)</t>
  </si>
  <si>
    <t>KT2-1131-887</t>
  </si>
  <si>
    <t xml:space="preserve">  - P01 SOHOA PL4-TTKD BTE thanh toán khen thưởng cá nhân bán hàng dịp lễ Quốc khánh 2.09,2024, VB 2198/NSTH 10.09.2024 Cho Theo danh sách đính kèm. Nguồn : NV Quỹ khen thưởng, CTV chi phí hoa hồng ( CTV QUA ĐỐI TÁC 730.000)</t>
  </si>
  <si>
    <t>KT2-1131-898</t>
  </si>
  <si>
    <t xml:space="preserve">  - P01 DIDONG PL1-TTKD BTE thanh toán khen thưởng cá nhân tổng lực dịch vụ di động ngày 29 ,30.08.2024 VB 2245/NSTH 16.09.2024, qua Ví Pay-Theo danh sách kèm. Nguồn NV Quỹ khen thưởng, CTV chi phí hoa hồng ( CTV qua đối tác 3.130.000)</t>
  </si>
  <si>
    <t>KT2-1131-900</t>
  </si>
  <si>
    <t xml:space="preserve">  - P01 SOHOA PL3-TTKD BTE thanh toán khen thưởng cá nhân tổng lực dịch vụ di động ngày 29 ,30.08.2024 VB 2245/NSTH 16.09.2024, qua Ví Pay-Theo danh sách kèm. Nguồn NV Quỹ khen thưởng, CTV chi phí hoa hồng ( CTV QUA ĐỐI TÁC 213.000)</t>
  </si>
  <si>
    <t>KT2-1131-924</t>
  </si>
  <si>
    <t xml:space="preserve">  - P07- TTKD BTE thanh toán hoa hồng DV CNTT T5 .2024-CTV qua đối tác- theo danh sách kèm-Qua Ví VNPT Pay.( TSDC 2.500.000)</t>
  </si>
  <si>
    <t>KT2-1131-934</t>
  </si>
  <si>
    <t xml:space="preserve">  - P01 -DIDONG -PL1 TTKD BTE thanh toán khen thưởng cá nhân tổng lực di dộng ngày 13, 14.09.2024-VB 2309/NSTH 30.09.2024. Nguồn NV quỹ khen thưởng, CTV CP Hoa hồng ( CTV qua đối tác 2.105.000)</t>
  </si>
  <si>
    <t>KT2-1131-936</t>
  </si>
  <si>
    <t xml:space="preserve">  - P01 -SOHOA -PL3 TTKD BTE thanh toán khen thưởng cá nhân tổng lực di dộng ngày 13, 14.09.2024-VB 2309/NSTH 30.09.2024. Nguồn NV quỹ khen thưởng, CTV CP Hoa hồng- ( CTV qua đối tác 93.000)</t>
  </si>
  <si>
    <t>KT2-1131-937</t>
  </si>
  <si>
    <t xml:space="preserve">  - P01 -BRCD -PL1 TTKD BTE thanh toán khen thưởng cá nhân B2A PT mới MYTV, MESH, SIM thâm canh trên fiber hiện hữu ngày 04-05.09.2024, VB 2304/NSTH 33.09. Nguồn NV Quỹ khen thưởng, CTV chi phí hoa hồng, ( CTV qua đối tác 120.000)</t>
  </si>
  <si>
    <t>KT2-1131-939</t>
  </si>
  <si>
    <t xml:space="preserve">  - P01 -DIDONG -PL3 TTKD BTE thanh toán khen thưởng cá nhân B2A PT mới MYTV, MESH, SIM thâm canh trên fiber hiện hữu ngày 04-05.09.2024, VB 2304/NSTH 33.09. Nguồn NV Quỹ khen thưởng, CTV chi phí hoa hồng, ( CTV qua đối tác 165.000)</t>
  </si>
  <si>
    <t>KT2-1131-940</t>
  </si>
  <si>
    <t xml:space="preserve">  - P01 -SOHOA -PL4 TTKD BTE thanh toán khen thưởng cá nhân B2A PT mới MYTV, MESH, SIM thâm canh trên fiber hiện hữu ngày 04-05.09.2024, VB 2304/NSTH 33.09. Nguồn NV Quỹ khen thưởng, CTV chi phí hoa hồng, ( CTV qua đối tác 150.000)</t>
  </si>
  <si>
    <t xml:space="preserve">  - P08-TTKD BTE thanh toán hoa hồng DV CNTT T05.2024-CTV HỘ KD, CTV QUA ĐỐI TÁC--Theo danh sách kèm-Qua Ví VNPT Pay. Trích thuế TNCN 559.833 ( CA 3,111,120, HKD 180,000, SMARTCA 1,183,636, HDDT 106,700, BHXH 729,600, BLDT ,IOFFICE 660,000)</t>
  </si>
  <si>
    <t xml:space="preserve">  - P08-TTKD BTE thanh toán hoa hồng DV CNTT T06.2024-CTV HỘ KD, CTV QUA ĐỐI TÁC--Theo danh sách kèm-Qua Ví VNPT Pay. Trích thuế TNCN 708.795 ( CA 1,697,040, TSDC 5,500,000, HKD 360,000, SMARTCA 122,727, HDDT 1,380,000, IOFFICE 110,000)</t>
  </si>
  <si>
    <t>(Kèm theo Quyết định số:2107/QĐ-TTKD BTre – NSTH ngày 29/8/2024)</t>
  </si>
  <si>
    <t xml:space="preserve">DANH SÁCH  TẬP THỂ ĐƯỢC KHEN THƯỞNG  </t>
  </si>
  <si>
    <t>(Kèm theo Quyết định số 2107/QĐ-TTKD BTre – NSTH ngày 29/8/2024)</t>
  </si>
  <si>
    <t>(Kèm theo Quyết định số:2121/QĐ-TTKD BTre – NSTH ngày 30/8/2024)</t>
  </si>
  <si>
    <t>DANH SÁCH CÁ NHÂN KINH DOANH ĐƯỢC KHEN THƯỞNG DỊCH VỤ DỐ HÓA</t>
  </si>
  <si>
    <t>(Kèm theo Quyết định số 2121/QĐ-TTKD BTre – NSTH ngày 30/8/2024)</t>
  </si>
  <si>
    <t>(Kèm theo Quyết định số:2149/QĐ-TTKD BTre – NSTH ngày 04/9/2024)</t>
  </si>
  <si>
    <t>3.640.000</t>
  </si>
  <si>
    <t>1.960.000</t>
  </si>
  <si>
    <t>5.600.000</t>
  </si>
  <si>
    <t>(Kèm theo Quyết định số 2149/QĐ-TTKD BTre – NSTH ngày 04/9/2024)</t>
  </si>
  <si>
    <t>DANH SÁCH CÁ NHÂN ĐƯỢC KHEN THƯỞNG PHÁT TRIỂN THUÊ BAO BRCĐ VÀ MyTV</t>
  </si>
  <si>
    <t>(Kèm theo Quyết định số 2218/QĐ-TTKD BTre – NSTH ngày 11/9/2024)</t>
  </si>
  <si>
    <t>2.520.000</t>
  </si>
  <si>
    <t>1.300.000</t>
  </si>
  <si>
    <t>3.820.000</t>
  </si>
  <si>
    <t>Số tiền bằng chữ: Ba triệu tám trăm hai mươi ngàn đồng./.</t>
  </si>
  <si>
    <t>DANH SÁCH  KHEN THƯỞNG CHIẾN BINH XUẤT SẮC</t>
  </si>
  <si>
    <t>(Kèm theo Quyết định số:2218/QĐ-TTKD BTre – NSTH ngày 11/9/2024)</t>
  </si>
  <si>
    <t>Lê Thanh Phú</t>
  </si>
  <si>
    <t>Số tiền bằng chữ: Một triệu hai trăm ngàn đồng./.</t>
  </si>
  <si>
    <t>DANH SÁCH NVKD ĐƯỢC KHEN THƯỞNG PHÁT TRIỂN</t>
  </si>
  <si>
    <t>(Kèm theo Quyết định số 2198/QĐ-TTKD BTre – NSTH ngày 10/9/2024)</t>
  </si>
  <si>
    <t>Số tiền bằng chữ:Hai triệu sáu trăm sáu mươi ngàn đồng./.</t>
  </si>
  <si>
    <t>DANH SÁCH NVKT ĐƯỢC KHEN THƯỞNG PHÁT TRIỂN BRCĐ</t>
  </si>
  <si>
    <t>Lê Minh Thanh</t>
  </si>
  <si>
    <t>Nguyễn Thanh Điền</t>
  </si>
  <si>
    <t>Số tiền bằng chữ: Hai triệu tám trăm lẽ một ngàn đồng./.</t>
  </si>
  <si>
    <t>DANH SÁCH NVKD ĐƯỢC KHEN THƯỞNG PHÁT TRIỂN BRCĐ</t>
  </si>
  <si>
    <r>
      <t xml:space="preserve"> </t>
    </r>
    <r>
      <rPr>
        <i/>
        <sz val="12"/>
        <color theme="1"/>
        <rFont val="Times New Roman"/>
        <family val="1"/>
      </rPr>
      <t>(Kèm theo Quyết định số 2198/QĐ-TTKD BTre – NSTH ngày 10/9/2024)</t>
    </r>
  </si>
  <si>
    <t>1.770.000</t>
  </si>
  <si>
    <t>3.270.000</t>
  </si>
  <si>
    <t>Số tiền bằng chữ: Ba triệu hai trăm bảy mươi ngàn đồng./.</t>
  </si>
  <si>
    <t xml:space="preserve">PHỤ LỤC </t>
  </si>
  <si>
    <t>DANH SÁCH NVKD ĐƯỢC KHEN THƯỞNG DỊCH VỤ DỐ HÓA</t>
  </si>
  <si>
    <t>(Kèm theo Quyết định số:2198/QĐ-TTKD BTre – NSTH ngày 10/9/2024)</t>
  </si>
  <si>
    <t>Số tiền bằng chữa: Tám trăm ba mươi mươi ba ngàn đồng./.</t>
  </si>
  <si>
    <t>(Kèm theo Quyết định số:2245/QĐ-TTKD BTre – NSTH ngày 16/9/2024)</t>
  </si>
  <si>
    <t>Số tiền bằng chữ: Năm triệu không trăm mười lăm ngàn đồng./.</t>
  </si>
  <si>
    <t>Số tiền bằng chữa: Ba trăm tám mươi ngàn đồng./.</t>
  </si>
  <si>
    <t>Số tiền bằng chữ: Bốn trăm mười ba ngàn đồng./.</t>
  </si>
  <si>
    <t>(Kèm theo Quyết định số 2304 /QĐ-TTKD BTre – NSTH ngày 23/9/2024)</t>
  </si>
  <si>
    <t>Số tiền bằng chữ:Năm trăm bảy mươi ngàn đồng./</t>
  </si>
  <si>
    <t>DANH SÁCH NHÂN VIÊN KỸ THUẬT ĐƯỢC KHEN THƯỞNG</t>
  </si>
  <si>
    <t>(Kèm theo Quyết định số 2304/QĐ-TTKD BTre – NSTH ngày 23/9/2024)</t>
  </si>
  <si>
    <t>Mức thưởng(đông)</t>
  </si>
  <si>
    <t>Số tiền bằng chữ: Một trăm ba mươi hai ngàn đồng./.</t>
  </si>
  <si>
    <t>DANH SÁCH CÁ NHÂN KINH DOANH ĐƯỢC KHEN THƯỞNG</t>
  </si>
  <si>
    <t xml:space="preserve"> DỊCH VỤ VINAPHONE</t>
  </si>
  <si>
    <t>Số tiền bằng chữ: Một trăm chín mươi lăm ngàn đồng./</t>
  </si>
  <si>
    <t>(Kèm theo Quyết định số  2304/QĐ-TTKD BTre – NSTH ngày 23/9/2024)</t>
  </si>
  <si>
    <t>Số tiền bằng chữ: Hai trăm bốn mươi sáu ngàn đồng./</t>
  </si>
  <si>
    <t>(Kèm theo Quyết định số:2309/QĐ-TTKD BTre – NSTH ngày 23/9/2024)</t>
  </si>
  <si>
    <t>Số tiền bằng chữ: Ba triệu bốn trăm bốn mươi ngàn đồng chẳn ./.</t>
  </si>
  <si>
    <t>Số tiền bằng chữa: Một trăm bốn mươi ba ngàn đồng chẳn./.</t>
  </si>
  <si>
    <t>Số tiền bằng chữ: Hai trăm sáu mươi bốn ngàn đồng./.</t>
  </si>
  <si>
    <t>(Kèm theo Quyết định số 2309/QĐ-TTKD BTre – NSTH ngày 23/9/2024)</t>
  </si>
  <si>
    <t>Số tiền bằng chữ: Một triệu đồng chẳn./.</t>
  </si>
  <si>
    <t>HKD</t>
  </si>
  <si>
    <t>TÊN MIỀN</t>
  </si>
  <si>
    <t>DINH DƯỠNG</t>
  </si>
  <si>
    <t>Từ ngày 01/10/2024 đến ngày 31/10/2024</t>
  </si>
  <si>
    <t>02/10/2024</t>
  </si>
  <si>
    <t xml:space="preserve">  - P01-DIDONG-PL1 TTKD BTE thanh toán khen thưởng cá nhân PT di động VTCI T8.2024, VB 2328/NSTH 26.09.2024. Nguồn NV lương khuyến khích, CTV chi phí hoa hồng ( CTV QUA ĐỐI TÁC 9.900.000), cho Theo danh sách đính kèm-Qua Ví VNPT Pay.</t>
  </si>
  <si>
    <t xml:space="preserve">  - P01-DIDONG-PL2 TTKD BTE thanh toán khen thưởng cá nhân PT di động VTCI T8.2024, VB 2328/NSTH 26.09.2024. Nguồn NV lương khuyến khích, CTV chi phí hoa hồng ( CTV QUA ĐỐI TÁC 2.220.000), cho Theo danh sách đính kèm-Qua Ví VNPT Pay.</t>
  </si>
  <si>
    <t>07/10/2024</t>
  </si>
  <si>
    <t>KT2-1131-980</t>
  </si>
  <si>
    <t xml:space="preserve">  - P01-DIDONG-PL1 TTKD BTE thanh toán khen thưởng Cá nhân tổng lực di động ngày 20,21 tháng 09.2024-PL1 VB 2414/NSTH 23.09,Qua Ví VNPT Pay. cho Theo danh sách đính kèm, Nguồn NV quỹ khen thưởng, CTV chi phí hoa hồng ( CTV qua đối tác 1.645.000)</t>
  </si>
  <si>
    <t xml:space="preserve">  - P01-SOHOA-PL3 TTKD BTE thanh toán khen thưởng Cá nhân tổng lực di động ngày 20,21 tháng 09.2024-PL3 VB 2414/NSTH 23.09,Qua Ví VNPT Pay. cho Theo danh sách đính kèm, Nguồn NV quỹ khen thưởng, CTV chi phí hoa hồng ( CTV QUA ĐỐI TÁC 69.000)</t>
  </si>
  <si>
    <t>08/10/2024</t>
  </si>
  <si>
    <t>KT2-1131-987.1</t>
  </si>
  <si>
    <t xml:space="preserve">  - P04 HT THUẾ TNCN-TTKD BTE thanh toán Hoa hồng DV CNTT T3.2024-CTV Hộ KD cho Lê Minh Tuấn -Qua Ví VNPT Pay. ( SMARTCA 18.245.454, hss 16.801.200). Trích thuế TNCN 3.504.665</t>
  </si>
  <si>
    <t>KT2-1131-988.1</t>
  </si>
  <si>
    <t xml:space="preserve">  - P04 HT THUẾ TNCN-TTKD BTE thanh toán Hoa hồng DV CNTT T6-7.2024-CTV Hộ KD cho Lê Minh Tuấn -Qua Ví VNPT Pay. CA 3.574.400, TSDC 2,148,920, CA HKD 150.000, HDDT 494,000, HSS 1,292,400, Trích thuế TNCN 851.080</t>
  </si>
  <si>
    <t>KT2-1131-989.1</t>
  </si>
  <si>
    <t xml:space="preserve">  - P04 HT THUẾ TNCN-TTKD BTE thanh toán Hoa hồng DV CNTT T8.2024-CTV Hộ KD cho Lê Minh Tuấn -Qua Ví VNPT Pay. ( CA 1.028.400, CA HKD 285.000, HDDT 180.000, IVAN 414.800). Trích thuế TNCN 190.820</t>
  </si>
  <si>
    <t>11/10/2024</t>
  </si>
  <si>
    <t>KT2-P01-5672</t>
  </si>
  <si>
    <t xml:space="preserve">  - P10 TTKD BTE thanh toán hoa hồng DV CNTT T7-CTV HKD cho Võ Hữu Khoa ( DATMAYCHU 1.994.000). Trích thuế TNCN 194.400)</t>
  </si>
  <si>
    <t>KT2-P01-5675.1</t>
  </si>
  <si>
    <t xml:space="preserve">  - P01 HT THUẾ TNCN-P10 TTKD BTE thanh toán hoa hồng DV CNTT T7 -CTV HKD cho Lê Thị Nở ( CA 3.654.400, CHECK 381.700), Trích thuế TNCN 403.610</t>
  </si>
  <si>
    <t>KT2-P01-5683.1</t>
  </si>
  <si>
    <t xml:space="preserve">  - P01 HT THUẾ TNCN-P10 TTKD BTE thanh toán hoa hồng DV CNTT T7-CTV HKD cho Lê Thị Nở ( CA 509.200, SMARTCA 300.000), Trích thuế TNCN 80.920</t>
  </si>
  <si>
    <t>17/10/2024</t>
  </si>
  <si>
    <t>KT2-P01-5776</t>
  </si>
  <si>
    <t xml:space="preserve">  - TTKD BTE thanh toán khen thưởng cá nhân phong trào thi đua DV Di động VTCI T9-VB 2521/NSTH -PL1 T9 cho Theo danh sách đính kèm. Nguồn NV quỹ lương khuyến khích, CTV chi phí hoa hồng ( CTV qua đối tác 6.950.000)</t>
  </si>
  <si>
    <t>KT2-P01-5777</t>
  </si>
  <si>
    <t xml:space="preserve">  - TTKD BTE thanh toán khen thưởng cá nhân phong trào thi đua DV Di động VTCI T9-VB 2521/NSTH -PL2 T8 cho Theo danh sách đính kèm, Nguồn NV quỹ lương khuyến khích, CTV chi phí hoa hồng ( CTV qua đối tác 4.000.000)</t>
  </si>
  <si>
    <t>18/10/2024</t>
  </si>
  <si>
    <t>KT2-P01-5829</t>
  </si>
  <si>
    <t xml:space="preserve">  - P10 TTKD BTE thanh toán hoa hồng DV CNTT T8- CTV HKD cho Võ Hữu Khoa-HDDT 1.500.000. Trích thuế TNCN 150.000</t>
  </si>
  <si>
    <t>KT2-P01-5820.1</t>
  </si>
  <si>
    <t xml:space="preserve">  - P10 HT THUẾ TNCN-TTKD BTE thanh toán hoa hồng DV CNTT T8- CTV HKD cho Đặng Thị Thu Trúc-( CA 1.841.440, IVAN 410.400, HDDT 273.900). Trích thuế TNCN 252.574</t>
  </si>
  <si>
    <t>21/10/2024</t>
  </si>
  <si>
    <t>KT2-P01-5874</t>
  </si>
  <si>
    <t xml:space="preserve">  - P11 TTKD BTE thanh toán tiền làm thêm giờ T9-PBH Online, VB 2519/NSTH cho Theo danh sách đính kèm ( CTV QUA ĐỐI TÁC 600.000)</t>
  </si>
  <si>
    <t>KT2-P01-5877.1</t>
  </si>
  <si>
    <t xml:space="preserve">  - P11 HT THUẾ TNCN-TTKD BTE thanh toán hoa hồng CTV T9-PBH Online cho Theo danh sách đính kèm, Trích thuế TNCN 5.492.532</t>
  </si>
  <si>
    <t>KT2-P01-5876.1</t>
  </si>
  <si>
    <t xml:space="preserve">  - P01 HT Lương T09.2024-CTV qua đối tác -Theo bảng lương từ NSTH</t>
  </si>
  <si>
    <t>KT2-P01-5876.9</t>
  </si>
  <si>
    <t xml:space="preserve">  - P01 -HT Bù trừ công nợ phải trả qua lương T09.2024-CTV qua đối tác ( TK 33888)</t>
  </si>
  <si>
    <t>KT2-P01-5876.10</t>
  </si>
  <si>
    <t>24/10/2024</t>
  </si>
  <si>
    <t>KT2-P01-5942</t>
  </si>
  <si>
    <t xml:space="preserve">  - P07 TTKD BTE thanh toán hoa hồng DV CNTT T8-CTV QUA ĐỐI TÁC cho Theo danh sách đính kèm ( CA 1.677.600, QLDD 330.000, HKD 90.000, IOFFICE 110.000, SMARTCA 600.000)</t>
  </si>
  <si>
    <t>KT2-P01-5945</t>
  </si>
  <si>
    <t xml:space="preserve">  - P06 TTKD BTE thanh toán hoa hồng Dv CNTT T3 ĐẾN T8 -CTV qua đối tác, HKD cho Theo danh sách đính kèm CA 14,797,000, TSDC 1,500,000, SMARTCA 1,165,362, HDDT 776,800, BHXH 2,840,400, HSS 2,584,800). TRÍCH THUẾ TNCN 425.678</t>
  </si>
  <si>
    <t>KT2-P01-5928.1</t>
  </si>
  <si>
    <t xml:space="preserve">  - P09 HT THUẾ TNCN- TTKD BTE thanh toán hoa hồng DV CNTT T7-CTV HKD -CA 6.058.000, HDDT 167.200, HDDT MTT 2.232.000, HSS 646.20. Trích thuế TNCN 910.340</t>
  </si>
  <si>
    <t>KT2-P01-5931.1</t>
  </si>
  <si>
    <t xml:space="preserve">  - P02 HT THUẾ TNCN-TTKD BTE thanh toán hoa hồng Dv CNTT T9 -CTV HKD-cho Lâm Văn Thịnh ( CA 1.182.400, HDDT 167.200, IOFFICE 110.000, LMS 1.000.000) .Trích thuế TNCN 245.960</t>
  </si>
  <si>
    <t>KT2-P01-5932.1</t>
  </si>
  <si>
    <t xml:space="preserve">  - P02 HT THUẾ TNCN- TTKD BTE thanh toán hoa hồng DV CNTT T8 -CTV HKD cho Lâm Văn Thịnh-CA 749.200. Trích thuế TNCN 74.920</t>
  </si>
  <si>
    <t>KT2-P01-5943.1</t>
  </si>
  <si>
    <t xml:space="preserve">  - P03 HT THUẾ TNCN-TTKD BTE thanh toán hoa hồng PTTB T9-CTV THU CUOC, HKD cho Theo danh sách đính kèm-Trích thuế TNCN 345.895, Trừ CN Dương Minh Hiếu 875.000</t>
  </si>
  <si>
    <t>KT2-P01-5945.1</t>
  </si>
  <si>
    <t xml:space="preserve">  - P06 HT THUẾ TNCN- TTKD BTE thanh toán hoa hồng Dv CNTT T3 ĐẾN T8 -CTV qua đối tác, HKD cho Theo danh sách đính kèm CA 14,797,000, TSDC 1,500,000, SMARTCA 1,165,362, HDDT 776,800, BHXH 2,840,400, HSS 2,584,800). TRÍCH THUẾ TNCN 425.678</t>
  </si>
  <si>
    <t>KT2-P01-5946.1</t>
  </si>
  <si>
    <t xml:space="preserve">  - P08 HT THUẾ TNCN- TTKD BTE thanh toán hoa hồng PTTB T9-CTV THU CƯỚC, HỘ KD cho Theo danh sách đính kèm, Trích thuế TNCN 3.602.690, Thương Fiber T9 VB 2453/NSTH 420.000</t>
  </si>
  <si>
    <t>25/10/2024</t>
  </si>
  <si>
    <t>KT2-P01-6012</t>
  </si>
  <si>
    <t xml:space="preserve">  - P08 TTKD BTE thanh toán hoa hồng DV CNTT T6-CTV Qua đối tác, HKD cho Theo danh sách đính kèm ( CA 1,550,040, TSDC 4.000.000, HKD 282,158, SMARTCA 81,818, HDDT , BHXH 243,200) Trích Thuế TNCN 344.898</t>
  </si>
  <si>
    <t>KT2-P01-6013</t>
  </si>
  <si>
    <t xml:space="preserve">  - P08 TTKD BTE thanh toán hoa hồng DV CNTT T8-CTV Qua đối tác, HKD cho Theo danh sách đính kèm ( CA 1.784.000, HKD 450.000, HSS 646.200, IPORTAL 330.000, HDDT 463.400) Trích Thuế TNCN 318.960</t>
  </si>
  <si>
    <t>KT2-P01-6016</t>
  </si>
  <si>
    <t xml:space="preserve">  - P08 TTKD BTE thanh toán hoa hồng DV CNTT T9-cho Theo danh sách đính kèm, ( CA 983.200, IVAN 812.000, HDDT 167.200). Trích thuế TNCN 52.800</t>
  </si>
  <si>
    <t>KT2-P01-6022</t>
  </si>
  <si>
    <t xml:space="preserve">  - P01-PL1 TTKD BTE thanh toán khen thưởng cá nhân DV di động ngày 10, 11.10.2024, VB 2567/NSTH 21.10.2024. Nguồn NV Quỹ khen thưởng, CTV chi phí hoa hồng ( CTV qua đối tác 1.480.000)</t>
  </si>
  <si>
    <t>KT2-P01-6025</t>
  </si>
  <si>
    <t xml:space="preserve">  - P01-SOHOA- PL3 TTKD BTE thanh toán khen thưởng cá nhân DV di động ngày 10, 11.10.2024, VB 2567/NSTH 21.10.2024. Nguồn NV Quỹ khen thưởng, CTV chi phí hoa hồng ( CTV QUA ĐỐI TÁC 118.000)</t>
  </si>
  <si>
    <t>KT2-P01-6027</t>
  </si>
  <si>
    <t xml:space="preserve">  - P01-DIDONG PL1 TTKD BTE thanh toán khen thưởng cá nhân chương trình thi đua tổng lực DV di động ngày 04, 05/10/.2024, VB 2566/NSTH 21.10.2024. Nguồn NV Quỹ khen thưởng, CTV chi phí hoa hồng ( CTV qua đối tác 2.379.000)</t>
  </si>
  <si>
    <t>KT2-P01-6029</t>
  </si>
  <si>
    <t xml:space="preserve">  - P01-SOHOA PL3 TTKD BTE thanh toán khen thưởng cá nhân chương trình thi đua tổng lực DV di động ngày 04, 05/10/.2024, VB 2566/NSTH 21.10.2024. Nguồn NV Quỹ khen thưởng, CTV chi phí hoa hồng ( CTV qua đối tác 2.379.000)</t>
  </si>
  <si>
    <t>KT2-P01-5997.1</t>
  </si>
  <si>
    <t xml:space="preserve">  - P09 HT THUẾ TNCN-TTKD BTE thanh toán hoa hồng Dv CNTT T6-CTV HKD cho Lê Thị Kim Cương ( CA 3.190.000, HDDT 372.000, IVAN 402.400) Trích thuế TNCN 396.440</t>
  </si>
  <si>
    <t>KT2-P01-6011.1</t>
  </si>
  <si>
    <t xml:space="preserve">  - P08 HT THUẾ TNCN-TTKD BTE thanh toán hoa hồng Dv CNTT T5-CTV HKD Theo danh sách đính kèm ( CA 2.922.840, IOFFICE 220.000, HKD 270.000, IVAN 243.200) Trích thuế TNCN 365.604</t>
  </si>
  <si>
    <t>KT2-P01-6012.1</t>
  </si>
  <si>
    <t xml:space="preserve">  - P08 HT THUẾ TNCN- TTKD BTE thanh toán hoa hồng DV CNTT T6-CTV Qua đối tác, HKD cho Theo danh sách đính kèm ( CA 1,550,040, TSDC 4.000.000, HKD 282,158, SMARTCA 81,818, HDDT , BHXH 243,200) Trích Thuế TNCN 344.898</t>
  </si>
  <si>
    <t>KT2-P01-6013.1</t>
  </si>
  <si>
    <t xml:space="preserve">  - P08 HT THUẾ TNCN-TTKD BTE thanh toán hoa hồng DV CNTT T8-CTV Qua đối tác, HKD cho Theo danh sách đính kèm ( CA 1.784.000, HKD 450.000, HSS 646.200, IPORTAL 330.000, HDDT 463.400) Trích Thuế TNCN 318.960</t>
  </si>
  <si>
    <t>KT2-P01-6014.1</t>
  </si>
  <si>
    <t xml:space="preserve">  - P08 HT THUẾ TNCN- TTKD BTE thanh toán hoa hồng DV CNTT T7-CTV HKD cho Trần Thị May Hậu ( CA 150.000, HSS 646.200, HKD 90.000) Trích thuế TNCN 88.619</t>
  </si>
  <si>
    <t>KT2-P01-6015.1</t>
  </si>
  <si>
    <t xml:space="preserve">  - P08 HT THUẾ TNCN- TTKD BTE thanh toán hoa hồng DV CNTT T3 CTV HKD cho Nguyễn Tiến Trọng ( CA 66.000) Trích thuế TNCN 6.600</t>
  </si>
  <si>
    <t>KT2-P01-6016.1</t>
  </si>
  <si>
    <t xml:space="preserve">  - P08 TTKD BTE thanh toán hoa hồng DV CNTT T9-CTV QUA ĐỐI TÁC, HKD cho Theo danh sách đính kèm, ( CA 983.200, IVAN 812.000, HDDT 167.200). Trích thuế TNCN 52.800</t>
  </si>
  <si>
    <t>KT2-P01-6018.1</t>
  </si>
  <si>
    <t xml:space="preserve">  - P04 HT THUẾ TNCN-TTKD BTE thanh toán hoa hồng PTTB T9-CTV THU, CUOC, HKD PBH CHỢ LÁCH Theo danh sách đính kèm, Thuế TNCN 1.331.267, Trừ CN phạt Fiber rời mạng T9 354.000</t>
  </si>
  <si>
    <t>KT2-P01-6019.1</t>
  </si>
  <si>
    <t xml:space="preserve">  - P06 HT THUẾ TNCN-TTKD BTE TT hoa hồng PTTB T9-CTV THU CUOC, HKD PBH CHÂU THÀNH Theo danh sách đính kèm, Thuế TNCN 1.510.889, Thường Fiber VB 2543 180.000, Trừ CN 3.300.000 Hiệp Đoàn</t>
  </si>
  <si>
    <t>KT2-P01-6039.1</t>
  </si>
  <si>
    <t xml:space="preserve">  - P02 HT THUẾ TNCN -TTKD BTE thanh toán hoa hồng DV CNTT T6 -T8 CTV HKD cho Lâm Văn Thịnh ( CA 689.600, IVAN 142.000, SMARTCA 225.000).Trích thuế TNCN 105.660</t>
  </si>
  <si>
    <t>29/10/2024</t>
  </si>
  <si>
    <t>KT2-P01-6081.1</t>
  </si>
  <si>
    <t xml:space="preserve">  - P09 HT THUẾ TNCN-TTKD BTE thanh toán hoa hồng PTTB T9 CTV THU CUOC , HKD cho Theo danh sách đính kèm, trích thuế TNCN 593.523, Trừ phạt Fiber T9 VB 2453/NSTH Lê Quốc Hưng 708.000</t>
  </si>
  <si>
    <t>30/10/2024</t>
  </si>
  <si>
    <t>KT2-P01-6134</t>
  </si>
  <si>
    <t xml:space="preserve">  - P01 P03 thanh toán hoa hồng Dv CNTT T6-T9, CTV qua đối tác MCY cho Theo danh sách đính kèm ( CA 8.785.680, TSDC 1,000,000, HDDT 4,650,300, BHXH 819,000, IOFFICE 330,000)</t>
  </si>
  <si>
    <t>KT2-P01-6111.1</t>
  </si>
  <si>
    <t xml:space="preserve">  - P02 HT THUẾ TNCN- TTKD BTE thanh toán hoa hồng Dv CNTT T9-CTV HKD cho Lâm Văn Thịnh ( CA 942.000, HDDT 250.000).Trích thuế TNCN 119.200</t>
  </si>
  <si>
    <t>KT2-P01-6112.1</t>
  </si>
  <si>
    <t xml:space="preserve">  - P09 HT THUẾ TNCN- TTKD BTE thanh toán hoa hồng DV CNTT T7- CTV HKD cho Hồ Thị My ( CA 1.894.800, HDDT 352.800, IVAN 704.000) Trích thuế TNCN 295.160</t>
  </si>
  <si>
    <t>KT2-P01-6122.1</t>
  </si>
  <si>
    <t xml:space="preserve">  - P10 HT THUẾ TNCN-TTKD BTE thanh toán hoa hồng Dv CNTT T9-CTV HKD cho Võ Hữu Khoa ( CA 3.008.400, HDDT 3.917.200, BHXH 185,600, IOFFICE 220,000, HOSTING 144,000). Trích thuế TNCN 747.520</t>
  </si>
  <si>
    <t>KT2-P01-6123.1</t>
  </si>
  <si>
    <t xml:space="preserve">  - P10 HT THUẾ TNCN-TTKD BTE thanh toán hoa hồng DV CNTT T9 CTV HKD cho Lê Thị Nở ( CA 1.428.400, IVAN 620.800, HDDT 214.700). Trích thuế TNCN 226.390</t>
  </si>
  <si>
    <t>KT2-P01-6124.1</t>
  </si>
  <si>
    <t xml:space="preserve">  - P04 HT THUẾ TNCN- TTKD BTE thanh toán hoa hồng DV CNTT T6-T8 CTV HKD cho Lê Minh Tuấn ( CA 1.900.841 , TSDC 1.000.000, HDDT 250,000, BHXH 386,000, BLDT 60,000) Trích thuế TNCN 359.684</t>
  </si>
  <si>
    <t>KT2-P01-6125.1</t>
  </si>
  <si>
    <t xml:space="preserve">  - P04 HT THUẾ TNCN-TTKD BTE thanh toán hoa hồng DV CNTT T9 CTV HKD cho Lê Minh Tuấn-( CA 1.154.800, IVAN 142.000, IOFFICE 110.000, HDDT 690.000) .Trích thuế TNCN 209.680</t>
  </si>
  <si>
    <t>31/10/2024</t>
  </si>
  <si>
    <t>KT2-P01-6172.1</t>
  </si>
  <si>
    <t xml:space="preserve">  - P03 HT THUẾ TNCN-TTKD BTE thanh toán hoa hồng DV CNTT T6-T9 CTV HKD cho Trần Thị Ngọc Lan ( CA 154.000, TSDC 1.500.000, IOFFICE 1.650.000, HDDT 4.200.000). Trích thuế TNCN 750.400</t>
  </si>
  <si>
    <t>KT2-P01-6173.1</t>
  </si>
  <si>
    <t xml:space="preserve">  - P03 HT THUẾ TNCN-TTKD BTE thanh toán hoa hồng DV CNTT T6-T9 CTV HKD cho Quãng Thị Mỹ Hà ( CA 11.131.600, IVAN 54.800, ELEARNING 1.000.000, IOFFICE 220.000, HSS 1.292.400, TSDC 6.958.700). Trích thuế TNCN 2.065.750</t>
  </si>
  <si>
    <t>KT2-P01-6175</t>
  </si>
  <si>
    <t xml:space="preserve">  - P10 TTKD BTE thanh toán hoa hồng DV CNTT T9 CTV HKD cho Nguyễn Thành Trung ( VEDIENTU 20.000.000). Trích thuế TNCN 1.800.000</t>
  </si>
  <si>
    <t>KT2-P01-6171.1</t>
  </si>
  <si>
    <t xml:space="preserve">  - P10 HT THUẾ TNCN- TTKD BTE thanh toán hoa hồng DV CNTT T9-CTV HKD cho Đặng Thị Thu Trúc ( CA 3.486.800, IVAN 907.600, HDDT 2.091.200, VEDIENTU 800.000). Trích thuế TNCN 728.560</t>
  </si>
  <si>
    <t>Ngày 19 tháng 11 năm 2024</t>
  </si>
  <si>
    <t>KT2-P01-5936</t>
  </si>
  <si>
    <t xml:space="preserve">  - P07 TTKD BTE thanh toán hoa hồng Dv CNTT T7 -CTV qua đối tác ( CA 509.200) Cho Lê Duy Thịnh</t>
  </si>
  <si>
    <t>KT2-P01-5938</t>
  </si>
  <si>
    <t xml:space="preserve">  - P06 TTKD BTE thanh toán hoa hồng DV CNTT T3 ĐẾN T8-CTV QUA ĐỐI TÁC cho Hồ Thanh Liêm ( CA 1.164.800)</t>
  </si>
  <si>
    <t>KT2-P01-5939</t>
  </si>
  <si>
    <t xml:space="preserve">  - P07 TTKD BTE thanh toán hoa hồng DV CNTT T6-CTV QUA ĐỐI TÁC cho Nguyễn Văn Thanh Bình ( CA 154.000)</t>
  </si>
  <si>
    <t xml:space="preserve">DANH SÁCH CÁ NHÂN  ĐƯỢC KHEN THƯỞNG THÁNG 8 </t>
  </si>
  <si>
    <t>THEO VB 1776TTKD BTre-ĐHNV</t>
  </si>
  <si>
    <t>(Kèm theo Quyết định số:2328/QĐ-TTKD BTre – NSTH ngày 26/9/2024)</t>
  </si>
  <si>
    <t>Nguyễn Hữu nhân</t>
  </si>
  <si>
    <t>Số tiền bằng chữ: Ba mươi bốn triệu một trăm năm mươi ngàn đồng chẳn ./.</t>
  </si>
  <si>
    <t xml:space="preserve">DANH SÁCH CÁ NHÂN  ĐƯỢC KHEN THƯỞNG THÁNG 7 </t>
  </si>
  <si>
    <t>THEO VB 1475TTKD BTre-ĐHNV</t>
  </si>
  <si>
    <t>Số tiền bằng chữ: Năm triệu tám trăm tám mươi ngàn đồng chẳn./.</t>
  </si>
  <si>
    <t>(Kèm theo Quyết định số:2406/QĐ-TTKD BTre – NSTH ngày 03/10/2024)</t>
  </si>
  <si>
    <t>2.260.000</t>
  </si>
  <si>
    <t>1.550.000</t>
  </si>
  <si>
    <t>3.810.000</t>
  </si>
  <si>
    <t>Số tiền bằng chữ:Ba triệu tám trăm mười ngàn đồng chẵn./.</t>
  </si>
  <si>
    <t>Số tiền bằng chữ: Năm trăm ngàn đồng chẵn./.</t>
  </si>
  <si>
    <t>(Kèm theo Quyết định số 2406/QĐ-TTKD BTre – NSTH ngày 03/10/2024)</t>
  </si>
  <si>
    <t>Phòng bán hàng Ba Tri</t>
  </si>
  <si>
    <t>2.755.000</t>
  </si>
  <si>
    <t>Số tiền bằng chữ: Hai triệu bảy trăm năm mươi lăm ngàn đồng chẵn./.</t>
  </si>
  <si>
    <t>(Kèm theo Quyết định số:2460/QĐ-TTKD BTre – NSTH ngày 09/10/2024)</t>
  </si>
  <si>
    <t xml:space="preserve">        </t>
  </si>
  <si>
    <t>1.900.000</t>
  </si>
  <si>
    <t>2.190.000</t>
  </si>
  <si>
    <t>4.090.000</t>
  </si>
  <si>
    <t>Số tiền bằng chữ:Bốn triệu lẻ chín mươi ngàn đồng chẵn./.</t>
  </si>
  <si>
    <t>Số tiền bằng chữ: Sáu trăm ngàn đồng chẵn./.</t>
  </si>
  <si>
    <t>(Kèm theo Quyết định số 2460/QĐ-TTKD BTre – NSTH ngày 09/10/2024)</t>
  </si>
  <si>
    <t xml:space="preserve">         3.460.020 </t>
  </si>
  <si>
    <t>Số tiền bằng chữ: Ba triệu bốn trăm sáu mươi ngàn lẻ hai trăm đồng chẵn./.</t>
  </si>
  <si>
    <t>DANH SÁCH CÁ NHÂN  ĐƯỢC KHEN THƯỞNG THÁNG 9</t>
  </si>
  <si>
    <t>(Kèm theo Quyết định số:2521/QĐ-TTKD BTre – NSTH ngày 15/10/2024)</t>
  </si>
  <si>
    <t>Mai Trần Sang</t>
  </si>
  <si>
    <t>11.600.000</t>
  </si>
  <si>
    <t>8.250.000</t>
  </si>
  <si>
    <t>19.850.000</t>
  </si>
  <si>
    <t>Số tiền bằng chữ: Mười chín triệu tám trăm năm mươi ngàn đồng chẳn ./.</t>
  </si>
  <si>
    <t>DANH SÁCH CÁ NHÂN  ĐƯỢC KHEN THƯỞNG THÁNG 8</t>
  </si>
  <si>
    <t>(Kèm theo Quyết định số 2521:/QĐ-TTKD BTre – NSTH ngày 15/10/2024)</t>
  </si>
  <si>
    <t>8.820.000</t>
  </si>
  <si>
    <t>4.940.000</t>
  </si>
  <si>
    <t>13.760.000</t>
  </si>
  <si>
    <t>Số tiền bằng chữ: Mười ba triệu bảy trăm sáu mươi ngàn  đồng chẳn./.</t>
  </si>
  <si>
    <t>(Kèm theo Quyết định số:2566/QĐ-TTKD BTre – NSTH ngày 21/10/2024)</t>
  </si>
  <si>
    <t>Số tiền bằng chữ: Ba triệu một trăm bốn mươi bốn ngàn đồng chẳn ./.</t>
  </si>
  <si>
    <t>Số tiền bằng chữa: Hai mươi ngàn đồng chẳn./.</t>
  </si>
  <si>
    <t>(Kèm theo Quyết định số:2566 /QĐ-TTKD BTre – NSTH ngày 21/10/2024)</t>
  </si>
  <si>
    <t>Nguyễn Thị Cần</t>
  </si>
  <si>
    <t>Số tiền bằng chữ: Hai trăm hai mươi hai ngàn đồng./.</t>
  </si>
  <si>
    <t>(Kèm theo Quyết định số 2567:/QĐ-TTKD BTre – NSTH ngày 21/10/2024)</t>
  </si>
  <si>
    <t>Số tiền bằng chữ: Hai triệu bảy trăm năm mươi hai ngàn năm trăm đồng chẳn ./.</t>
  </si>
  <si>
    <t>(Kèm theo Quyết định số:2567/QĐ-TTKD BTre – NSTH ngày 21/10/2024)</t>
  </si>
  <si>
    <t>Số tiền bằng chữa: Sáu mươi lăm ngàn đồng chẳn./.</t>
  </si>
  <si>
    <t>(Kèm theo Quyết định số: 2567/QĐ-TTKD BTre – NSTH ngày 21/10/2024)</t>
  </si>
  <si>
    <t>Đặng Kim Đồng</t>
  </si>
  <si>
    <t>Số tiền bằng chữ: Ba trăm tám mươi sáu ngàn đồng./.</t>
  </si>
  <si>
    <t>(Kèm theo Quyết định số 2567/QĐ-TTKD BTre – NSTH ngày 21/10/2024)</t>
  </si>
  <si>
    <t>TSDC</t>
  </si>
  <si>
    <t>P01 -TRANG VÀNG - HĐ 00000520_1C24TYP - chi phí chi trả tiền lương, BHBB, KPCĐ, phí dịch vụ cho thuê lại lao động tháng 10/2024 theo HĐ số 08/HĐTLLĐ_28/12/2023 (DV CNTT: 44.254.802đ, trong đó: CA:29.190.520, SMARTCA: 947.182, IOFFCIE:440.000, TSĐC:33.500.000, QLDD:646.200, PORTAL:5.594.300, HSS: 2.500.000,  BHXH:4.606.600 )</t>
  </si>
  <si>
    <t>Từ ngày 01/11/2024 đến ngày 30/11/2024</t>
  </si>
  <si>
    <t>11/11/2024</t>
  </si>
  <si>
    <t>KT2-P01-6419</t>
  </si>
  <si>
    <t xml:space="preserve">  - P01 P05 thanh toán hoa hồng DV CNTT T6.2024 cho CTV QUA ĐỐI TÁC Theo danh sách đính kèm ( CA 13.328.720, HDDT 597.600, HDDT MTT 12.570.000, HKD 1.770.000, IVAN 822.400, HKD 180.000</t>
  </si>
  <si>
    <t>18/11/2024</t>
  </si>
  <si>
    <t>KT2-P01-6495</t>
  </si>
  <si>
    <t xml:space="preserve">  - TTKD BTE thanh toán trợ cấp tiền xăng hỗ trợ bán hàng tại Ba Tri tháng 9-tháng 10.2024, VB 2708/NSTH cho Võ Ngọc Ẩn</t>
  </si>
  <si>
    <t>22/11/2024</t>
  </si>
  <si>
    <t>KT2-P01-6661</t>
  </si>
  <si>
    <t xml:space="preserve">  - P06 TTKD BTE thanh toán hoa hồng DV CNTT T3 đến T9.2024-CTV qua đối tác, CTV HKD ( CA 4.968.000, TSDC 4.500.000, SMARTCA 1,600.906, BHXH 560.000, POS 288.000 , HSS 4.523.400)- Theo danh sách kèm, Trích thuế TNCN 960.447</t>
  </si>
  <si>
    <t>28/11/2024</t>
  </si>
  <si>
    <t>KT2-P01-6762</t>
  </si>
  <si>
    <t xml:space="preserve">  - P01 P07 thanh toán hoa hồng CNTT T08-CTV qua đối tác -GTM cho Lê Duy Thịnh - CA 285,000, HKD 180,000, HDDT 106,700</t>
  </si>
  <si>
    <t>KT2-P01-6777</t>
  </si>
  <si>
    <t xml:space="preserve">  - P06 thanh toán hoa hồng CNTT T10-CTV qua đối tác -CTH cho Hồ Thanh Liêm ( CA 1.936.800, BHXH 301.600)</t>
  </si>
  <si>
    <t>KT2-P01-6798</t>
  </si>
  <si>
    <t xml:space="preserve">  - P07 thanh toán hoa hồng CNTT T09-CTV qua đối tác -GTM cho Theo danh sách đính kèm .CA 896.600, BHXH 142.000, HDDT 106.700, PHARMACY 270.000, HKD 270.000)</t>
  </si>
  <si>
    <t>KT2-P01-6801</t>
  </si>
  <si>
    <t xml:space="preserve">  - P08 thanh toán hoa hồng DV CNTT T10-CTV HKD, CTV QUA ĐỐI TÁC- PBH Ba Tri cho Theo danh sách đính kèm.CA 14,042,640, HKD 270,000, HDDT 504,300, BHXH 385,200, TENMIEN 16,000.Thuế TNCN 1.337.534</t>
  </si>
  <si>
    <t>KT2-P01-6802</t>
  </si>
  <si>
    <t xml:space="preserve">  - P07 thanh toán hoa hồng CNTT T10-CTV qua đối tác -GTM cho Theo danh sách đính kèm, CA 66.000, EDU 330.000</t>
  </si>
  <si>
    <t>Ngày 08 tháng 12 năm 2024</t>
  </si>
  <si>
    <t>13/11/2024</t>
  </si>
  <si>
    <t>KT2-P01-6441</t>
  </si>
  <si>
    <t xml:space="preserve">  - P01 TTKD BTE thanh toán PP khen thưởng BSC Q3.2024-CTV QUA ĐỐI TÁC 30.000.000, BV 600.000- VB 2785/NSTH 12.11-Theo danh sách đính kèm - Nguồn CHI PHÍ TTKD</t>
  </si>
  <si>
    <t>19/11/2024</t>
  </si>
  <si>
    <t>KT2-P01-6537</t>
  </si>
  <si>
    <t xml:space="preserve">  - P01 SOHOA-TTKD BTE thanh toán PL3-thưởng cá nhân bán hàng tổng lực 18, 19.10.2024, VB 2761/NSTH cho Theo danh sách đính kèm. Nguồn: NV Quỹ khen thưởng , CTV chi phí hoa hồng ( ctv qua đối tác 129.000)</t>
  </si>
  <si>
    <t>KT2-P01-6538</t>
  </si>
  <si>
    <t xml:space="preserve">  - P01 DIDONG-TTKD BTE thanh toán PL1-thưởng cá nhân bán hàng tổng lực 18, 19.10.2024, VB 2761/NSTH cho Theo danh sách đính kèm. Nguồn: NV Quỹ khen thưởng , CTV chi phí hoa hồng ( ctv qua đối tác 2.875.000)</t>
  </si>
  <si>
    <t>20/11/2024</t>
  </si>
  <si>
    <t>KT2-P01-6573</t>
  </si>
  <si>
    <t xml:space="preserve">  - P01 -PL1 TTKD BTE thanh toán khen thưởng cá nhân PT dịch vụ VTCI T10-VB 2815/NSTH 14.11.2024. Nguồn NV quỹ lương khuyến khích, CTV chi phí hoa hồng, CTV qua đối tác 18.100.000</t>
  </si>
  <si>
    <t>KT2-P01-6580</t>
  </si>
  <si>
    <t xml:space="preserve">  - P01 -PL2 TTKD BTE thanh toán khen thưởng cá nhân PT dịch vụ VTCI T9,10-VB 2815/NSTH 14.11.2024. Nguồn NV quỹ lương khuyến khích, CTV chi phí hoa hồng, CTV qua đối tác 10.160.000</t>
  </si>
  <si>
    <t>KT2-P01-6588</t>
  </si>
  <si>
    <t xml:space="preserve">  - P01 DIDONG-PL1 TTKD BTE thanh toán khen thưởng cá nhân tổng lực di động 24,25.10.2024- VB 2814/NSTH 14.11-Nguồn NV quỹ khen thưởng, CTV chi phí hoa hồng, CTV qua đối tác 3.307.500</t>
  </si>
  <si>
    <t>KT2-P01-6593</t>
  </si>
  <si>
    <t xml:space="preserve">  - P01 SOHOA-PL3 TTKD BTE thanh toán khen thưởng cá nhân tổng lực di động 24,25.10.2024- VB 2814/NSTH 14.11-Nguồn NV quỹ khen thưởng, CTV chi phí hoa hồng, CTV qua đối tác 172.000</t>
  </si>
  <si>
    <t>KT2-P01-6597</t>
  </si>
  <si>
    <t xml:space="preserve">  - P01 BRCD-TTKD BTE thanh toán khen thưởng cá nhân PT HOME Sành/Chất, VB 2790/NSTH 13.11-Nguồn NV quỹ khen thưởng, CTV chi phí hoa hồng, CTV qua đối tác 250.000</t>
  </si>
  <si>
    <t>KT2-P01-6599</t>
  </si>
  <si>
    <t xml:space="preserve">  - P01 SOHOA-PL1 TTKD BTE thanh toán khen thưởng cá nhân thi đua chuyển đổi số , VB 2791/NSTH 13.11, Nguồn NV quỹ khen thưởng, CTV chi phí hóa hồng, CTV qua đối tác 3.840.000</t>
  </si>
  <si>
    <t>KT2-P01-6778</t>
  </si>
  <si>
    <t xml:space="preserve">  - P01 P07 thanh toán hoa hồng CNTT T06-CTV qua đối tác -GTM cho Nguyễn Văn Thanh Bình ( TSDC 1.500.000)</t>
  </si>
  <si>
    <t>KT2-P01-6790</t>
  </si>
  <si>
    <t xml:space="preserve">  - P01 TTKD BTE thanh toán tiền làm thêm giờ T10-PBH Online, VB 2849/NSTH cho Theo danh sách đính kèm. Nguồn: NV lương Khuyến khích, CTV chi phí hoa hồng ( CTV qua đối tác 1.560.000)</t>
  </si>
  <si>
    <t>KT2-P01-6792</t>
  </si>
  <si>
    <t xml:space="preserve">  - P01 TTKD BTE thanh toán thưởng cá nhân bán hàng qua kênh Dighishop T10, VB 2832/NSTH cho Theo danh sách đính kèm . Nguồn NV, NVKT quỹ khen thưởng, CTV Chi phí ( CTV QUA ĐỐI TÁC 4.498.450)</t>
  </si>
  <si>
    <t>1.070.000</t>
  </si>
  <si>
    <t>1.090.000</t>
  </si>
  <si>
    <t>Số tiền bằng chữ:Hai triệu một trăm sáu mươi ngàn đồng chẵn./.</t>
  </si>
  <si>
    <t>2.240.000</t>
  </si>
  <si>
    <t>3.110.000</t>
  </si>
  <si>
    <t>(Kèm theo Quyết định số:2721/QĐ-TTKD BTre – NSTH ngày 05/11/2024)</t>
  </si>
  <si>
    <t>(Kèm theo Quyết định số 2721/QĐ-TTKD BTre – NSTH ngày 05/11/2024)</t>
  </si>
  <si>
    <t>(Kèm theo Quyết định số 2722 /QĐ-TTKD BTre – NSTH ngày 05/11/2024)</t>
  </si>
  <si>
    <t>Số tiền bằng chữ:Tám trăm hai mươi ngàn đồng./</t>
  </si>
  <si>
    <t>(Kèm theo Quyết định số 2722/QĐ-TTKD BTre – NSTH ngày 05/11/2024)</t>
  </si>
  <si>
    <t>Số tiền bằng chữ: Hai trăm hai mươi ngàn đồng./</t>
  </si>
  <si>
    <t>Số tiền bằng chữ: Một trăm hai mươi ngàn đồng chẵn./.</t>
  </si>
  <si>
    <t>Đào Thị Thuý An</t>
  </si>
  <si>
    <t>Số tiền bằng chữ:Chín trăm năm mươi ngàn đồng chẳn.</t>
  </si>
  <si>
    <t>(Kèm theo Quyết định số 2790/QĐ-TTKD BTre – NSTH ngày 13/11/2024)</t>
  </si>
  <si>
    <t>Số tiền bằng chữ: Năm trăm ngàn đồng chẳn./.</t>
  </si>
  <si>
    <t>Võ Thị Phương Thanh</t>
  </si>
  <si>
    <t xml:space="preserve">   </t>
  </si>
  <si>
    <t>Số tiền bằng chữ: Bốn mươi triệu ba trăm ngàn đồng chẳn ./.</t>
  </si>
  <si>
    <t>DANH SÁCH CÁ NHÂN  ĐƯỢC KHEN THƯỞNG THÁNG 09,10</t>
  </si>
  <si>
    <t>(Kèm theo Quyết định số :2815/QĐ-TTKD BTre – NSTH ngày 14/11/2024)</t>
  </si>
  <si>
    <t>Số tiền bằng chữ: Hai mươi bốn triệu không tăm tám mươi ngàn đồng chẳn./.</t>
  </si>
  <si>
    <t>Số tiền bằng chữ: Năm triệu chín trăm năm mươi hai ngàn năm trăm đồng chẳn ./.</t>
  </si>
  <si>
    <t>(Kèm theo Quyết định số:2814/QĐ-TTKD BTre – NSTH ngày 14/11/2024)</t>
  </si>
  <si>
    <t>Số tiền bằng chữa: Hai trăm lẻ chín ngàn đồng chẳn./.</t>
  </si>
  <si>
    <t>(Kèm theo Quyết định số: 2814/QĐ-TTKD BTre – NSTH ngày 14/11/2024)</t>
  </si>
  <si>
    <t>Số tiền bằng chữ: Bốn trăm tám mươi ngàn đồng./.</t>
  </si>
  <si>
    <t>(Kèm theo Quyết định số 2814/QĐ-TTKD BTre – NSTH ngày 14/11/2024)</t>
  </si>
  <si>
    <t>2.000.000</t>
  </si>
  <si>
    <t>8.000.000</t>
  </si>
  <si>
    <t>Số tiền bằng chữ: Tám triệu  đồng chẳn./.</t>
  </si>
  <si>
    <t>(Kèm theo Quyết định số:2830/QĐ-TTKD BTre – NSTH ngày 18/11/2024)</t>
  </si>
  <si>
    <t>(Kèm theo Quyết định số 2830/QĐ-TTKD BTre – NSTH ngày 18/11/2024)</t>
  </si>
  <si>
    <t>(Kèm theo Quyết định số:2831/QĐ-TTKD BTre – NSTH ngày 18/11/2024)</t>
  </si>
  <si>
    <t>(Kèm theo Quyết định số 2831/QĐ-TTKD BTre – NSTH ngày 18/11/2024)</t>
  </si>
  <si>
    <t>Số tiền bằng chữ: Năm triệu tám trăm mười ngàn đồng chẳn ./.</t>
  </si>
  <si>
    <t>(Kèm theo Quyết định số:2761/QĐ-TTKD BTre – NSTH ngày 11/11/2024)</t>
  </si>
  <si>
    <t>Số tiền bằng chữa: Bảy mươi ngàn đồng chẳn./.</t>
  </si>
  <si>
    <t>(Kèm theo Quyết định số: 2761/QĐ-TTKD BTre – NSTH ngày 11/11/2024)</t>
  </si>
  <si>
    <t>Số tiền bằng chữ: Ba trăm bốn mươi sáu ngàn đồng./.</t>
  </si>
  <si>
    <t>(Kèm theo Quyết định số 2761/QĐ-TTKD BTre – NSTH ngày 11/11/2024)</t>
  </si>
  <si>
    <t>4.500.000</t>
  </si>
  <si>
    <t>Số tiền bằng chữ: Bốn triệu năm trăm ngàn đồng chẳn./.</t>
  </si>
  <si>
    <t>KT (c)</t>
  </si>
  <si>
    <t>Nguyễn Hoàng Nam</t>
  </si>
  <si>
    <t>Tổng  (a+b+ c)</t>
  </si>
  <si>
    <t>CTV086350</t>
  </si>
  <si>
    <t>CTV040535</t>
  </si>
  <si>
    <t>CTV076920</t>
  </si>
  <si>
    <t>Phamacy</t>
  </si>
  <si>
    <t>tên miềm</t>
  </si>
  <si>
    <t>1898301</t>
  </si>
  <si>
    <t>1898302</t>
  </si>
  <si>
    <t>1898305</t>
  </si>
  <si>
    <t>1898307</t>
  </si>
  <si>
    <t>1898309</t>
  </si>
  <si>
    <t>1898310</t>
  </si>
  <si>
    <t>1898311</t>
  </si>
  <si>
    <t>P01 -TRANG VÀNG - HĐ 00000562_1C24TYP - chi phí chi trả tiền lương, BHBB, KPCĐ, phí dịch vụ cho thuê lại lao động tháng 11/2024 theo HĐ số 08/HĐTLLĐ_28/12/2023 (DV CNTT: 44.338.756đ, trong đó: CA:24,769,120, SMARTCA: 373,636,QLDD: 330,000, Phamacy: 270,000, TSĐC: 1,500,000, HSS:646,200, tên miền: 16,000, BHXH: 2,688,000 )</t>
  </si>
  <si>
    <t>13/12/2024</t>
  </si>
  <si>
    <t>KT2-1131-1002</t>
  </si>
  <si>
    <t xml:space="preserve">  - P01 TTKD BTE thanh toán khen thưởng cá nhân thi đua tổng lực bán hàng ngày 22,23 T11.2024-VB 3008/NSTH 07.12.2024- qua Ví VNPT Pay. Nguồn NV quỹ khen thưởng, CTV chi phí hoa hồng ( CTV QUA ĐỐI TÁC 14.127.000)</t>
  </si>
  <si>
    <t>17/12/2024</t>
  </si>
  <si>
    <t>KT2-1131-1037</t>
  </si>
  <si>
    <t xml:space="preserve">  - P01 TTKD BTE thanh toán tiền làm thêm giờ PBH Online , VB3045/NSTH 12.12.2024-Qua Ví VNPT Pay. Theo danh sách đính kèm. Nguồn: NV lương khuyến khích, CTV chi phí hoa hồng</t>
  </si>
  <si>
    <t>Nguồn: chi phí</t>
  </si>
  <si>
    <t>Nguồn: khuyến khích (giảm trừ quỹ nhân công)</t>
  </si>
  <si>
    <t>PHỤ LỤC 03</t>
  </si>
  <si>
    <t>PHỤ LỤC 04</t>
  </si>
  <si>
    <t>Tháng 12/2024</t>
  </si>
  <si>
    <t>Địa chỉ : 178, Triệu Việt Vương, Phường Nguyễn Du, Quận Hai Bà Trưng, Thành Phố Hà nội</t>
  </si>
  <si>
    <t>BẢNG TÍNH PHÍ CHO TỪNG CHỨC DANH NHÂN VIÊN TTKD VNPT BẾN TRE THÁNG 01/2025</t>
  </si>
  <si>
    <t>Từ ngày 01/01/2025 đến ngày 31/01/2025</t>
  </si>
  <si>
    <t>03/01/2025</t>
  </si>
  <si>
    <t>KT2-1131-01</t>
  </si>
  <si>
    <t xml:space="preserve">  - P06 TTKD BTE thanh toán hoa hồng Dv CNTT T11-CTV Qua đối tác cho Hồ Thanh Liêm-CA 7.289.600, CA CN 154.000, HDDT 441.100, IPORTAL 1.650.000, HDDT MTT 660.000</t>
  </si>
  <si>
    <t>KT2-1131-02</t>
  </si>
  <si>
    <t xml:space="preserve">  - P06 TTKD BTE thanh toán hoa hồng DV CNTT T12-CTV Qua đối tác cho Hồ Thanh Liêm-CA 4,010,800, HDDT 756,700, BHXH 1,435,600, HSS 646,200, IPORTAL 110,000</t>
  </si>
  <si>
    <t>23/01/2025</t>
  </si>
  <si>
    <t>KT2-1131-39</t>
  </si>
  <si>
    <t xml:space="preserve">  - P03 TTKD BTE thanh toán hoa hồng DV CNTT T12.2024-CTV HKD, CTV Qua đối tác-CA 51,858,360, HDDT 10,470,800, BHXH 571,600, BLDT 120,000, ELEARNING-LMS 6,000,000, IOFFICE 1,980,000, HSS 8,148,600, IPORTAL 1,430,000, CHECK 1,324,000, TENMIEN 24,000, EDU-</t>
  </si>
  <si>
    <t>KT2-1131-45</t>
  </si>
  <si>
    <t xml:space="preserve">  - P06 TTKD BTE thanh toán hoa hồng DV CNTT T7-11.2024-CTV qua đối tác cho Hồ Thanh Liêm-CA 2,904,800, SMARTCA 150,000, HDDT 1,320,000, BHXH 418,000, BLDT 780,000, IPORTAL 330,000-Qua Ví VNPT PAY</t>
  </si>
  <si>
    <t>KT2-1131-46</t>
  </si>
  <si>
    <t xml:space="preserve">  - P06 TTKD BTE thanh toán hoa hồng DV CNTT T12.2024-CTV qua đối tác cho Hồ Thanh Liêm-CA 66.000, HSS 646.200, DIEMDANHTHONGMINH 2.265.909, HDDT 166.800, IPORTAL 220.000. Qua Ví VNPT PAY</t>
  </si>
  <si>
    <t>KT2-1131-54</t>
  </si>
  <si>
    <t xml:space="preserve">  - P08 TTKD BTE thanh toán hoa hồng DV CNTT 11.2024- CTV HKD , CTV qua đối tác-Cho Theo danh sách đính kèm-Qua ví VNPT Pay- CA 1.704.000, TSDC 394,200, SMARTCA 15.000, HDDT 273.900, ELEARNING-LMS 35,000,000, Trích thuế TNCN 1.256.070</t>
  </si>
  <si>
    <t>KT2-1131-75</t>
  </si>
  <si>
    <t xml:space="preserve">  - P07 TTKD BTE thanh toán hoa hồng DV CNTT T07.2024- CTV qua đối tác Theo danh sách đinh kèm -Qua ví VNPT Pay-CA 66.0000</t>
  </si>
  <si>
    <t>KT2-1131-77</t>
  </si>
  <si>
    <t xml:space="preserve">  - P07 TTKD BTE thanh toán hoa hồng DV CNTT T10.2024- CTV qua đối tác Theo danh sách đinh kèm -Qua ví VNPT Pay-CA 539.200, HDDT 390.000, BHXH 54.800, ELEARNING-LMS 1.000,000, EDU-PHAN MEM QLGD 660.000</t>
  </si>
  <si>
    <t>KT2-1131-79</t>
  </si>
  <si>
    <t xml:space="preserve">  - P07 TTKD BTE thanh toán hoa hồng DV CNTT T12.2024- CTV qua đối tác Theo danh sách đinh kèm -Qua ví VNPT Pay-CA 419.600, BHXH 142.000, PHARMACY 270.000, HSS 394,200, SMARTCA 54.545, EDU-PHAN MEM QLGD 990.000</t>
  </si>
  <si>
    <t>Ngày 10 tháng 02 năm 2025</t>
  </si>
  <si>
    <t>26/12/2024</t>
  </si>
  <si>
    <t>KT2-1131-1054</t>
  </si>
  <si>
    <t xml:space="preserve">  - P03TTKD BTE thanh toán hoa hồng DV CNTT T7-10.2024-CTV HKD, CTV QUA ĐỐI TAC cho Theo danh sách đính kèm -Qua Ví VNPT Pay- CA 22,311,640, SMARTCA 81,818, HDDT 11,944,100, BHXH 243,200, ELEARNING-LMS 3,000,000, IOFFICE 4,070,000, HSS 646,200, IPORTAL 3</t>
  </si>
  <si>
    <t>KT2-1131-1060</t>
  </si>
  <si>
    <t xml:space="preserve">  - P06 TTKD BTE thanh toán hoa hồng DV CNTT T3-T9.2024-CTV QUA ĐỐI TÁC cho Hồ Thanh Liêm-Qua Ví VNPT Pay- CA 5,172,000, HDDT 1,335,200, BHXH 440,000, ELEARNING-LMS 1,000,000</t>
  </si>
  <si>
    <t>KT2-1131-1061</t>
  </si>
  <si>
    <t xml:space="preserve">  - P06 TTKD BTE thanh toán hoa hồng DV CNTT T3-T9.2024-CTV QUA ĐỐI TÁC, HKD cho Theo danh sách đính kèm-Qua Ví VNPT Pay- CA 3,714,400, TSDC 1,000,000, SMARTCA 204,546, HDDT 250,000, BHXH 220,000, HSS 646,200, tRÍCH THUẾ TNCN 185.075</t>
  </si>
  <si>
    <t>KT2-1131-1062</t>
  </si>
  <si>
    <t xml:space="preserve">  - P06 TTKD BTE thanh toán hoa hồng DV CNTT T8-10.2024-CTV QUA ĐỐI TÁC cho Hồ Thanh Liêm-Qua Ví VNPT Pay- CA 3.248.800, BHXH 664.800, ELEARNING-LMS 1000000</t>
  </si>
  <si>
    <t>KT2-1131-1063</t>
  </si>
  <si>
    <t xml:space="preserve">  - P06 TTKD BTE thanh toán hoa hồng DV CNTT T11.2024-CTV QUA ĐỐI TÁC cho Hồ Thanh Liêm-Qua Ví VNPT Pay- CA 2,329,600, HDDT 3,630,000, BHXH 2,697,200, BLDT 720,000, IPORTAL 3,960,000</t>
  </si>
  <si>
    <t>KT2-1131-1065</t>
  </si>
  <si>
    <t xml:space="preserve">  - P07 TTKD BTE thanh toán hoa hồng DV CNTT T7.2024-CTV QUA ĐỐI TÁC cho Nguyễn Văn Thanh Bình-Qua Ví VNPT Pay- CA 772.000, BHXH 90.400</t>
  </si>
  <si>
    <t>KT2-1131-1066</t>
  </si>
  <si>
    <t xml:space="preserve">  - P07 TTKD BTE thanh toán hoa hồng DV CNTT T9.2024-CTV QUA ĐỐI TÁC cho Nguyễn Văn Thanh Bình-Qua Ví VNPT Pay- CA 405.000, HDDT 106.700</t>
  </si>
  <si>
    <t>KT2-1131-1067</t>
  </si>
  <si>
    <t xml:space="preserve">  - P07 TTKD BTE thanh toán hoa hồng DV CNTT T10.2024-CTV QUA ĐỐI TÁC cho Nguyễn Văn Thanh Bình-Qua Ví VNPT Pay- CA 1.158.400, EDU-PHAN MEM QLGD 990.000, HKD 90.000</t>
  </si>
  <si>
    <t>KT2-1131-1070</t>
  </si>
  <si>
    <t xml:space="preserve">  - P08 TTKD BTE thanh toán hoa hồng DV CNTT T05.2024-CTV QUA ĐỐI TÁC cho Theo danh sách đính kèm-Qua Ví VNPT Pay- IOFFICE</t>
  </si>
  <si>
    <t>KT2-1131-1071</t>
  </si>
  <si>
    <t xml:space="preserve">  - P08 TTKD BTE thanh toán hoa hồng DV CNTT T06.2024-CTV QUA ĐỐI TÁC, HỘ KD cho Theo danh sách đính kèm-Qua Ví VNPT Pay- CA 965,040, TSDC 2,500,000, SMARTCA 534,545, BHXH 243,200, Trích thuế TNCN 220.820</t>
  </si>
  <si>
    <t>KT2-1131-1073</t>
  </si>
  <si>
    <t xml:space="preserve">  - P08 TTKD BTE thanh toán hoa hồng DV CNTT T08.2024-CTV QUA ĐỐI TÁC, HỘ KD cho Theo danh sách đính kèm-Qua Ví VNPT Pay- CA 509.200. SMARTCA 87.273, Trich thuế TNCN 53.647</t>
  </si>
  <si>
    <t>KT2-1131-1075</t>
  </si>
  <si>
    <t xml:space="preserve">  - P08 TTKD BTE thanh toán hoa hồng DV CNTT T10.2024-CTV QUA ĐỐI TÁC, HỘ KD cho Theo danh sách đính kèm-Qua Ví VNPT Pay- CA 3,554,320, HKD 90,000, SMARTCA 225,000, HDDT 334,700, BHXH 729,600, ELEARNING-LMS 1,000,000, Trích thuế TNCN 470.862</t>
  </si>
  <si>
    <t>KT2-1131-1076</t>
  </si>
  <si>
    <t xml:space="preserve">  - P08 TTKD BTE thanh toán hoa hồng DV CNTT T11.2024-CTV QUA ĐỐI TÁC, HỘ KD cho Theo danh sách đính kèm-Qua Ví VNPT Pay- CA 2.762.000, HDDT 547.800, Trích thuế TNCN 212.420</t>
  </si>
  <si>
    <t>27/12/2024</t>
  </si>
  <si>
    <t>KT2-1131-1101</t>
  </si>
  <si>
    <t xml:space="preserve">  - TTKD BTE thanh toán khen thưởng cá nhân bán hàng tổng lực ngày 05 06 T12.2024 cho Theo danh sách đính kèm. Qua Ví VNPT Pay. Nguồn NV quỹ khen thưởng, CTV CP hoa hồng ( CTV qua đối tác 800.000)</t>
  </si>
  <si>
    <t>KT2-1131-1103</t>
  </si>
  <si>
    <t xml:space="preserve">  - P01 -PL1 BRCD- TTKD BTE thanh toán khen thưởng cá nhân bán hàng tổng lực ngày 14 15 T11.2024 cho Theo danh sách đính kèm. Qua Ví VNPT Pay. Nguồn NV quỹ khen thưởng, CTV CP hoa hồng ( CTV qua đối tác 1.790.000)</t>
  </si>
  <si>
    <t>KT2-1131-1104</t>
  </si>
  <si>
    <t xml:space="preserve">  - P01 -PL2 SOHOA- TTKD BTE thanh toán khen thưởng cá nhân bán hàng tổng lực ngày 14 15 T11.2024 cho Theo danh sách đính kèm. Qua Ví VNPT Pay. Nguồn NV quỹ khen thưởng, CTV CP hoa hồng ( CTV qua đối tác 78.000)</t>
  </si>
  <si>
    <t>KT2-1131-1106</t>
  </si>
  <si>
    <t xml:space="preserve">  - P01 -PL1 DD-TTKD BTE thanh toán khen thưởng cá nhân PT di động tháng 10.2024 , VB 3115/NSTH 18.12.2024 cho Theo danh sách đính kèm. Qua Ví VNPT Pay. Nguồn NV quỹ khen thưởng, CTV CP hoa hồng ( CTV qua đối tác 16.704.300)</t>
  </si>
  <si>
    <t>KT2-1131-1107</t>
  </si>
  <si>
    <t xml:space="preserve">  - P01 -PL2 SO LLDT-TTKD BTE thanh toán khen thưởng cá nhân PT di động tháng 10.2024 , VB 3115/NSTH 18.12.2024 cho Theo danh sách đính kèm. Qua Ví VNPT Pay. Nguồn NV quỹ khen thưởng, CTV CP hoa hồng ( CTV qua đối tác 600.00)</t>
  </si>
  <si>
    <t>KT2-1131-1108</t>
  </si>
  <si>
    <t xml:space="preserve">  - P01 -PL3-TTKD BTE thanh toán khen thưởng cá nhân PT di động tháng 10.2024 , VB 3115/NSTH 18.12.2024 cho Theo danh sách đính kèm. Qua Ví VNPT Pay. Nguồn NV quỹ khen thưởng, CTV CP hoa hồng ( CTV qua đối tác 2.400.000)</t>
  </si>
  <si>
    <t>KT2-1131-1109</t>
  </si>
  <si>
    <t xml:space="preserve">  - P01 -PL2 DD-TTKD BTE thanh toán khen thưởng cá nhân PT di động tháng 10.2024 , VB 3116/NSTH 18.12.2024 cho Theo danh sách đính kèm. Qua Ví VNPT Pay. Nguồn NV quỹ khen thưởng, CTV CP hoa hồng ( CTV qua đối tác 27.337.050)</t>
  </si>
  <si>
    <t>KT2-1131-1111</t>
  </si>
  <si>
    <t xml:space="preserve">  - P01 -PL3 DD-TTKD BTE thanh toán khen thưởng cá nhân PT di động tháng 10.2024 , VB 3116/NSTH 18.12.2024 cho Theo danh sách đính kèm. Qua Ví VNPT Pay. Nguồn NV quỹ khen thưởng, CTV CP hoa hồng ( CTV qua đối tác 3.100.000)</t>
  </si>
  <si>
    <t>KT2-1131-1112</t>
  </si>
  <si>
    <t xml:space="preserve">  - P01 -PL4 DD-TTKD BTE thanh toán khen thưởng cá nhân PT di động tháng 10.2024 , VB 3116/NSTH 18.12.2024 cho Theo danh sách đính kèm. Qua Ví VNPT Pay. Nguồn NV quỹ khen thưởng, CTV CP hoa hồng ( CTV qua đối tác 550.000)</t>
  </si>
  <si>
    <t>KT2-1131-1113</t>
  </si>
  <si>
    <t xml:space="preserve">  - P01 -PL1 DD-TTKD BTE thanh toán khen thưởng cá nhân tổng lực bán hàng ngày 07 08 T11.2024 , VB 3117/NSTH 18.12.2024 cho Theo danh sách đính kèm. Qua Ví VNPT Pay. Nguồn NV quỹ khen thưởng, CTV CP hoa hồng ( CTV qua đối tác 1.280.000)</t>
  </si>
  <si>
    <t>KT2-1131-1114</t>
  </si>
  <si>
    <t xml:space="preserve">  - P01 -PL2 SO HOA-TTKD BTE thanh toán khen thưởng cá nhân tổng lực bán hàng ngày 07 08 T11.2024 , VB 3117/NSTH 18.12.2024 cho Theo danh sách đính kèm. Qua Ví VNPT Pay. Nguồn NV quỹ khen thưởng, CTV CP hoa hồng ( CTV qua đối tác 84.000)</t>
  </si>
  <si>
    <t>KT2-1131-1115</t>
  </si>
  <si>
    <t xml:space="preserve">  - P01 -PL1-TTKD BTE thanh toán khen thưởng cá nhân tổng lực bán hàng ngày 12 13 T12.2024 , VB 3118/NSTH 18.12.2024 cho Theo danh sách đính kèm. Qua Ví VNPT Pay. Nguồn NV quỹ khen thưởng, CTV CP hoa hồng ( CTV qua đối tác 1.300.000)</t>
  </si>
  <si>
    <t>31/12/2024</t>
  </si>
  <si>
    <t>KT2-1131-1164</t>
  </si>
  <si>
    <t xml:space="preserve">  - P06 TTKD BTE thanh toán hoa hồng Dv CNTT T8-T10-CTV qua đối tác -cho Hồ Thanh Liêm (Ví VNPT Pay)-CA 2.041.200</t>
  </si>
  <si>
    <t>KT2-1131-50</t>
  </si>
  <si>
    <t xml:space="preserve">  - P08 TTKD BTE thanh toán hoa hồng DV CNTT 06.2024- CTV HKD, CTV qua đối tác -Cho Theo danh sách đính kèm-Qua ví VNPT Pay- TSDC 2.500.000, Trích thuế TNCN 150.000</t>
  </si>
  <si>
    <t>KT2-1131-51</t>
  </si>
  <si>
    <t xml:space="preserve">  - P08 TTKD BTE thanh toán hoa hồng DV CNTT 07.2024- CTV qua đối tác -Cho Nguyễn Hữu Trọng-Qua ví VNPT Pay-IPORTAL 110.000</t>
  </si>
  <si>
    <t>KT2-1131-53</t>
  </si>
  <si>
    <t xml:space="preserve">  - P08 TTKD BTE thanh toán hoa hồng DV CNTT 10.2024- CTV HKD , CTV qua đối tác-Cho Theo danh sách đính kèm-Qua ví VNPT Pay- CA 6,430,800, SMARTCA 600,000, HDDT 326,800, ELEARNING-LMS 1,000,000, HSS 2,332,800, Trích thuế TNCN 790.180</t>
  </si>
  <si>
    <t>KT2-1131-76</t>
  </si>
  <si>
    <t xml:space="preserve">  - P07 TTKD BTE thanh toán hoa hồng DV CNTT T09.2024- CTV qua đối tác Theo danh sách đinh kèm -Qua ví VNPT Pay-HDDT 106.700, DIEMDANHTHONGMINH 1.856.818</t>
  </si>
  <si>
    <t>KT2-1131-78</t>
  </si>
  <si>
    <t xml:space="preserve">  - P07 TTKD BTE thanh toán hoa hồng DV CNTT T11.2024- CTV qua đối tác Theo danh sách đinh kèm -Qua ví VNPT Pay-HDDT 1.235.200, PHARMACY 270.000, EDU-PHAN MEM QLGD 1.980.000</t>
  </si>
  <si>
    <t>Hoa hồng CNTT</t>
  </si>
  <si>
    <t>VB:3219/QĐ-TTKD BTre-NSTH ngày 31/12/2024_Về việc Khen thưởng cho các tập thể và cá nhân tham gia chương trình thi đua phát triển App vnEdu Connect</t>
  </si>
  <si>
    <t>VB:64/QĐ-TTKD BTre-NSTH ngày 07/1/2025_Về việc Thưởng - Phạt các tập thể và cá nhân đã có kết quả trong chương trình thi đua tổng lực phát triển dịch vụ đi động ngày 20,21 và ngày 26,27/12/2024.</t>
  </si>
  <si>
    <t>DANH SÁCH CÁC TẬP THỂ ĐƯỢC THƯỞNG –PHẠT NGÀY 20,21/12/2024</t>
  </si>
  <si>
    <t>(Kèm theo Quyết định số 64/QĐ-TTKD BTre – NSTH ngày 07/01/2025)</t>
  </si>
  <si>
    <t>Phòng bán hàng Online</t>
  </si>
  <si>
    <t xml:space="preserve">DANH SÁCH NHÂN VIÊN KINH DOANH, KỸ THUẬT ĐƯỢC KHEN THƯỞNG </t>
  </si>
  <si>
    <r>
      <t>NGÀY 20,21/12/2024</t>
    </r>
    <r>
      <rPr>
        <b/>
        <sz val="11"/>
        <color theme="1"/>
        <rFont val="Times New Roman"/>
        <family val="1"/>
      </rPr>
      <t xml:space="preserve"> </t>
    </r>
  </si>
  <si>
    <t>(Kèm theo Quyết định số:64/QĐ-TTKD BTre – NSTH ngày 07/01/2025)</t>
  </si>
  <si>
    <t>Số tiền bằng chữa: Hai triệu năm trăm năm mươi ngàn đồng./.</t>
  </si>
  <si>
    <t>DANH SÁCH CÁC TẬP THỂ ĐƯỢC THƯỞNG –PHẠT NGÀY 26,27/12/2024</t>
  </si>
  <si>
    <r>
      <t>NGÀY 26,27/12/2024</t>
    </r>
    <r>
      <rPr>
        <b/>
        <sz val="11"/>
        <color theme="1"/>
        <rFont val="Times New Roman"/>
        <family val="1"/>
      </rPr>
      <t xml:space="preserve"> </t>
    </r>
  </si>
  <si>
    <t>Số tiền bằng chữa: Hai triệu tám trăm ngàn đồng./.</t>
  </si>
  <si>
    <t>VB:158/QĐ-TTKD BTre-NSTH ngày 17/01/2025_Về việc khen thưởng cho cá nhân đã có thành tích xuất sắc trong phong trào thi đua tổng lực ngày 27,28,29/12/2024 - Phòng bán hàng Thành Phố</t>
  </si>
  <si>
    <t>VB:157/QĐ-TTKD BTre-NSTH ngày 77/1/2025_Về việc Khen thưởng các tập thể và cá nhân đã có kết quả trong chương trình thi đua phát triển chữ ký số SmartCA công dân 2024.</t>
  </si>
  <si>
    <t>VB:216/QĐ-TTKD BTre-NSTH ngày 17/01/2025_Về việc phân phối quỹ khen thưởng nhân dịp tết năm 2025 _CTV</t>
  </si>
  <si>
    <t>VB:187/QĐ-TTKD BTre-NSTH ngày 20/01/2025_Về việc khen thưởng nhân viên kinh doanh giỏi tháng 12/2024</t>
  </si>
  <si>
    <t>VB:210/QĐ-TTKD BTre-NSTH ngày 23/01/2025_Về việc khen thưởng CTV danh hiệu thi đua năm 2024</t>
  </si>
  <si>
    <t>Tiền thưởng (đồng)</t>
  </si>
  <si>
    <t>Phòng KTKH</t>
  </si>
  <si>
    <t>Phòng ĐHNV</t>
  </si>
  <si>
    <t>PBH Online</t>
  </si>
  <si>
    <t>Phòng KHTCDN</t>
  </si>
  <si>
    <t>PBH TPO</t>
  </si>
  <si>
    <t>PBH MCY</t>
  </si>
  <si>
    <t>PBH CLH</t>
  </si>
  <si>
    <t>PBH TPU</t>
  </si>
  <si>
    <t>PBH CTH</t>
  </si>
  <si>
    <t>PBH GTM</t>
  </si>
  <si>
    <t>PBH BTI</t>
  </si>
  <si>
    <t>PBH BĐI</t>
  </si>
  <si>
    <t>13.000.000</t>
  </si>
  <si>
    <t>Số tiền bằng chữ: Mười ba triệu đồng chẵn./.</t>
  </si>
  <si>
    <t>DANH SÁCH CÁ NHÂN HOÀN THÀNH TỐT NHIỆM VỤ NĂM 2024</t>
  </si>
  <si>
    <t>(Kèm theo Quyết định số: 210/QĐ-TTKD BTre-NSTH ngày 23 tháng 01  năm 2025)</t>
  </si>
  <si>
    <t>Tiềnthưởng</t>
  </si>
  <si>
    <t>(đồng)</t>
  </si>
  <si>
    <t>Phòng NSTH</t>
  </si>
  <si>
    <t>11.200.000</t>
  </si>
  <si>
    <t>Số tiền bằng chữ: Mười một triệu hai trăm ngàn đồng./.</t>
  </si>
  <si>
    <t>Tháng 1/2025</t>
  </si>
  <si>
    <t>Số tiền KD Bến Tre thanh toán cho CoKyvina</t>
  </si>
  <si>
    <t>Chi phí quản lý xuất HĐ VAT</t>
  </si>
  <si>
    <t xml:space="preserve">Lương, BHBB, KPCĐ thuộc diện KKKNT
</t>
  </si>
  <si>
    <t>BẢNG TÍNH PHÍ CHO TỪNG CHỨC DANH NHÂN VIÊN TTKD VNPT BẾN TRE THÁNG 1/2025</t>
  </si>
  <si>
    <t>21a=21*8%</t>
  </si>
  <si>
    <t>21b=21+21a</t>
  </si>
  <si>
    <t>Thuế TNCN T1/2025 (nếu có)</t>
  </si>
  <si>
    <t>31=19+21+21a+25+27-30</t>
  </si>
  <si>
    <t>22 = sum (1----&gt;14) +19+20</t>
  </si>
  <si>
    <t>S</t>
  </si>
  <si>
    <t>SRET0A3VMADVK003</t>
  </si>
  <si>
    <t>BẢNG LƯƠNG ĐƠN GIÁ T1/2025</t>
  </si>
  <si>
    <t>Lương Gia hạn BR</t>
  </si>
  <si>
    <t>P</t>
  </si>
  <si>
    <t>BẢNG LƯƠNG P1P3 NHÂN TỶ LỆ DOANH THU THỰC HIỆN T1/2025</t>
  </si>
  <si>
    <t>lương P1P3 T1.2024</t>
  </si>
  <si>
    <t xml:space="preserve">21,5% BHBB cộng vào lương do NLĐ đã nghỉ hưu </t>
  </si>
  <si>
    <t>VAT của phí quản lý</t>
  </si>
  <si>
    <t>Tổng cộng phí quản lý đã bao gồm VAT</t>
  </si>
  <si>
    <t>Số tiền còn thanh toán cho Cokyvina</t>
  </si>
  <si>
    <t>18=sum (1---&gt;21)</t>
  </si>
  <si>
    <t>Hợp đồng số: 401/HĐTLLĐ ngày 26/12/2024 giữa Trung tâm kinh doanh VNPT - Bến Tre và Công ty Cổ phần COKYVINA</t>
  </si>
  <si>
    <t>Số tiền thuế
phải nộp T1/2025</t>
  </si>
  <si>
    <t>KPCĐ +ĐPCĐ để lại KD Bến 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</si>
</sst>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1" formatCode="_(* #,##0_);_(* \(#,##0\);_(* &quot;-&quot;_);_(@_)"/>
    <numFmt numFmtId="43" formatCode="_(* #,##0.00_);_(* \(#,##0.00\);_(* &quot;-&quot;??_);_(@_)"/>
    <numFmt numFmtId="164" formatCode="_-* #,##0.00_-;\-* #,##0.00_-;_-* &quot;-&quot;??_-;_-@_-"/>
    <numFmt numFmtId="165" formatCode="_-* #,##0.00\ _₫_-;\-* #,##0.00\ _₫_-;_-* &quot;-&quot;??\ _₫_-;_-@_-"/>
    <numFmt numFmtId="166" formatCode="_(* #,##0_);_(* \(#,##0\);_(* &quot;-&quot;??_);_(@_)"/>
    <numFmt numFmtId="167" formatCode="_ * #,##0_)_V_N_D_ ;_ * \(#,##0\)_V_N_D_ ;_ * &quot;-&quot;??_)_V_N_D_ ;_ @_ "/>
    <numFmt numFmtId="168" formatCode="_-* #,##0_-;\-* #,##0_-;_-* &quot;-&quot;??_-;_-@_-"/>
    <numFmt numFmtId="169" formatCode="#,##0.0"/>
    <numFmt numFmtId="170" formatCode="#,##0_ ;\-#,##0\ "/>
    <numFmt numFmtId="171" formatCode="#,##0.00_ ;\-#,##0.00\ "/>
    <numFmt numFmtId="172" formatCode="_(* #,##0.000_);_(* \(#,##0.000\);_(* &quot;-&quot;??_);_(@_)"/>
    <numFmt numFmtId="173" formatCode="0.0%"/>
    <numFmt numFmtId="174" formatCode="_(* #,##0_);_(* \(#,##0\);_(* \-??_);_(@_)"/>
  </numFmts>
  <fonts count="178">
    <font>
      <sz val="11"/>
      <color theme="1"/>
      <name val="Calibri"/>
      <family val="2"/>
      <charset val="163"/>
      <scheme val="minor"/>
    </font>
    <font>
      <sz val="11"/>
      <color theme="1"/>
      <name val="Calibri"/>
      <family val="2"/>
      <scheme val="minor"/>
    </font>
    <font>
      <sz val="11"/>
      <color indexed="8"/>
      <name val="Calibri"/>
      <family val="2"/>
    </font>
    <font>
      <sz val="11"/>
      <color indexed="8"/>
      <name val="Calibri"/>
      <family val="2"/>
    </font>
    <font>
      <b/>
      <sz val="10"/>
      <name val="Times New Roman"/>
      <family val="1"/>
    </font>
    <font>
      <sz val="12"/>
      <name val="VNI-Times"/>
    </font>
    <font>
      <sz val="10"/>
      <name val="Times New Roman"/>
      <family val="1"/>
    </font>
    <font>
      <sz val="10"/>
      <name val="Times New Roman"/>
      <family val="2"/>
    </font>
    <font>
      <sz val="13"/>
      <name val="Times New Roman"/>
      <family val="1"/>
    </font>
    <font>
      <i/>
      <sz val="13"/>
      <name val="Times New Roman"/>
      <family val="1"/>
    </font>
    <font>
      <sz val="10"/>
      <color indexed="12"/>
      <name val="Arial"/>
      <family val="2"/>
    </font>
    <font>
      <sz val="11"/>
      <color indexed="8"/>
      <name val="Calibri"/>
      <family val="2"/>
    </font>
    <font>
      <sz val="10"/>
      <name val="Arial"/>
      <family val="2"/>
    </font>
    <font>
      <b/>
      <sz val="12"/>
      <name val="Times New Roman"/>
      <family val="1"/>
    </font>
    <font>
      <sz val="12"/>
      <color indexed="8"/>
      <name val="Times New Roman"/>
      <family val="1"/>
    </font>
    <font>
      <sz val="9"/>
      <name val="Times New Roman"/>
      <family val="1"/>
    </font>
    <font>
      <sz val="12"/>
      <name val="Times New Roman"/>
      <family val="1"/>
    </font>
    <font>
      <b/>
      <sz val="12"/>
      <name val="Times New Roman"/>
      <family val="1"/>
      <charset val="163"/>
    </font>
    <font>
      <b/>
      <sz val="10"/>
      <name val="Arial"/>
      <family val="2"/>
    </font>
    <font>
      <b/>
      <sz val="16"/>
      <name val="Times New Roman"/>
      <family val="1"/>
    </font>
    <font>
      <b/>
      <sz val="9"/>
      <name val="Times New Roman"/>
      <family val="1"/>
    </font>
    <font>
      <sz val="16"/>
      <name val="Times New Roman"/>
      <family val="2"/>
    </font>
    <font>
      <b/>
      <sz val="16"/>
      <name val="Times New Roman"/>
      <family val="2"/>
    </font>
    <font>
      <b/>
      <sz val="10"/>
      <name val="Times New Roman"/>
      <family val="2"/>
    </font>
    <font>
      <sz val="9"/>
      <name val="Times New Roman"/>
      <family val="2"/>
    </font>
    <font>
      <sz val="9"/>
      <color indexed="81"/>
      <name val="Tahoma"/>
      <family val="2"/>
    </font>
    <font>
      <b/>
      <sz val="9"/>
      <color indexed="81"/>
      <name val="Tahoma"/>
      <family val="2"/>
    </font>
    <font>
      <sz val="16"/>
      <name val="Times New Roman"/>
      <family val="1"/>
    </font>
    <font>
      <sz val="10"/>
      <name val="Arial"/>
      <family val="2"/>
    </font>
    <font>
      <b/>
      <sz val="10"/>
      <name val="Times New Roman"/>
      <family val="1"/>
    </font>
    <font>
      <b/>
      <sz val="14"/>
      <name val="Times New Roman"/>
      <family val="1"/>
    </font>
    <font>
      <sz val="10"/>
      <name val="Times New Roman"/>
      <family val="1"/>
    </font>
    <font>
      <i/>
      <sz val="10"/>
      <name val="Times New Roman"/>
      <family val="1"/>
    </font>
    <font>
      <sz val="10"/>
      <name val="Arial"/>
      <family val="2"/>
    </font>
    <font>
      <sz val="10"/>
      <name val="Times New Roman"/>
      <family val="1"/>
    </font>
    <font>
      <b/>
      <sz val="10"/>
      <name val="Times New Roman"/>
      <family val="1"/>
    </font>
    <font>
      <b/>
      <sz val="14"/>
      <name val="Times New Roman"/>
      <family val="1"/>
    </font>
    <font>
      <i/>
      <sz val="10"/>
      <name val="Times New Roman"/>
      <family val="1"/>
    </font>
    <font>
      <i/>
      <sz val="11"/>
      <color indexed="8"/>
      <name val="Times New Roman"/>
      <family val="1"/>
    </font>
    <font>
      <b/>
      <sz val="13"/>
      <name val="Times New Roman"/>
      <family val="1"/>
    </font>
    <font>
      <b/>
      <sz val="11"/>
      <name val="Times New Roman"/>
      <family val="1"/>
    </font>
    <font>
      <sz val="11"/>
      <name val="Times New Roman"/>
      <family val="1"/>
    </font>
    <font>
      <i/>
      <sz val="11"/>
      <name val="Times New Roman"/>
      <family val="1"/>
    </font>
    <font>
      <b/>
      <sz val="5"/>
      <name val="Times New Roman"/>
      <family val="1"/>
    </font>
    <font>
      <b/>
      <sz val="4"/>
      <name val="Times New Roman"/>
      <family val="1"/>
    </font>
    <font>
      <i/>
      <sz val="12"/>
      <name val="Times New Roman"/>
      <family val="1"/>
    </font>
    <font>
      <i/>
      <sz val="1"/>
      <name val="Times New Roman"/>
      <family val="1"/>
    </font>
    <font>
      <sz val="4"/>
      <name val="Times New Roman"/>
      <family val="1"/>
    </font>
    <font>
      <sz val="7"/>
      <name val="Times New Roman"/>
      <family val="1"/>
    </font>
    <font>
      <b/>
      <sz val="13"/>
      <color indexed="8"/>
      <name val="Times New Roman"/>
      <family val="1"/>
    </font>
    <font>
      <b/>
      <sz val="16"/>
      <color indexed="8"/>
      <name val="Times New Roman"/>
      <family val="1"/>
    </font>
    <font>
      <sz val="13"/>
      <color indexed="8"/>
      <name val="Times New Roman"/>
      <family val="1"/>
    </font>
    <font>
      <sz val="13"/>
      <color indexed="10"/>
      <name val="Times New Roman"/>
      <family val="1"/>
    </font>
    <font>
      <sz val="11"/>
      <color indexed="8"/>
      <name val="Calibri"/>
      <family val="2"/>
      <charset val="1"/>
    </font>
    <font>
      <sz val="11"/>
      <color theme="1"/>
      <name val="Calibri"/>
      <family val="2"/>
      <charset val="163"/>
      <scheme val="minor"/>
    </font>
    <font>
      <sz val="11"/>
      <color theme="1"/>
      <name val="Calibri"/>
      <family val="2"/>
      <scheme val="minor"/>
    </font>
    <font>
      <sz val="11"/>
      <color theme="1"/>
      <name val="Times New Roman"/>
      <family val="2"/>
    </font>
    <font>
      <sz val="13"/>
      <color theme="1"/>
      <name val="Times New Roman"/>
      <family val="2"/>
    </font>
    <font>
      <b/>
      <sz val="11"/>
      <color theme="1"/>
      <name val="Calibri"/>
      <family val="2"/>
      <scheme val="minor"/>
    </font>
    <font>
      <sz val="10"/>
      <color rgb="FFFF0000"/>
      <name val="Times New Roman"/>
      <family val="1"/>
    </font>
    <font>
      <sz val="12"/>
      <color theme="1"/>
      <name val="Times New Roman"/>
      <family val="1"/>
    </font>
    <font>
      <b/>
      <sz val="13"/>
      <color theme="1"/>
      <name val="Times New Roman"/>
      <family val="1"/>
    </font>
    <font>
      <b/>
      <sz val="12"/>
      <color theme="1"/>
      <name val="Times New Roman"/>
      <family val="1"/>
    </font>
    <font>
      <b/>
      <sz val="12"/>
      <color rgb="FFFF0000"/>
      <name val="Times New Roman"/>
      <family val="1"/>
    </font>
    <font>
      <sz val="10"/>
      <color rgb="FFFF0000"/>
      <name val="Arial"/>
      <family val="2"/>
    </font>
    <font>
      <sz val="11"/>
      <color rgb="FF000000"/>
      <name val="Times New Roman"/>
      <family val="2"/>
    </font>
    <font>
      <sz val="12"/>
      <color rgb="FF000000"/>
      <name val="Times New Roman"/>
      <family val="1"/>
    </font>
    <font>
      <b/>
      <sz val="10"/>
      <color theme="1"/>
      <name val="Times New Roman"/>
      <family val="1"/>
    </font>
    <font>
      <sz val="10"/>
      <color theme="1"/>
      <name val="Times New Roman"/>
      <family val="1"/>
    </font>
    <font>
      <sz val="9"/>
      <color theme="1"/>
      <name val="Times New Roman"/>
      <family val="1"/>
    </font>
    <font>
      <sz val="10"/>
      <color theme="1"/>
      <name val="Arial"/>
      <family val="2"/>
    </font>
    <font>
      <sz val="12"/>
      <color theme="1"/>
      <name val="Times New Roman"/>
      <family val="1"/>
      <charset val="163"/>
    </font>
    <font>
      <b/>
      <sz val="10"/>
      <color rgb="FFFF0000"/>
      <name val="Times New Roman"/>
      <family val="1"/>
    </font>
    <font>
      <sz val="9"/>
      <color rgb="FFFF0000"/>
      <name val="Times New Roman"/>
      <family val="1"/>
    </font>
    <font>
      <sz val="11"/>
      <color rgb="FFFF0000"/>
      <name val="Calibri"/>
      <family val="2"/>
      <charset val="163"/>
      <scheme val="minor"/>
    </font>
    <font>
      <b/>
      <sz val="11"/>
      <color rgb="FFFF0000"/>
      <name val="Times New Roman"/>
      <family val="1"/>
    </font>
    <font>
      <b/>
      <sz val="11"/>
      <color rgb="FFFF0000"/>
      <name val="Calibri"/>
      <family val="2"/>
      <scheme val="minor"/>
    </font>
    <font>
      <sz val="11"/>
      <color rgb="FF0000FF"/>
      <name val="Calibri"/>
      <family val="2"/>
      <charset val="163"/>
      <scheme val="minor"/>
    </font>
    <font>
      <b/>
      <sz val="16"/>
      <color theme="1"/>
      <name val="Times New Roman"/>
      <family val="1"/>
    </font>
    <font>
      <b/>
      <sz val="14"/>
      <color theme="1"/>
      <name val="Times New Roman"/>
      <family val="1"/>
    </font>
    <font>
      <i/>
      <sz val="13"/>
      <color theme="1"/>
      <name val="Times New Roman"/>
      <family val="1"/>
    </font>
    <font>
      <sz val="10"/>
      <color theme="1"/>
      <name val="Times New Roman"/>
      <family val="2"/>
    </font>
    <font>
      <sz val="11"/>
      <color theme="1"/>
      <name val="Times New Roman"/>
      <family val="1"/>
    </font>
    <font>
      <b/>
      <sz val="9"/>
      <color theme="1"/>
      <name val="Times New Roman"/>
      <family val="1"/>
    </font>
    <font>
      <b/>
      <sz val="11"/>
      <color theme="1"/>
      <name val="Calibri"/>
      <family val="2"/>
      <charset val="163"/>
      <scheme val="minor"/>
    </font>
    <font>
      <b/>
      <sz val="11"/>
      <color rgb="FF454545"/>
      <name val="Calibri"/>
      <family val="2"/>
      <charset val="163"/>
      <scheme val="minor"/>
    </font>
    <font>
      <sz val="11"/>
      <color rgb="FF000000"/>
      <name val="Calibri"/>
      <family val="2"/>
      <charset val="163"/>
      <scheme val="minor"/>
    </font>
    <font>
      <sz val="11"/>
      <color rgb="FF000000"/>
      <name val="Times New Roman"/>
      <family val="1"/>
    </font>
    <font>
      <sz val="11"/>
      <color rgb="FF151B54"/>
      <name val="Times New Roman"/>
      <family val="1"/>
    </font>
    <font>
      <b/>
      <sz val="10"/>
      <color rgb="FF0000FF"/>
      <name val="Times New Roman"/>
      <family val="1"/>
    </font>
    <font>
      <b/>
      <sz val="11"/>
      <color theme="1"/>
      <name val="Times New Roman"/>
      <family val="1"/>
    </font>
    <font>
      <sz val="13"/>
      <color theme="1"/>
      <name val="Times New Roman"/>
      <family val="1"/>
    </font>
    <font>
      <b/>
      <sz val="11"/>
      <color rgb="FF000000"/>
      <name val="Times New Roman"/>
      <family val="1"/>
    </font>
    <font>
      <i/>
      <sz val="11"/>
      <color theme="1"/>
      <name val="Times New Roman"/>
      <family val="1"/>
    </font>
    <font>
      <b/>
      <sz val="5"/>
      <color theme="1"/>
      <name val="Times New Roman"/>
      <family val="1"/>
    </font>
    <font>
      <b/>
      <sz val="4"/>
      <color theme="1"/>
      <name val="Times New Roman"/>
      <family val="1"/>
    </font>
    <font>
      <b/>
      <sz val="12"/>
      <color rgb="FF000000"/>
      <name val="Times New Roman"/>
      <family val="1"/>
    </font>
    <font>
      <i/>
      <sz val="1"/>
      <color theme="1"/>
      <name val="Times New Roman"/>
      <family val="1"/>
    </font>
    <font>
      <sz val="11"/>
      <color rgb="FFFF0000"/>
      <name val="Times New Roman"/>
      <family val="1"/>
    </font>
    <font>
      <sz val="13"/>
      <color rgb="FF000000"/>
      <name val="Times New Roman"/>
      <family val="1"/>
    </font>
    <font>
      <sz val="13"/>
      <color rgb="FFFF0000"/>
      <name val="Times New Roman"/>
      <family val="1"/>
    </font>
    <font>
      <sz val="12"/>
      <color rgb="FFFF0000"/>
      <name val="Times New Roman"/>
      <family val="1"/>
    </font>
    <font>
      <i/>
      <sz val="12"/>
      <color theme="1"/>
      <name val="Times New Roman"/>
      <family val="1"/>
    </font>
    <font>
      <sz val="1"/>
      <color theme="1"/>
      <name val="Times New Roman"/>
      <family val="1"/>
    </font>
    <font>
      <b/>
      <sz val="13"/>
      <color rgb="FF000000"/>
      <name val="Times New Roman"/>
      <family val="1"/>
    </font>
    <font>
      <b/>
      <sz val="12"/>
      <color theme="1"/>
      <name val="Times New Roman"/>
      <family val="1"/>
      <charset val="163"/>
    </font>
    <font>
      <sz val="12.5"/>
      <color theme="1"/>
      <name val="Times New Roman"/>
      <family val="1"/>
    </font>
    <font>
      <b/>
      <u/>
      <sz val="12"/>
      <color theme="1"/>
      <name val="Times New Roman"/>
      <family val="1"/>
    </font>
    <font>
      <b/>
      <sz val="12.5"/>
      <color theme="1"/>
      <name val="Times New Roman"/>
      <family val="1"/>
    </font>
    <font>
      <b/>
      <i/>
      <u/>
      <sz val="16"/>
      <color theme="1"/>
      <name val="Times New Roman"/>
      <family val="1"/>
    </font>
    <font>
      <b/>
      <i/>
      <u/>
      <sz val="14"/>
      <color theme="1"/>
      <name val="Times New Roman"/>
      <family val="1"/>
    </font>
    <font>
      <b/>
      <sz val="10"/>
      <color theme="1"/>
      <name val="Calibri"/>
      <family val="2"/>
      <scheme val="minor"/>
    </font>
    <font>
      <sz val="13"/>
      <color theme="1"/>
      <name val="Calibri"/>
      <family val="2"/>
      <scheme val="minor"/>
    </font>
    <font>
      <b/>
      <sz val="13"/>
      <color indexed="10"/>
      <name val="Times New Roman"/>
      <family val="1"/>
    </font>
    <font>
      <sz val="13"/>
      <color theme="1"/>
      <name val="Wingdings"/>
      <charset val="2"/>
    </font>
    <font>
      <b/>
      <sz val="13"/>
      <color theme="1"/>
      <name val="Wingdings"/>
      <charset val="2"/>
    </font>
    <font>
      <b/>
      <i/>
      <sz val="12"/>
      <color theme="1"/>
      <name val="Times New Roman"/>
      <family val="1"/>
    </font>
    <font>
      <b/>
      <i/>
      <sz val="13"/>
      <color theme="1"/>
      <name val="Times New Roman"/>
      <family val="1"/>
    </font>
    <font>
      <b/>
      <i/>
      <u/>
      <sz val="13"/>
      <color indexed="8"/>
      <name val="Times New Roman"/>
      <family val="1"/>
    </font>
    <font>
      <b/>
      <i/>
      <sz val="13"/>
      <color indexed="8"/>
      <name val="Times New Roman"/>
      <family val="1"/>
    </font>
    <font>
      <i/>
      <sz val="13"/>
      <color theme="1"/>
      <name val="Calibri"/>
      <family val="2"/>
      <scheme val="minor"/>
    </font>
    <font>
      <sz val="13"/>
      <color theme="1"/>
      <name val=".VnTime"/>
      <family val="2"/>
    </font>
    <font>
      <sz val="10"/>
      <color rgb="FF000000"/>
      <name val="Arial"/>
      <family val="2"/>
    </font>
    <font>
      <sz val="13"/>
      <color rgb="FF0033CC"/>
      <name val="Times New Roman"/>
      <family val="2"/>
      <charset val="1"/>
    </font>
    <font>
      <sz val="12"/>
      <color rgb="FF0033CC"/>
      <name val="Times New Roman"/>
      <family val="1"/>
    </font>
    <font>
      <sz val="11"/>
      <name val="Calibri"/>
      <family val="2"/>
      <charset val="163"/>
      <scheme val="minor"/>
    </font>
    <font>
      <b/>
      <u/>
      <sz val="13"/>
      <color indexed="8"/>
      <name val="Times New Roman"/>
      <family val="1"/>
    </font>
    <font>
      <b/>
      <sz val="15"/>
      <color theme="1"/>
      <name val="Times New Roman"/>
      <family val="1"/>
    </font>
    <font>
      <sz val="12"/>
      <color rgb="FF333333"/>
      <name val="Times New Roman"/>
      <family val="1"/>
    </font>
    <font>
      <b/>
      <sz val="13"/>
      <color rgb="FF0033CC"/>
      <name val="Times New Roman"/>
      <family val="1"/>
    </font>
    <font>
      <sz val="13"/>
      <color rgb="FF0033CC"/>
      <name val="Times New Roman"/>
      <family val="1"/>
    </font>
    <font>
      <b/>
      <sz val="10"/>
      <name val="Times New Roman"/>
      <family val="1"/>
    </font>
    <font>
      <b/>
      <sz val="14"/>
      <name val="Times New Roman"/>
      <family val="1"/>
    </font>
    <font>
      <sz val="10"/>
      <name val="Times New Roman"/>
      <family val="1"/>
    </font>
    <font>
      <i/>
      <sz val="10"/>
      <name val="Times New Roman"/>
      <family val="1"/>
    </font>
    <font>
      <b/>
      <sz val="10"/>
      <color rgb="FF000000"/>
      <name val="Times New Roman"/>
      <family val="1"/>
    </font>
    <font>
      <sz val="10"/>
      <color rgb="FF000000"/>
      <name val="Times New Roman"/>
      <family val="1"/>
    </font>
    <font>
      <b/>
      <u/>
      <sz val="13"/>
      <color theme="1"/>
      <name val="Times New Roman"/>
      <family val="1"/>
    </font>
    <font>
      <b/>
      <sz val="12"/>
      <color rgb="FF333333"/>
      <name val="Times New Roman"/>
      <family val="1"/>
    </font>
    <font>
      <sz val="11"/>
      <color rgb="FFFF0000"/>
      <name val="Calibri"/>
      <family val="2"/>
      <scheme val="minor"/>
    </font>
    <font>
      <b/>
      <sz val="9"/>
      <color indexed="8"/>
      <name val="Times New Roman"/>
      <family val="1"/>
      <charset val="163"/>
    </font>
    <font>
      <sz val="11"/>
      <color rgb="FFFF0000"/>
      <name val="Times New Roman"/>
      <family val="2"/>
    </font>
    <font>
      <sz val="12"/>
      <color rgb="FFFF0000"/>
      <name val="Times New Roman"/>
      <family val="1"/>
      <charset val="163"/>
    </font>
    <font>
      <b/>
      <sz val="2"/>
      <color theme="1"/>
      <name val="Times New Roman"/>
      <family val="1"/>
    </font>
    <font>
      <i/>
      <sz val="10"/>
      <color theme="1"/>
      <name val="Times New Roman"/>
      <family val="1"/>
    </font>
    <font>
      <sz val="6"/>
      <color theme="1"/>
      <name val="Times New Roman"/>
      <family val="1"/>
    </font>
    <font>
      <sz val="11"/>
      <color theme="1"/>
      <name val="Calibri"/>
      <family val="2"/>
    </font>
    <font>
      <sz val="11"/>
      <name val="Calibri"/>
      <family val="2"/>
    </font>
    <font>
      <sz val="10"/>
      <color rgb="FF0066FF"/>
      <name val="Times New Roman"/>
      <family val="1"/>
    </font>
    <font>
      <b/>
      <sz val="10"/>
      <name val="Times New Roman"/>
      <family val="1"/>
    </font>
    <font>
      <b/>
      <sz val="14"/>
      <name val="Times New Roman"/>
      <family val="1"/>
    </font>
    <font>
      <sz val="10"/>
      <name val="Times New Roman"/>
      <family val="1"/>
    </font>
    <font>
      <i/>
      <sz val="10"/>
      <name val="Times New Roman"/>
      <family val="1"/>
    </font>
    <font>
      <sz val="11"/>
      <color rgb="FF008080"/>
      <name val="Times New Roman"/>
      <family val="1"/>
    </font>
    <font>
      <sz val="13"/>
      <color rgb="FF008080"/>
      <name val="Times New Roman"/>
      <family val="1"/>
    </font>
    <font>
      <sz val="11"/>
      <color rgb="FF008080"/>
      <name val="Calibri"/>
      <family val="2"/>
      <charset val="163"/>
      <scheme val="minor"/>
    </font>
    <font>
      <sz val="9"/>
      <color rgb="FF000000"/>
      <name val="Times New Roman"/>
      <family val="1"/>
    </font>
    <font>
      <sz val="5"/>
      <color theme="1"/>
      <name val="Times New Roman"/>
      <family val="1"/>
    </font>
    <font>
      <sz val="4"/>
      <color theme="1"/>
      <name val="Times New Roman"/>
      <family val="1"/>
    </font>
    <font>
      <sz val="10"/>
      <color rgb="FF008080"/>
      <name val="Times New Roman"/>
      <family val="1"/>
    </font>
    <font>
      <b/>
      <sz val="7"/>
      <color theme="1"/>
      <name val="Times New Roman"/>
      <family val="1"/>
    </font>
    <font>
      <b/>
      <sz val="6"/>
      <color theme="1"/>
      <name val="Times New Roman"/>
      <family val="1"/>
    </font>
    <font>
      <b/>
      <sz val="10"/>
      <color rgb="FFFF3399"/>
      <name val="Times New Roman"/>
      <family val="1"/>
    </font>
    <font>
      <b/>
      <i/>
      <sz val="11"/>
      <color theme="1"/>
      <name val="Times New Roman"/>
      <family val="1"/>
    </font>
    <font>
      <sz val="11"/>
      <color rgb="FF0066FF"/>
      <name val="Calibri"/>
      <family val="2"/>
      <charset val="163"/>
      <scheme val="minor"/>
    </font>
    <font>
      <b/>
      <sz val="10"/>
      <color rgb="FFFF00FF"/>
      <name val="Arial"/>
      <family val="2"/>
    </font>
    <font>
      <sz val="11"/>
      <color rgb="FF0000FF"/>
      <name val="Times New Roman"/>
      <family val="1"/>
    </font>
    <font>
      <i/>
      <sz val="8"/>
      <color theme="1"/>
      <name val="Times New Roman"/>
      <family val="1"/>
    </font>
    <font>
      <sz val="11.5"/>
      <color rgb="FF000000"/>
      <name val="Times New Roman"/>
      <family val="1"/>
    </font>
    <font>
      <sz val="11.5"/>
      <color theme="1"/>
      <name val="Times New Roman"/>
      <family val="1"/>
    </font>
    <font>
      <b/>
      <sz val="11"/>
      <color rgb="FF454545"/>
      <name val="Arial"/>
      <family val="2"/>
    </font>
    <font>
      <sz val="11"/>
      <color theme="1"/>
      <name val="Arial"/>
      <family val="2"/>
    </font>
    <font>
      <sz val="11"/>
      <color rgb="FF000000"/>
      <name val="Arial"/>
      <family val="2"/>
    </font>
    <font>
      <b/>
      <sz val="13"/>
      <color theme="1"/>
      <name val="Times New Roman"/>
      <family val="2"/>
    </font>
    <font>
      <b/>
      <sz val="13"/>
      <color rgb="FF0033CC"/>
      <name val="Times New Roman"/>
      <family val="2"/>
    </font>
    <font>
      <sz val="12"/>
      <color rgb="FF333333"/>
      <name val="Arial"/>
      <family val="2"/>
    </font>
    <font>
      <sz val="13"/>
      <color rgb="FF0033CC"/>
      <name val="Times New Roman"/>
      <family val="2"/>
    </font>
    <font>
      <sz val="13"/>
      <color rgb="FFFF0000"/>
      <name val="Times New Roman"/>
      <family val="2"/>
      <charset val="1"/>
    </font>
  </fonts>
  <fills count="18">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FFFF"/>
        <bgColor indexed="64"/>
      </patternFill>
    </fill>
    <fill>
      <patternFill patternType="solid">
        <fgColor rgb="FFB4D5F7"/>
        <bgColor indexed="64"/>
      </patternFill>
    </fill>
    <fill>
      <patternFill patternType="solid">
        <fgColor rgb="FFF5F5F5"/>
        <bgColor indexed="64"/>
      </patternFill>
    </fill>
    <fill>
      <patternFill patternType="solid">
        <fgColor rgb="FFA2CDCC"/>
        <bgColor indexed="64"/>
      </patternFill>
    </fill>
    <fill>
      <patternFill patternType="solid">
        <fgColor rgb="FF98FB98"/>
        <bgColor indexed="64"/>
      </patternFill>
    </fill>
    <fill>
      <patternFill patternType="solid">
        <fgColor rgb="FF92D05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CCC0D9"/>
        <bgColor indexed="64"/>
      </patternFill>
    </fill>
  </fills>
  <borders count="6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dotted">
        <color indexed="64"/>
      </top>
      <bottom style="dotted">
        <color indexed="64"/>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diagonal/>
    </border>
    <border>
      <left style="thin">
        <color indexed="64"/>
      </left>
      <right style="thin">
        <color indexed="64"/>
      </right>
      <top style="dotted">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hair">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right/>
      <top style="thin">
        <color indexed="8"/>
      </top>
      <bottom style="thin">
        <color indexed="8"/>
      </bottom>
      <diagonal/>
    </border>
    <border>
      <left/>
      <right style="thin">
        <color indexed="8"/>
      </right>
      <top style="thin">
        <color indexed="8"/>
      </top>
      <bottom/>
      <diagonal/>
    </border>
    <border>
      <left style="thin">
        <color indexed="8"/>
      </left>
      <right style="thin">
        <color indexed="8"/>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rgb="FF999999"/>
      </left>
      <right/>
      <top/>
      <bottom/>
      <diagonal/>
    </border>
    <border>
      <left/>
      <right/>
      <top/>
      <bottom style="medium">
        <color rgb="FF999999"/>
      </bottom>
      <diagonal/>
    </border>
    <border>
      <left style="medium">
        <color rgb="FF999999"/>
      </left>
      <right/>
      <top/>
      <bottom style="medium">
        <color rgb="FF999999"/>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style="medium">
        <color rgb="FF000000"/>
      </left>
      <right style="medium">
        <color rgb="FF000000"/>
      </right>
      <top style="medium">
        <color rgb="FF000000"/>
      </top>
      <bottom/>
      <diagonal/>
    </border>
    <border>
      <left/>
      <right style="medium">
        <color rgb="FF000000"/>
      </right>
      <top style="medium">
        <color rgb="FF000000"/>
      </top>
      <bottom style="medium">
        <color rgb="FF000000"/>
      </bottom>
      <diagonal/>
    </border>
    <border>
      <left style="medium">
        <color rgb="FF000000"/>
      </left>
      <right/>
      <top/>
      <bottom style="medium">
        <color indexed="64"/>
      </bottom>
      <diagonal/>
    </border>
    <border>
      <left style="medium">
        <color rgb="FF000000"/>
      </left>
      <right style="medium">
        <color rgb="FF000000"/>
      </right>
      <top/>
      <bottom style="medium">
        <color indexed="64"/>
      </bottom>
      <diagonal/>
    </border>
    <border>
      <left/>
      <right style="medium">
        <color rgb="FF000000"/>
      </right>
      <top/>
      <bottom style="medium">
        <color indexed="64"/>
      </bottom>
      <diagonal/>
    </border>
    <border>
      <left/>
      <right style="medium">
        <color indexed="64"/>
      </right>
      <top style="medium">
        <color rgb="FF000000"/>
      </top>
      <bottom style="medium">
        <color rgb="FF000000"/>
      </bottom>
      <diagonal/>
    </border>
    <border>
      <left style="medium">
        <color indexed="64"/>
      </left>
      <right/>
      <top style="medium">
        <color rgb="FF000000"/>
      </top>
      <bottom style="medium">
        <color rgb="FF000000"/>
      </bottom>
      <diagonal/>
    </border>
    <border>
      <left/>
      <right/>
      <top/>
      <bottom style="medium">
        <color rgb="FF000000"/>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thin">
        <color indexed="64"/>
      </bottom>
      <diagonal/>
    </border>
    <border>
      <left/>
      <right/>
      <top style="thin">
        <color indexed="8"/>
      </top>
      <bottom/>
      <diagonal/>
    </border>
    <border>
      <left/>
      <right style="medium">
        <color rgb="FF000000"/>
      </right>
      <top style="medium">
        <color rgb="FF000000"/>
      </top>
      <bottom/>
      <diagonal/>
    </border>
    <border>
      <left style="medium">
        <color indexed="64"/>
      </left>
      <right/>
      <top style="medium">
        <color rgb="FF000000"/>
      </top>
      <bottom style="medium">
        <color indexed="64"/>
      </bottom>
      <diagonal/>
    </border>
    <border>
      <left/>
      <right style="medium">
        <color indexed="64"/>
      </right>
      <top style="medium">
        <color rgb="FF000000"/>
      </top>
      <bottom style="medium">
        <color indexed="64"/>
      </bottom>
      <diagonal/>
    </border>
    <border>
      <left style="medium">
        <color indexed="64"/>
      </left>
      <right style="medium">
        <color indexed="64"/>
      </right>
      <top style="medium">
        <color indexed="64"/>
      </top>
      <bottom style="medium">
        <color indexed="64"/>
      </bottom>
      <diagonal/>
    </border>
    <border>
      <left style="medium">
        <color rgb="FF000000"/>
      </left>
      <right/>
      <top style="medium">
        <color indexed="64"/>
      </top>
      <bottom style="medium">
        <color rgb="FF000000"/>
      </bottom>
      <diagonal/>
    </border>
    <border>
      <left/>
      <right style="medium">
        <color rgb="FF000000"/>
      </right>
      <top style="medium">
        <color indexed="64"/>
      </top>
      <bottom style="medium">
        <color rgb="FF000000"/>
      </bottom>
      <diagonal/>
    </border>
    <border>
      <left style="thin">
        <color auto="1"/>
      </left>
      <right style="thin">
        <color auto="1"/>
      </right>
      <top style="thin">
        <color auto="1"/>
      </top>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style="medium">
        <color rgb="FF000000"/>
      </left>
      <right style="medium">
        <color indexed="64"/>
      </right>
      <top style="medium">
        <color rgb="FF000000"/>
      </top>
      <bottom/>
      <diagonal/>
    </border>
    <border>
      <left style="medium">
        <color rgb="FF000000"/>
      </left>
      <right style="medium">
        <color indexed="64"/>
      </right>
      <top style="medium">
        <color rgb="FF000000"/>
      </top>
      <bottom style="medium">
        <color rgb="FF000000"/>
      </bottom>
      <diagonal/>
    </border>
    <border>
      <left/>
      <right/>
      <top style="medium">
        <color rgb="FF999999"/>
      </top>
      <bottom/>
      <diagonal/>
    </border>
    <border>
      <left/>
      <right/>
      <top style="medium">
        <color rgb="FF000000"/>
      </top>
      <bottom style="medium">
        <color rgb="FF000000"/>
      </bottom>
      <diagonal/>
    </border>
  </borders>
  <cellStyleXfs count="24">
    <xf numFmtId="0" fontId="0" fillId="0" borderId="0"/>
    <xf numFmtId="43" fontId="54" fillId="0" borderId="0" applyFont="0" applyFill="0" applyBorder="0" applyAlignment="0" applyProtection="0"/>
    <xf numFmtId="43" fontId="3" fillId="0" borderId="0" applyFont="0" applyFill="0" applyBorder="0" applyAlignment="0" applyProtection="0"/>
    <xf numFmtId="43" fontId="55" fillId="0" borderId="0" applyFont="0" applyFill="0" applyBorder="0" applyAlignment="0" applyProtection="0"/>
    <xf numFmtId="164" fontId="56" fillId="0" borderId="0" applyFont="0" applyFill="0" applyBorder="0" applyAlignment="0" applyProtection="0"/>
    <xf numFmtId="167" fontId="10" fillId="0" borderId="0" applyFont="0" applyFill="0" applyBorder="0" applyAlignment="0" applyProtection="0"/>
    <xf numFmtId="43" fontId="55" fillId="0" borderId="0" applyFont="0" applyFill="0" applyBorder="0" applyAlignment="0" applyProtection="0"/>
    <xf numFmtId="165" fontId="54" fillId="0" borderId="0" applyFont="0" applyFill="0" applyBorder="0" applyAlignment="0" applyProtection="0"/>
    <xf numFmtId="43" fontId="57" fillId="0" borderId="0" applyFont="0" applyFill="0" applyBorder="0" applyAlignment="0" applyProtection="0"/>
    <xf numFmtId="43" fontId="11" fillId="0" borderId="0" applyFont="0" applyFill="0" applyBorder="0" applyAlignment="0" applyProtection="0"/>
    <xf numFmtId="0" fontId="53" fillId="0" borderId="0"/>
    <xf numFmtId="0" fontId="56" fillId="0" borderId="0"/>
    <xf numFmtId="0" fontId="5" fillId="0" borderId="0"/>
    <xf numFmtId="0" fontId="2" fillId="0" borderId="0">
      <alignment vertical="center"/>
    </xf>
    <xf numFmtId="0" fontId="12" fillId="0" borderId="0"/>
    <xf numFmtId="0" fontId="12" fillId="0" borderId="0"/>
    <xf numFmtId="0" fontId="57" fillId="0" borderId="0"/>
    <xf numFmtId="0" fontId="12" fillId="0" borderId="0"/>
    <xf numFmtId="0" fontId="55" fillId="0" borderId="0"/>
    <xf numFmtId="0" fontId="28" fillId="0" borderId="0"/>
    <xf numFmtId="0" fontId="14" fillId="0" borderId="0">
      <alignment vertical="center"/>
    </xf>
    <xf numFmtId="0" fontId="33" fillId="0" borderId="0"/>
    <xf numFmtId="9" fontId="54" fillId="0" borderId="0" applyFont="0" applyFill="0" applyBorder="0" applyAlignment="0" applyProtection="0"/>
    <xf numFmtId="43" fontId="1" fillId="0" borderId="0" applyFont="0" applyFill="0" applyBorder="0" applyAlignment="0" applyProtection="0"/>
  </cellStyleXfs>
  <cellXfs count="1590">
    <xf numFmtId="0" fontId="0" fillId="0" borderId="0" xfId="0"/>
    <xf numFmtId="0" fontId="4" fillId="2" borderId="0" xfId="11" applyFont="1" applyFill="1" applyAlignment="1">
      <alignment vertical="center"/>
    </xf>
    <xf numFmtId="0" fontId="6" fillId="2" borderId="0" xfId="11" applyFont="1" applyFill="1" applyAlignment="1">
      <alignment vertical="center"/>
    </xf>
    <xf numFmtId="0" fontId="7" fillId="2" borderId="0" xfId="11" applyFont="1" applyFill="1" applyAlignment="1">
      <alignment vertical="center"/>
    </xf>
    <xf numFmtId="0" fontId="8" fillId="2" borderId="0" xfId="11" applyFont="1" applyFill="1" applyAlignment="1">
      <alignment vertical="center"/>
    </xf>
    <xf numFmtId="0" fontId="4" fillId="2" borderId="1" xfId="11" applyFont="1" applyFill="1" applyBorder="1" applyAlignment="1">
      <alignment horizontal="center" vertical="center"/>
    </xf>
    <xf numFmtId="3" fontId="4" fillId="2" borderId="1" xfId="11" applyNumberFormat="1" applyFont="1" applyFill="1" applyBorder="1" applyAlignment="1">
      <alignment horizontal="center" vertical="center"/>
    </xf>
    <xf numFmtId="0" fontId="4" fillId="2" borderId="0" xfId="11" applyFont="1" applyFill="1" applyAlignment="1">
      <alignment horizontal="center" vertical="center"/>
    </xf>
    <xf numFmtId="0" fontId="4" fillId="2" borderId="1" xfId="15" quotePrefix="1" applyFont="1" applyFill="1" applyBorder="1" applyAlignment="1">
      <alignment horizontal="center" vertical="center" wrapText="1"/>
    </xf>
    <xf numFmtId="0" fontId="12" fillId="2" borderId="0" xfId="11" applyFont="1" applyFill="1" applyAlignment="1">
      <alignment vertical="center"/>
    </xf>
    <xf numFmtId="0" fontId="4" fillId="2" borderId="1" xfId="0" applyFont="1" applyFill="1" applyBorder="1" applyAlignment="1">
      <alignment vertical="center"/>
    </xf>
    <xf numFmtId="3" fontId="7" fillId="2" borderId="0" xfId="11" applyNumberFormat="1" applyFont="1" applyFill="1" applyAlignment="1">
      <alignment vertical="center"/>
    </xf>
    <xf numFmtId="0" fontId="59" fillId="2" borderId="0" xfId="11" applyFont="1" applyFill="1" applyAlignment="1">
      <alignment vertical="center"/>
    </xf>
    <xf numFmtId="0" fontId="59" fillId="2" borderId="0" xfId="11" applyFont="1" applyFill="1" applyAlignment="1">
      <alignment horizontal="right" vertical="center"/>
    </xf>
    <xf numFmtId="0" fontId="7" fillId="2" borderId="0" xfId="11" applyFont="1" applyFill="1" applyAlignment="1">
      <alignment horizontal="center" vertical="center"/>
    </xf>
    <xf numFmtId="0" fontId="56" fillId="0" borderId="0" xfId="0" applyFont="1" applyAlignment="1">
      <alignment vertical="center"/>
    </xf>
    <xf numFmtId="3" fontId="60" fillId="0" borderId="2" xfId="0" applyNumberFormat="1" applyFont="1" applyBorder="1" applyAlignment="1">
      <alignment vertical="center"/>
    </xf>
    <xf numFmtId="0" fontId="61" fillId="0" borderId="1" xfId="0" applyFont="1" applyBorder="1" applyAlignment="1">
      <alignment vertical="center"/>
    </xf>
    <xf numFmtId="0" fontId="62" fillId="0" borderId="1" xfId="0" applyFont="1" applyBorder="1" applyAlignment="1">
      <alignment vertical="center"/>
    </xf>
    <xf numFmtId="3" fontId="62" fillId="0" borderId="1" xfId="0" applyNumberFormat="1" applyFont="1" applyBorder="1" applyAlignment="1">
      <alignment vertical="center"/>
    </xf>
    <xf numFmtId="0" fontId="0" fillId="0" borderId="0" xfId="0" applyAlignment="1">
      <alignment vertical="center"/>
    </xf>
    <xf numFmtId="166" fontId="15" fillId="2" borderId="1" xfId="1" applyNumberFormat="1" applyFont="1" applyFill="1" applyBorder="1" applyAlignment="1">
      <alignment vertical="center"/>
    </xf>
    <xf numFmtId="3" fontId="6" fillId="2" borderId="1" xfId="0" applyNumberFormat="1" applyFont="1" applyFill="1" applyBorder="1" applyAlignment="1">
      <alignment horizontal="right" vertical="center" wrapText="1"/>
    </xf>
    <xf numFmtId="0" fontId="4" fillId="2" borderId="1" xfId="0" applyFont="1" applyFill="1" applyBorder="1" applyAlignment="1">
      <alignment horizontal="left" vertical="center" wrapText="1"/>
    </xf>
    <xf numFmtId="0" fontId="4" fillId="2" borderId="3" xfId="0" applyFont="1" applyFill="1" applyBorder="1" applyAlignment="1">
      <alignment horizontal="left" vertical="center" wrapText="1"/>
    </xf>
    <xf numFmtId="0" fontId="4" fillId="2" borderId="3" xfId="0" applyFont="1" applyFill="1" applyBorder="1" applyAlignment="1">
      <alignment vertical="center"/>
    </xf>
    <xf numFmtId="3" fontId="63" fillId="0" borderId="1" xfId="0" applyNumberFormat="1" applyFont="1" applyBorder="1" applyAlignment="1">
      <alignment vertical="center"/>
    </xf>
    <xf numFmtId="166" fontId="6" fillId="0" borderId="0" xfId="1" applyNumberFormat="1" applyFont="1" applyFill="1" applyAlignment="1">
      <alignment vertical="center"/>
    </xf>
    <xf numFmtId="3" fontId="0" fillId="0" borderId="0" xfId="0" applyNumberFormat="1" applyAlignment="1">
      <alignment vertical="center"/>
    </xf>
    <xf numFmtId="166" fontId="6" fillId="2" borderId="0" xfId="1" applyNumberFormat="1" applyFont="1" applyFill="1" applyAlignment="1">
      <alignment vertical="center"/>
    </xf>
    <xf numFmtId="0" fontId="6" fillId="2" borderId="1" xfId="0" applyFont="1" applyFill="1" applyBorder="1" applyAlignment="1">
      <alignment vertical="center"/>
    </xf>
    <xf numFmtId="0" fontId="6" fillId="2" borderId="1" xfId="0" applyFont="1" applyFill="1" applyBorder="1" applyAlignment="1">
      <alignment horizontal="left" vertical="center" wrapText="1"/>
    </xf>
    <xf numFmtId="0" fontId="6" fillId="2" borderId="4" xfId="0" applyFont="1" applyFill="1" applyBorder="1" applyAlignment="1">
      <alignment vertical="center"/>
    </xf>
    <xf numFmtId="0" fontId="6" fillId="2" borderId="5" xfId="0" applyFont="1" applyFill="1" applyBorder="1" applyAlignment="1">
      <alignment vertical="center"/>
    </xf>
    <xf numFmtId="0" fontId="6" fillId="2" borderId="5" xfId="0" applyFont="1" applyFill="1" applyBorder="1" applyAlignment="1">
      <alignment horizontal="left" vertical="center" wrapText="1"/>
    </xf>
    <xf numFmtId="0" fontId="6" fillId="2" borderId="3" xfId="0" applyFont="1" applyFill="1" applyBorder="1" applyAlignment="1">
      <alignment horizontal="left" vertical="center" wrapText="1"/>
    </xf>
    <xf numFmtId="0" fontId="6" fillId="2" borderId="3" xfId="0" applyFont="1" applyFill="1" applyBorder="1" applyAlignment="1">
      <alignment vertical="center"/>
    </xf>
    <xf numFmtId="0" fontId="4" fillId="2" borderId="0" xfId="11" applyFont="1" applyFill="1" applyAlignment="1">
      <alignment horizontal="center" vertical="center" wrapText="1"/>
    </xf>
    <xf numFmtId="3" fontId="6" fillId="3" borderId="1" xfId="0" applyNumberFormat="1" applyFont="1" applyFill="1" applyBorder="1" applyAlignment="1">
      <alignment horizontal="right" vertical="center" wrapText="1"/>
    </xf>
    <xf numFmtId="0" fontId="6" fillId="3" borderId="1" xfId="0" applyFont="1" applyFill="1" applyBorder="1" applyAlignment="1">
      <alignment vertical="center"/>
    </xf>
    <xf numFmtId="0" fontId="4" fillId="0" borderId="6" xfId="0" applyFont="1" applyBorder="1" applyAlignment="1" applyProtection="1">
      <alignment horizontal="center" vertical="center" wrapText="1"/>
      <protection locked="0"/>
    </xf>
    <xf numFmtId="0" fontId="13" fillId="0" borderId="6" xfId="0" applyFont="1" applyBorder="1" applyAlignment="1" applyProtection="1">
      <alignment horizontal="center" vertical="center" wrapText="1"/>
      <protection locked="0"/>
    </xf>
    <xf numFmtId="0" fontId="13" fillId="0" borderId="7" xfId="0" applyFont="1" applyBorder="1" applyAlignment="1" applyProtection="1">
      <alignment horizontal="center" vertical="center" wrapText="1"/>
      <protection locked="0"/>
    </xf>
    <xf numFmtId="0" fontId="13" fillId="0" borderId="0" xfId="0" applyFont="1" applyAlignment="1" applyProtection="1">
      <alignment horizontal="center" vertical="center" wrapText="1"/>
      <protection locked="0"/>
    </xf>
    <xf numFmtId="3" fontId="60" fillId="0" borderId="0" xfId="0" applyNumberFormat="1" applyFont="1" applyAlignment="1">
      <alignment vertical="center"/>
    </xf>
    <xf numFmtId="0" fontId="65" fillId="0" borderId="2" xfId="0" applyFont="1" applyBorder="1" applyAlignment="1">
      <alignment horizontal="left" vertical="center"/>
    </xf>
    <xf numFmtId="0" fontId="66" fillId="0" borderId="2" xfId="0" applyFont="1" applyBorder="1" applyAlignment="1">
      <alignment horizontal="right" vertical="center"/>
    </xf>
    <xf numFmtId="0" fontId="66" fillId="0" borderId="2" xfId="0" applyFont="1" applyBorder="1" applyAlignment="1">
      <alignment horizontal="left" vertical="center"/>
    </xf>
    <xf numFmtId="3" fontId="60" fillId="0" borderId="2" xfId="0" applyNumberFormat="1" applyFont="1" applyBorder="1" applyAlignment="1">
      <alignment horizontal="right" vertical="center"/>
    </xf>
    <xf numFmtId="4" fontId="60" fillId="0" borderId="2" xfId="0" applyNumberFormat="1" applyFont="1" applyBorder="1" applyAlignment="1">
      <alignment vertical="center"/>
    </xf>
    <xf numFmtId="169" fontId="60" fillId="0" borderId="2" xfId="0" applyNumberFormat="1" applyFont="1" applyBorder="1" applyAlignment="1">
      <alignment vertical="center"/>
    </xf>
    <xf numFmtId="0" fontId="65" fillId="0" borderId="8" xfId="0" applyFont="1" applyBorder="1" applyAlignment="1">
      <alignment horizontal="left" vertical="center"/>
    </xf>
    <xf numFmtId="0" fontId="65" fillId="0" borderId="9" xfId="0" applyFont="1" applyBorder="1" applyAlignment="1">
      <alignment horizontal="left" vertical="center"/>
    </xf>
    <xf numFmtId="0" fontId="4" fillId="2" borderId="4" xfId="0" applyFont="1" applyFill="1" applyBorder="1" applyAlignment="1">
      <alignment vertical="center"/>
    </xf>
    <xf numFmtId="0" fontId="4" fillId="2" borderId="5" xfId="0" applyFont="1" applyFill="1" applyBorder="1" applyAlignment="1">
      <alignment vertical="center"/>
    </xf>
    <xf numFmtId="0" fontId="4" fillId="2" borderId="1" xfId="15" quotePrefix="1" applyFont="1" applyFill="1" applyBorder="1" applyAlignment="1">
      <alignment horizontal="left" vertical="center" wrapText="1"/>
    </xf>
    <xf numFmtId="0" fontId="4" fillId="2" borderId="1" xfId="15" quotePrefix="1" applyFont="1" applyFill="1" applyBorder="1" applyAlignment="1">
      <alignment vertical="center" wrapText="1"/>
    </xf>
    <xf numFmtId="0" fontId="4" fillId="2" borderId="1" xfId="0" quotePrefix="1" applyFont="1" applyFill="1" applyBorder="1" applyAlignment="1">
      <alignment vertical="center" wrapText="1"/>
    </xf>
    <xf numFmtId="0" fontId="4" fillId="2" borderId="10" xfId="15" quotePrefix="1" applyFont="1" applyFill="1" applyBorder="1" applyAlignment="1">
      <alignment vertical="center" wrapText="1"/>
    </xf>
    <xf numFmtId="0" fontId="71" fillId="0" borderId="0" xfId="0" applyFont="1" applyAlignment="1">
      <alignment vertical="center"/>
    </xf>
    <xf numFmtId="0" fontId="17" fillId="0" borderId="0" xfId="0" applyFont="1" applyAlignment="1" applyProtection="1">
      <alignment horizontal="center" vertical="center" wrapText="1"/>
      <protection locked="0"/>
    </xf>
    <xf numFmtId="3" fontId="71" fillId="0" borderId="0" xfId="0" applyNumberFormat="1" applyFont="1" applyAlignment="1">
      <alignment vertical="center"/>
    </xf>
    <xf numFmtId="3" fontId="4" fillId="2" borderId="1" xfId="0" applyNumberFormat="1" applyFont="1" applyFill="1" applyBorder="1" applyAlignment="1">
      <alignment horizontal="left" vertical="center"/>
    </xf>
    <xf numFmtId="3" fontId="4" fillId="2" borderId="1" xfId="0" applyNumberFormat="1" applyFont="1" applyFill="1" applyBorder="1" applyAlignment="1">
      <alignment horizontal="left" vertical="center" wrapText="1"/>
    </xf>
    <xf numFmtId="166" fontId="58" fillId="0" borderId="0" xfId="1" applyNumberFormat="1" applyFont="1"/>
    <xf numFmtId="0" fontId="58" fillId="0" borderId="0" xfId="0" applyFont="1"/>
    <xf numFmtId="166" fontId="0" fillId="0" borderId="0" xfId="0" applyNumberFormat="1"/>
    <xf numFmtId="3" fontId="0" fillId="0" borderId="0" xfId="0" applyNumberFormat="1"/>
    <xf numFmtId="0" fontId="0" fillId="3" borderId="0" xfId="0" applyFill="1"/>
    <xf numFmtId="3" fontId="59" fillId="0" borderId="11" xfId="0" applyNumberFormat="1" applyFont="1" applyBorder="1" applyAlignment="1">
      <alignment horizontal="right"/>
    </xf>
    <xf numFmtId="166" fontId="0" fillId="3" borderId="0" xfId="0" applyNumberFormat="1" applyFill="1"/>
    <xf numFmtId="166" fontId="58" fillId="0" borderId="0" xfId="0" applyNumberFormat="1" applyFont="1"/>
    <xf numFmtId="3" fontId="72" fillId="0" borderId="11" xfId="0" applyNumberFormat="1" applyFont="1" applyBorder="1" applyAlignment="1">
      <alignment horizontal="right"/>
    </xf>
    <xf numFmtId="3" fontId="72" fillId="3" borderId="11" xfId="0" applyNumberFormat="1" applyFont="1" applyFill="1" applyBorder="1" applyAlignment="1">
      <alignment horizontal="right"/>
    </xf>
    <xf numFmtId="166" fontId="74" fillId="0" borderId="0" xfId="1" applyNumberFormat="1" applyFont="1"/>
    <xf numFmtId="0" fontId="6" fillId="2" borderId="1" xfId="15" quotePrefix="1" applyFont="1" applyFill="1" applyBorder="1" applyAlignment="1">
      <alignment horizontal="left" vertical="center" wrapText="1"/>
    </xf>
    <xf numFmtId="3" fontId="6" fillId="2" borderId="1" xfId="0" applyNumberFormat="1" applyFont="1" applyFill="1" applyBorder="1" applyAlignment="1">
      <alignment horizontal="left" vertical="center" wrapText="1"/>
    </xf>
    <xf numFmtId="3" fontId="59" fillId="2" borderId="1" xfId="0" applyNumberFormat="1" applyFont="1" applyFill="1" applyBorder="1" applyAlignment="1">
      <alignment horizontal="right" vertical="center" wrapText="1"/>
    </xf>
    <xf numFmtId="3" fontId="68" fillId="2" borderId="1" xfId="0" applyNumberFormat="1" applyFont="1" applyFill="1" applyBorder="1" applyAlignment="1">
      <alignment horizontal="right" vertical="center" wrapText="1"/>
    </xf>
    <xf numFmtId="3" fontId="59" fillId="3" borderId="11" xfId="0" applyNumberFormat="1" applyFont="1" applyFill="1" applyBorder="1" applyAlignment="1">
      <alignment horizontal="right"/>
    </xf>
    <xf numFmtId="0" fontId="59" fillId="3" borderId="11" xfId="0" applyFont="1" applyFill="1" applyBorder="1" applyAlignment="1">
      <alignment horizontal="center"/>
    </xf>
    <xf numFmtId="0" fontId="59" fillId="3" borderId="11" xfId="0" applyFont="1" applyFill="1" applyBorder="1" applyAlignment="1">
      <alignment horizontal="left"/>
    </xf>
    <xf numFmtId="0" fontId="6" fillId="2" borderId="1" xfId="15" quotePrefix="1" applyFont="1" applyFill="1" applyBorder="1" applyAlignment="1">
      <alignment vertical="center" wrapText="1"/>
    </xf>
    <xf numFmtId="0" fontId="6" fillId="3" borderId="1" xfId="15" quotePrefix="1" applyFont="1" applyFill="1" applyBorder="1" applyAlignment="1">
      <alignment vertical="center" wrapText="1"/>
    </xf>
    <xf numFmtId="0" fontId="59" fillId="2" borderId="1" xfId="15" quotePrefix="1" applyFont="1" applyFill="1" applyBorder="1" applyAlignment="1">
      <alignment vertical="center" wrapText="1"/>
    </xf>
    <xf numFmtId="0" fontId="59" fillId="2" borderId="1" xfId="0" applyFont="1" applyFill="1" applyBorder="1" applyAlignment="1">
      <alignment vertical="center"/>
    </xf>
    <xf numFmtId="0" fontId="6" fillId="2" borderId="1" xfId="0" quotePrefix="1" applyFont="1" applyFill="1" applyBorder="1" applyAlignment="1">
      <alignment vertical="center" wrapText="1"/>
    </xf>
    <xf numFmtId="0" fontId="6" fillId="2" borderId="10" xfId="15" quotePrefix="1" applyFont="1" applyFill="1" applyBorder="1" applyAlignment="1">
      <alignment vertical="center" wrapText="1"/>
    </xf>
    <xf numFmtId="3" fontId="6" fillId="2" borderId="1" xfId="0" applyNumberFormat="1" applyFont="1" applyFill="1" applyBorder="1" applyAlignment="1">
      <alignment horizontal="left" vertical="center"/>
    </xf>
    <xf numFmtId="3" fontId="6" fillId="3" borderId="1" xfId="0" applyNumberFormat="1" applyFont="1" applyFill="1" applyBorder="1" applyAlignment="1">
      <alignment horizontal="left" vertical="center"/>
    </xf>
    <xf numFmtId="3" fontId="6" fillId="3" borderId="1" xfId="0" applyNumberFormat="1" applyFont="1" applyFill="1" applyBorder="1" applyAlignment="1">
      <alignment horizontal="left" vertical="center" wrapText="1"/>
    </xf>
    <xf numFmtId="0" fontId="74" fillId="3" borderId="0" xfId="0" applyFont="1" applyFill="1"/>
    <xf numFmtId="166" fontId="74" fillId="3" borderId="0" xfId="1" applyNumberFormat="1" applyFont="1" applyFill="1"/>
    <xf numFmtId="0" fontId="59" fillId="3" borderId="11" xfId="0" applyFont="1" applyFill="1" applyBorder="1" applyAlignment="1">
      <alignment horizontal="left" wrapText="1"/>
    </xf>
    <xf numFmtId="3" fontId="72" fillId="2" borderId="1" xfId="0" applyNumberFormat="1" applyFont="1" applyFill="1" applyBorder="1" applyAlignment="1">
      <alignment horizontal="left" vertical="center"/>
    </xf>
    <xf numFmtId="3" fontId="72" fillId="2" borderId="1" xfId="0" applyNumberFormat="1" applyFont="1" applyFill="1" applyBorder="1" applyAlignment="1">
      <alignment horizontal="left" vertical="center" wrapText="1"/>
    </xf>
    <xf numFmtId="166" fontId="76" fillId="0" borderId="0" xfId="0" applyNumberFormat="1" applyFont="1"/>
    <xf numFmtId="3" fontId="59" fillId="2" borderId="1" xfId="0" applyNumberFormat="1" applyFont="1" applyFill="1" applyBorder="1" applyAlignment="1">
      <alignment horizontal="left" vertical="center"/>
    </xf>
    <xf numFmtId="3" fontId="59" fillId="2" borderId="1" xfId="0" applyNumberFormat="1" applyFont="1" applyFill="1" applyBorder="1" applyAlignment="1">
      <alignment horizontal="left" vertical="center" wrapText="1"/>
    </xf>
    <xf numFmtId="0" fontId="29" fillId="0" borderId="11" xfId="0" applyFont="1" applyBorder="1" applyAlignment="1">
      <alignment horizontal="center"/>
    </xf>
    <xf numFmtId="0" fontId="31" fillId="0" borderId="11" xfId="0" applyFont="1" applyBorder="1" applyAlignment="1">
      <alignment horizontal="center"/>
    </xf>
    <xf numFmtId="0" fontId="31" fillId="0" borderId="11" xfId="0" applyFont="1" applyBorder="1" applyAlignment="1">
      <alignment horizontal="left"/>
    </xf>
    <xf numFmtId="3" fontId="31" fillId="0" borderId="11" xfId="0" applyNumberFormat="1" applyFont="1" applyBorder="1" applyAlignment="1">
      <alignment horizontal="right"/>
    </xf>
    <xf numFmtId="0" fontId="29" fillId="0" borderId="0" xfId="0" applyFont="1"/>
    <xf numFmtId="0" fontId="30" fillId="0" borderId="0" xfId="0" applyFont="1"/>
    <xf numFmtId="0" fontId="29" fillId="0" borderId="15" xfId="0" applyFont="1" applyBorder="1"/>
    <xf numFmtId="0" fontId="29" fillId="0" borderId="16" xfId="0" applyFont="1" applyBorder="1"/>
    <xf numFmtId="0" fontId="29" fillId="0" borderId="7" xfId="0" applyFont="1" applyBorder="1"/>
    <xf numFmtId="0" fontId="29" fillId="0" borderId="17" xfId="0" applyFont="1" applyBorder="1"/>
    <xf numFmtId="0" fontId="29" fillId="0" borderId="18" xfId="0" applyFont="1" applyBorder="1"/>
    <xf numFmtId="0" fontId="32" fillId="0" borderId="0" xfId="0" applyFont="1"/>
    <xf numFmtId="0" fontId="31" fillId="3" borderId="11" xfId="0" applyFont="1" applyFill="1" applyBorder="1" applyAlignment="1">
      <alignment horizontal="center"/>
    </xf>
    <xf numFmtId="0" fontId="31" fillId="3" borderId="11" xfId="0" applyFont="1" applyFill="1" applyBorder="1" applyAlignment="1">
      <alignment horizontal="left"/>
    </xf>
    <xf numFmtId="3" fontId="31" fillId="3" borderId="11" xfId="0" applyNumberFormat="1" applyFont="1" applyFill="1" applyBorder="1" applyAlignment="1">
      <alignment horizontal="right"/>
    </xf>
    <xf numFmtId="0" fontId="29" fillId="0" borderId="19" xfId="0" applyFont="1" applyBorder="1"/>
    <xf numFmtId="0" fontId="29" fillId="0" borderId="17" xfId="0" applyFont="1" applyBorder="1" applyAlignment="1">
      <alignment horizontal="center"/>
    </xf>
    <xf numFmtId="166" fontId="54" fillId="0" borderId="0" xfId="1" applyNumberFormat="1" applyFont="1"/>
    <xf numFmtId="166" fontId="77" fillId="0" borderId="0" xfId="0" applyNumberFormat="1" applyFont="1"/>
    <xf numFmtId="3" fontId="59" fillId="3" borderId="20" xfId="0" applyNumberFormat="1" applyFont="1" applyFill="1" applyBorder="1" applyAlignment="1">
      <alignment horizontal="right"/>
    </xf>
    <xf numFmtId="0" fontId="29" fillId="0" borderId="0" xfId="0" applyFont="1" applyAlignment="1">
      <alignment horizontal="center"/>
    </xf>
    <xf numFmtId="3" fontId="31" fillId="0" borderId="0" xfId="0" applyNumberFormat="1" applyFont="1" applyAlignment="1">
      <alignment horizontal="right"/>
    </xf>
    <xf numFmtId="3" fontId="59" fillId="3" borderId="0" xfId="0" applyNumberFormat="1" applyFont="1" applyFill="1" applyAlignment="1">
      <alignment horizontal="right"/>
    </xf>
    <xf numFmtId="3" fontId="31" fillId="3" borderId="0" xfId="0" applyNumberFormat="1" applyFont="1" applyFill="1" applyAlignment="1">
      <alignment horizontal="right"/>
    </xf>
    <xf numFmtId="0" fontId="61" fillId="0" borderId="0" xfId="0" applyFont="1" applyAlignment="1">
      <alignment horizontal="center" vertical="center"/>
    </xf>
    <xf numFmtId="0" fontId="78" fillId="0" borderId="0" xfId="0" applyFont="1" applyAlignment="1">
      <alignment horizontal="center" vertical="center"/>
    </xf>
    <xf numFmtId="0" fontId="79" fillId="0" borderId="0" xfId="0" applyFont="1" applyAlignment="1">
      <alignment horizontal="center" vertical="center"/>
    </xf>
    <xf numFmtId="0" fontId="0" fillId="0" borderId="0" xfId="0" applyAlignment="1">
      <alignment horizontal="center" vertical="center"/>
    </xf>
    <xf numFmtId="0" fontId="80" fillId="0" borderId="0" xfId="11" applyFont="1" applyAlignment="1">
      <alignment horizontal="center" vertical="center"/>
    </xf>
    <xf numFmtId="0" fontId="81" fillId="0" borderId="0" xfId="11" applyFont="1" applyAlignment="1">
      <alignment vertical="center"/>
    </xf>
    <xf numFmtId="0" fontId="68" fillId="0" borderId="0" xfId="11" applyFont="1" applyAlignment="1">
      <alignment vertical="center"/>
    </xf>
    <xf numFmtId="3" fontId="67" fillId="0" borderId="3" xfId="5" applyNumberFormat="1" applyFont="1" applyFill="1" applyBorder="1" applyAlignment="1">
      <alignment horizontal="center" vertical="center" wrapText="1"/>
    </xf>
    <xf numFmtId="3" fontId="67" fillId="0" borderId="1" xfId="5" applyNumberFormat="1" applyFont="1" applyFill="1" applyBorder="1" applyAlignment="1">
      <alignment horizontal="center" vertical="center" wrapText="1"/>
    </xf>
    <xf numFmtId="3" fontId="67" fillId="0" borderId="1" xfId="4" applyNumberFormat="1" applyFont="1" applyFill="1" applyBorder="1" applyAlignment="1">
      <alignment horizontal="center" vertical="center" wrapText="1"/>
    </xf>
    <xf numFmtId="166" fontId="4" fillId="0" borderId="9" xfId="1" applyNumberFormat="1" applyFont="1" applyFill="1" applyBorder="1" applyAlignment="1">
      <alignment horizontal="center" vertical="center" wrapText="1"/>
    </xf>
    <xf numFmtId="0" fontId="4" fillId="0" borderId="1" xfId="11" applyFont="1" applyBorder="1" applyAlignment="1">
      <alignment horizontal="center" vertical="center"/>
    </xf>
    <xf numFmtId="1" fontId="4" fillId="0" borderId="1" xfId="1" applyNumberFormat="1" applyFont="1" applyFill="1" applyBorder="1" applyAlignment="1">
      <alignment horizontal="center" vertical="center"/>
    </xf>
    <xf numFmtId="0" fontId="68" fillId="0" borderId="1" xfId="15" quotePrefix="1" applyFont="1" applyBorder="1" applyAlignment="1">
      <alignment horizontal="center" vertical="center" wrapText="1"/>
    </xf>
    <xf numFmtId="166" fontId="69" fillId="0" borderId="1" xfId="1" applyNumberFormat="1" applyFont="1" applyFill="1" applyBorder="1" applyAlignment="1">
      <alignment horizontal="right" vertical="center" shrinkToFit="1"/>
    </xf>
    <xf numFmtId="3" fontId="69" fillId="0" borderId="1" xfId="11" applyNumberFormat="1" applyFont="1" applyBorder="1" applyAlignment="1">
      <alignment vertical="center"/>
    </xf>
    <xf numFmtId="166" fontId="82" fillId="0" borderId="1" xfId="6" applyNumberFormat="1" applyFont="1" applyFill="1" applyBorder="1" applyAlignment="1" applyProtection="1">
      <alignment horizontal="right" vertical="center"/>
    </xf>
    <xf numFmtId="0" fontId="70" fillId="0" borderId="0" xfId="11" applyFont="1" applyAlignment="1">
      <alignment vertical="center"/>
    </xf>
    <xf numFmtId="3" fontId="83" fillId="0" borderId="13" xfId="5" applyNumberFormat="1" applyFont="1" applyFill="1" applyBorder="1" applyAlignment="1">
      <alignment vertical="center"/>
    </xf>
    <xf numFmtId="3" fontId="83" fillId="0" borderId="14" xfId="5" applyNumberFormat="1" applyFont="1" applyFill="1" applyBorder="1" applyAlignment="1">
      <alignment vertical="center"/>
    </xf>
    <xf numFmtId="3" fontId="83" fillId="0" borderId="4" xfId="5" applyNumberFormat="1" applyFont="1" applyFill="1" applyBorder="1" applyAlignment="1">
      <alignment vertical="center"/>
    </xf>
    <xf numFmtId="3" fontId="83" fillId="0" borderId="1" xfId="5" applyNumberFormat="1" applyFont="1" applyFill="1" applyBorder="1" applyAlignment="1">
      <alignment horizontal="right" vertical="center"/>
    </xf>
    <xf numFmtId="0" fontId="67" fillId="0" borderId="0" xfId="11" applyFont="1" applyAlignment="1">
      <alignment vertical="center"/>
    </xf>
    <xf numFmtId="0" fontId="6" fillId="0" borderId="0" xfId="11" applyFont="1" applyAlignment="1">
      <alignment horizontal="center" vertical="center"/>
    </xf>
    <xf numFmtId="0" fontId="4" fillId="0" borderId="0" xfId="11" applyFont="1" applyAlignment="1">
      <alignment vertical="center"/>
    </xf>
    <xf numFmtId="3" fontId="6" fillId="0" borderId="0" xfId="11" applyNumberFormat="1" applyFont="1" applyAlignment="1">
      <alignment horizontal="right" vertical="center"/>
    </xf>
    <xf numFmtId="43" fontId="6" fillId="0" borderId="0" xfId="1" applyFont="1" applyFill="1" applyAlignment="1">
      <alignment horizontal="right" vertical="center"/>
    </xf>
    <xf numFmtId="166" fontId="6" fillId="0" borderId="0" xfId="1" applyNumberFormat="1" applyFont="1" applyFill="1" applyAlignment="1">
      <alignment horizontal="right" vertical="center" wrapText="1"/>
    </xf>
    <xf numFmtId="166" fontId="6" fillId="0" borderId="0" xfId="11" applyNumberFormat="1" applyFont="1" applyAlignment="1">
      <alignment vertical="center"/>
    </xf>
    <xf numFmtId="3" fontId="6" fillId="0" borderId="0" xfId="12" applyNumberFormat="1" applyFont="1" applyAlignment="1">
      <alignment vertical="center"/>
    </xf>
    <xf numFmtId="0" fontId="6" fillId="0" borderId="0" xfId="12" applyFont="1" applyAlignment="1">
      <alignment horizontal="left" vertical="center"/>
    </xf>
    <xf numFmtId="0" fontId="6" fillId="0" borderId="0" xfId="11" applyFont="1" applyAlignment="1">
      <alignment vertical="center"/>
    </xf>
    <xf numFmtId="0" fontId="13" fillId="0" borderId="0" xfId="11" applyFont="1" applyAlignment="1">
      <alignment vertical="center"/>
    </xf>
    <xf numFmtId="0" fontId="16" fillId="0" borderId="0" xfId="11" applyFont="1" applyAlignment="1">
      <alignment vertical="center"/>
    </xf>
    <xf numFmtId="3" fontId="16" fillId="0" borderId="0" xfId="11" applyNumberFormat="1" applyFont="1" applyAlignment="1">
      <alignment vertical="center"/>
    </xf>
    <xf numFmtId="0" fontId="7" fillId="0" borderId="0" xfId="11" applyFont="1" applyAlignment="1">
      <alignment horizontal="center" vertical="center"/>
    </xf>
    <xf numFmtId="43" fontId="7" fillId="0" borderId="0" xfId="1" applyFont="1" applyFill="1" applyAlignment="1">
      <alignment horizontal="right" vertical="center"/>
    </xf>
    <xf numFmtId="166" fontId="7" fillId="0" borderId="0" xfId="1" applyNumberFormat="1" applyFont="1" applyFill="1" applyAlignment="1">
      <alignment horizontal="right" vertical="center" wrapText="1"/>
    </xf>
    <xf numFmtId="3" fontId="7" fillId="0" borderId="0" xfId="11" applyNumberFormat="1" applyFont="1" applyAlignment="1">
      <alignment vertical="center"/>
    </xf>
    <xf numFmtId="0" fontId="6" fillId="0" borderId="0" xfId="12" applyFont="1" applyAlignment="1">
      <alignment vertical="center"/>
    </xf>
    <xf numFmtId="0" fontId="7" fillId="0" borderId="0" xfId="11" applyFont="1" applyAlignment="1">
      <alignment vertical="center"/>
    </xf>
    <xf numFmtId="0" fontId="81" fillId="0" borderId="0" xfId="11" applyFont="1" applyAlignment="1">
      <alignment horizontal="center" vertical="center"/>
    </xf>
    <xf numFmtId="3" fontId="68" fillId="0" borderId="0" xfId="11" applyNumberFormat="1" applyFont="1" applyAlignment="1">
      <alignment horizontal="right" vertical="center"/>
    </xf>
    <xf numFmtId="166" fontId="81" fillId="0" borderId="0" xfId="1" applyNumberFormat="1" applyFont="1" applyFill="1" applyAlignment="1">
      <alignment horizontal="right" vertical="center"/>
    </xf>
    <xf numFmtId="0" fontId="59" fillId="0" borderId="1" xfId="15" quotePrefix="1" applyFont="1" applyBorder="1" applyAlignment="1">
      <alignment horizontal="center" vertical="center" wrapText="1"/>
    </xf>
    <xf numFmtId="3" fontId="73" fillId="0" borderId="1" xfId="11" applyNumberFormat="1" applyFont="1" applyBorder="1" applyAlignment="1">
      <alignment vertical="center"/>
    </xf>
    <xf numFmtId="0" fontId="64" fillId="0" borderId="0" xfId="11" applyFont="1" applyAlignment="1">
      <alignment vertical="center"/>
    </xf>
    <xf numFmtId="0" fontId="59" fillId="2" borderId="11" xfId="0" applyFont="1" applyFill="1" applyBorder="1" applyAlignment="1">
      <alignment vertical="center" wrapText="1"/>
    </xf>
    <xf numFmtId="166" fontId="73" fillId="0" borderId="1" xfId="1" applyNumberFormat="1" applyFont="1" applyFill="1" applyBorder="1" applyAlignment="1">
      <alignment horizontal="right" vertical="center" shrinkToFit="1"/>
    </xf>
    <xf numFmtId="3" fontId="70" fillId="0" borderId="0" xfId="11" applyNumberFormat="1" applyFont="1" applyAlignment="1">
      <alignment vertical="center"/>
    </xf>
    <xf numFmtId="0" fontId="4" fillId="3" borderId="11" xfId="0" applyFont="1" applyFill="1" applyBorder="1" applyAlignment="1">
      <alignment horizontal="center"/>
    </xf>
    <xf numFmtId="0" fontId="4" fillId="3" borderId="11" xfId="0" applyFont="1" applyFill="1" applyBorder="1" applyAlignment="1">
      <alignment horizontal="left"/>
    </xf>
    <xf numFmtId="3" fontId="4" fillId="3" borderId="11" xfId="0" applyNumberFormat="1" applyFont="1" applyFill="1" applyBorder="1" applyAlignment="1">
      <alignment horizontal="right"/>
    </xf>
    <xf numFmtId="0" fontId="84" fillId="3" borderId="0" xfId="0" applyFont="1" applyFill="1"/>
    <xf numFmtId="166" fontId="54" fillId="3" borderId="0" xfId="1" applyNumberFormat="1" applyFont="1" applyFill="1"/>
    <xf numFmtId="166" fontId="54" fillId="0" borderId="0" xfId="1" applyNumberFormat="1" applyFont="1" applyAlignment="1">
      <alignment vertical="center"/>
    </xf>
    <xf numFmtId="3" fontId="4" fillId="2" borderId="1" xfId="5" applyNumberFormat="1" applyFont="1" applyFill="1" applyBorder="1" applyAlignment="1">
      <alignment horizontal="center" vertical="center" wrapText="1"/>
    </xf>
    <xf numFmtId="0" fontId="4" fillId="2" borderId="1" xfId="11" applyFont="1" applyFill="1" applyBorder="1" applyAlignment="1">
      <alignment horizontal="center" vertical="center" wrapText="1"/>
    </xf>
    <xf numFmtId="0" fontId="4" fillId="2" borderId="11" xfId="0" applyFont="1" applyFill="1" applyBorder="1" applyAlignment="1">
      <alignment vertical="center" wrapText="1"/>
    </xf>
    <xf numFmtId="3" fontId="6" fillId="0" borderId="11" xfId="0" applyNumberFormat="1" applyFont="1" applyBorder="1" applyAlignment="1">
      <alignment horizontal="right"/>
    </xf>
    <xf numFmtId="3" fontId="76" fillId="0" borderId="0" xfId="0" applyNumberFormat="1" applyFont="1"/>
    <xf numFmtId="0" fontId="4" fillId="2" borderId="5" xfId="0" applyFont="1" applyFill="1" applyBorder="1" applyAlignment="1">
      <alignment horizontal="left" vertical="center" wrapText="1"/>
    </xf>
    <xf numFmtId="0" fontId="0" fillId="4" borderId="0" xfId="0" applyFill="1"/>
    <xf numFmtId="0" fontId="85" fillId="5" borderId="0" xfId="0" applyFont="1" applyFill="1" applyAlignment="1">
      <alignment horizontal="center" vertical="center"/>
    </xf>
    <xf numFmtId="0" fontId="85" fillId="5" borderId="27" xfId="0" applyFont="1" applyFill="1" applyBorder="1" applyAlignment="1">
      <alignment horizontal="center" vertical="center"/>
    </xf>
    <xf numFmtId="0" fontId="82" fillId="4" borderId="28" xfId="0" applyFont="1" applyFill="1" applyBorder="1" applyAlignment="1">
      <alignment horizontal="center" vertical="center"/>
    </xf>
    <xf numFmtId="0" fontId="0" fillId="4" borderId="29" xfId="0" applyFill="1" applyBorder="1" applyAlignment="1">
      <alignment vertical="center"/>
    </xf>
    <xf numFmtId="0" fontId="86" fillId="4" borderId="29" xfId="0" applyFont="1" applyFill="1" applyBorder="1" applyAlignment="1">
      <alignment vertical="center"/>
    </xf>
    <xf numFmtId="3" fontId="82" fillId="4" borderId="29" xfId="0" applyNumberFormat="1" applyFont="1" applyFill="1" applyBorder="1" applyAlignment="1">
      <alignment horizontal="right" vertical="center"/>
    </xf>
    <xf numFmtId="0" fontId="82" fillId="4" borderId="29" xfId="0" applyFont="1" applyFill="1" applyBorder="1" applyAlignment="1">
      <alignment horizontal="center" vertical="center"/>
    </xf>
    <xf numFmtId="0" fontId="86" fillId="6" borderId="29" xfId="0" applyFont="1" applyFill="1" applyBorder="1" applyAlignment="1">
      <alignment vertical="center"/>
    </xf>
    <xf numFmtId="0" fontId="87" fillId="4" borderId="28" xfId="0" applyFont="1" applyFill="1" applyBorder="1" applyAlignment="1">
      <alignment horizontal="center" vertical="center"/>
    </xf>
    <xf numFmtId="3" fontId="87" fillId="4" borderId="29" xfId="0" applyNumberFormat="1" applyFont="1" applyFill="1" applyBorder="1" applyAlignment="1">
      <alignment horizontal="right" vertical="center"/>
    </xf>
    <xf numFmtId="0" fontId="87" fillId="4" borderId="29" xfId="0" applyFont="1" applyFill="1" applyBorder="1" applyAlignment="1">
      <alignment horizontal="center" vertical="center"/>
    </xf>
    <xf numFmtId="0" fontId="86" fillId="7" borderId="29" xfId="0" applyFont="1" applyFill="1" applyBorder="1" applyAlignment="1">
      <alignment vertical="center"/>
    </xf>
    <xf numFmtId="0" fontId="88" fillId="8" borderId="29" xfId="0" applyFont="1" applyFill="1" applyBorder="1" applyAlignment="1">
      <alignment horizontal="center" vertical="center"/>
    </xf>
    <xf numFmtId="0" fontId="82" fillId="3" borderId="28" xfId="0" applyFont="1" applyFill="1" applyBorder="1" applyAlignment="1">
      <alignment horizontal="center" vertical="center"/>
    </xf>
    <xf numFmtId="0" fontId="0" fillId="3" borderId="29" xfId="0" applyFill="1" applyBorder="1" applyAlignment="1">
      <alignment vertical="center"/>
    </xf>
    <xf numFmtId="0" fontId="86" fillId="3" borderId="29" xfId="0" applyFont="1" applyFill="1" applyBorder="1" applyAlignment="1">
      <alignment vertical="center"/>
    </xf>
    <xf numFmtId="3" fontId="82" fillId="3" borderId="29" xfId="0" applyNumberFormat="1" applyFont="1" applyFill="1" applyBorder="1" applyAlignment="1">
      <alignment horizontal="right" vertical="center"/>
    </xf>
    <xf numFmtId="0" fontId="82" fillId="3" borderId="29" xfId="0" applyFont="1" applyFill="1" applyBorder="1" applyAlignment="1">
      <alignment horizontal="center" vertical="center"/>
    </xf>
    <xf numFmtId="0" fontId="32" fillId="0" borderId="0" xfId="0" applyFont="1" applyAlignment="1">
      <alignment horizontal="center"/>
    </xf>
    <xf numFmtId="0" fontId="62" fillId="0" borderId="0" xfId="0" applyFont="1" applyAlignment="1">
      <alignment horizontal="center" vertical="center"/>
    </xf>
    <xf numFmtId="0" fontId="33" fillId="0" borderId="0" xfId="21"/>
    <xf numFmtId="0" fontId="4" fillId="0" borderId="15" xfId="0" applyFont="1" applyBorder="1" applyAlignment="1">
      <alignment horizontal="left"/>
    </xf>
    <xf numFmtId="0" fontId="4" fillId="0" borderId="18" xfId="0" applyFont="1" applyBorder="1" applyAlignment="1">
      <alignment horizontal="left"/>
    </xf>
    <xf numFmtId="0" fontId="4" fillId="0" borderId="16" xfId="0" applyFont="1" applyBorder="1" applyAlignment="1">
      <alignment horizontal="left"/>
    </xf>
    <xf numFmtId="3" fontId="34" fillId="0" borderId="11" xfId="21" applyNumberFormat="1" applyFont="1" applyBorder="1"/>
    <xf numFmtId="0" fontId="35" fillId="0" borderId="11" xfId="21" applyFont="1" applyBorder="1"/>
    <xf numFmtId="0" fontId="34" fillId="0" borderId="11" xfId="21" applyFont="1" applyBorder="1"/>
    <xf numFmtId="0" fontId="35" fillId="0" borderId="0" xfId="21" applyFont="1"/>
    <xf numFmtId="0" fontId="36" fillId="0" borderId="0" xfId="21" applyFont="1"/>
    <xf numFmtId="0" fontId="35" fillId="0" borderId="15" xfId="21" applyFont="1" applyBorder="1"/>
    <xf numFmtId="0" fontId="35" fillId="0" borderId="16" xfId="21" applyFont="1" applyBorder="1"/>
    <xf numFmtId="0" fontId="35" fillId="0" borderId="7" xfId="21" applyFont="1" applyBorder="1"/>
    <xf numFmtId="0" fontId="35" fillId="0" borderId="17" xfId="21" applyFont="1" applyBorder="1"/>
    <xf numFmtId="0" fontId="35" fillId="0" borderId="18" xfId="21" applyFont="1" applyBorder="1"/>
    <xf numFmtId="0" fontId="37" fillId="0" borderId="0" xfId="21" applyFont="1"/>
    <xf numFmtId="0" fontId="34" fillId="3" borderId="11" xfId="21" applyFont="1" applyFill="1" applyBorder="1"/>
    <xf numFmtId="3" fontId="34" fillId="3" borderId="11" xfId="21" applyNumberFormat="1" applyFont="1" applyFill="1" applyBorder="1"/>
    <xf numFmtId="0" fontId="90" fillId="0" borderId="0" xfId="0" applyFont="1"/>
    <xf numFmtId="166" fontId="73" fillId="2" borderId="1" xfId="1" applyNumberFormat="1" applyFont="1" applyFill="1" applyBorder="1" applyAlignment="1">
      <alignment vertical="center"/>
    </xf>
    <xf numFmtId="0" fontId="4" fillId="0" borderId="15" xfId="21" applyFont="1" applyBorder="1"/>
    <xf numFmtId="0" fontId="4" fillId="0" borderId="18" xfId="21" applyFont="1" applyBorder="1"/>
    <xf numFmtId="0" fontId="4" fillId="0" borderId="16" xfId="21" applyFont="1" applyBorder="1"/>
    <xf numFmtId="3" fontId="4" fillId="0" borderId="11" xfId="21" applyNumberFormat="1" applyFont="1" applyBorder="1"/>
    <xf numFmtId="0" fontId="84" fillId="0" borderId="0" xfId="0" applyFont="1"/>
    <xf numFmtId="3" fontId="16" fillId="0" borderId="0" xfId="21" applyNumberFormat="1" applyFont="1"/>
    <xf numFmtId="166" fontId="84" fillId="0" borderId="0" xfId="1" applyNumberFormat="1" applyFont="1"/>
    <xf numFmtId="0" fontId="60" fillId="0" borderId="0" xfId="0" applyFont="1" applyAlignment="1">
      <alignment horizontal="center" vertical="center"/>
    </xf>
    <xf numFmtId="0" fontId="90" fillId="3" borderId="30" xfId="0" applyFont="1" applyFill="1" applyBorder="1" applyAlignment="1">
      <alignment vertical="center" wrapText="1"/>
    </xf>
    <xf numFmtId="0" fontId="90" fillId="3" borderId="30" xfId="0" applyFont="1" applyFill="1" applyBorder="1" applyAlignment="1">
      <alignment horizontal="center" vertical="center" wrapText="1"/>
    </xf>
    <xf numFmtId="0" fontId="90" fillId="3" borderId="31" xfId="0" applyFont="1" applyFill="1" applyBorder="1" applyAlignment="1">
      <alignment horizontal="center" vertical="center" wrapText="1"/>
    </xf>
    <xf numFmtId="0" fontId="87" fillId="0" borderId="32" xfId="0" applyFont="1" applyBorder="1" applyAlignment="1">
      <alignment horizontal="center" vertical="center" wrapText="1"/>
    </xf>
    <xf numFmtId="0" fontId="87" fillId="0" borderId="32" xfId="0" applyFont="1" applyBorder="1" applyAlignment="1">
      <alignment vertical="center" wrapText="1"/>
    </xf>
    <xf numFmtId="3" fontId="87" fillId="0" borderId="33" xfId="0" applyNumberFormat="1" applyFont="1" applyBorder="1" applyAlignment="1">
      <alignment horizontal="right" vertical="center" wrapText="1"/>
    </xf>
    <xf numFmtId="0" fontId="87" fillId="0" borderId="34" xfId="0" applyFont="1" applyBorder="1" applyAlignment="1">
      <alignment horizontal="right" vertical="center" wrapText="1"/>
    </xf>
    <xf numFmtId="0" fontId="91" fillId="0" borderId="32" xfId="0" applyFont="1" applyBorder="1" applyAlignment="1">
      <alignment horizontal="center" vertical="center" wrapText="1"/>
    </xf>
    <xf numFmtId="0" fontId="92" fillId="0" borderId="32" xfId="0" applyFont="1" applyBorder="1" applyAlignment="1">
      <alignment horizontal="center" vertical="center" wrapText="1"/>
    </xf>
    <xf numFmtId="3" fontId="92" fillId="0" borderId="33" xfId="0" applyNumberFormat="1" applyFont="1" applyBorder="1" applyAlignment="1">
      <alignment horizontal="right" vertical="center" wrapText="1"/>
    </xf>
    <xf numFmtId="0" fontId="90" fillId="0" borderId="34" xfId="0" applyFont="1" applyBorder="1" applyAlignment="1">
      <alignment horizontal="right" vertical="center" wrapText="1"/>
    </xf>
    <xf numFmtId="0" fontId="93" fillId="0" borderId="0" xfId="0" applyFont="1" applyAlignment="1">
      <alignment horizontal="center" vertical="center"/>
    </xf>
    <xf numFmtId="0" fontId="82" fillId="0" borderId="0" xfId="0" applyFont="1" applyAlignment="1">
      <alignment vertical="center" wrapText="1"/>
    </xf>
    <xf numFmtId="0" fontId="91" fillId="0" borderId="0" xfId="0" applyFont="1" applyAlignment="1">
      <alignment vertical="top" wrapText="1"/>
    </xf>
    <xf numFmtId="0" fontId="62" fillId="0" borderId="0" xfId="0" applyFont="1" applyAlignment="1">
      <alignment horizontal="center" vertical="center" wrapText="1"/>
    </xf>
    <xf numFmtId="0" fontId="0" fillId="0" borderId="0" xfId="0" applyAlignment="1">
      <alignment vertical="top" wrapText="1"/>
    </xf>
    <xf numFmtId="0" fontId="94" fillId="0" borderId="0" xfId="0" applyFont="1" applyAlignment="1">
      <alignment vertical="center"/>
    </xf>
    <xf numFmtId="0" fontId="91" fillId="0" borderId="0" xfId="0" applyFont="1" applyAlignment="1">
      <alignment horizontal="center" vertical="center"/>
    </xf>
    <xf numFmtId="0" fontId="95" fillId="0" borderId="0" xfId="0" applyFont="1" applyAlignment="1">
      <alignment horizontal="center" vertical="center"/>
    </xf>
    <xf numFmtId="0" fontId="62" fillId="3" borderId="30" xfId="0" applyFont="1" applyFill="1" applyBorder="1" applyAlignment="1">
      <alignment vertical="center" wrapText="1"/>
    </xf>
    <xf numFmtId="0" fontId="62" fillId="3" borderId="30" xfId="0" applyFont="1" applyFill="1" applyBorder="1" applyAlignment="1">
      <alignment horizontal="center" vertical="center" wrapText="1"/>
    </xf>
    <xf numFmtId="0" fontId="62" fillId="3" borderId="31" xfId="0" applyFont="1" applyFill="1" applyBorder="1" applyAlignment="1">
      <alignment horizontal="center" vertical="center" wrapText="1"/>
    </xf>
    <xf numFmtId="0" fontId="66" fillId="0" borderId="32" xfId="0" applyFont="1" applyBorder="1" applyAlignment="1">
      <alignment horizontal="center" vertical="center" wrapText="1"/>
    </xf>
    <xf numFmtId="0" fontId="66" fillId="0" borderId="32" xfId="0" applyFont="1" applyBorder="1" applyAlignment="1">
      <alignment vertical="center" wrapText="1"/>
    </xf>
    <xf numFmtId="3" fontId="66" fillId="0" borderId="33" xfId="0" applyNumberFormat="1" applyFont="1" applyBorder="1" applyAlignment="1">
      <alignment horizontal="right" vertical="center" wrapText="1"/>
    </xf>
    <xf numFmtId="0" fontId="66" fillId="0" borderId="34" xfId="0" applyFont="1" applyBorder="1" applyAlignment="1">
      <alignment horizontal="right" vertical="center" wrapText="1"/>
    </xf>
    <xf numFmtId="0" fontId="62" fillId="0" borderId="32" xfId="0" applyFont="1" applyBorder="1" applyAlignment="1">
      <alignment horizontal="center" vertical="center" wrapText="1"/>
    </xf>
    <xf numFmtId="0" fontId="96" fillId="0" borderId="32" xfId="0" applyFont="1" applyBorder="1" applyAlignment="1">
      <alignment horizontal="center" vertical="center" wrapText="1"/>
    </xf>
    <xf numFmtId="3" fontId="96" fillId="0" borderId="33" xfId="0" applyNumberFormat="1" applyFont="1" applyBorder="1" applyAlignment="1">
      <alignment horizontal="right" vertical="center" wrapText="1"/>
    </xf>
    <xf numFmtId="0" fontId="62" fillId="0" borderId="34" xfId="0" applyFont="1" applyBorder="1" applyAlignment="1">
      <alignment horizontal="right" vertical="center" wrapText="1"/>
    </xf>
    <xf numFmtId="0" fontId="82" fillId="0" borderId="0" xfId="0" applyFont="1" applyAlignment="1">
      <alignment vertical="center"/>
    </xf>
    <xf numFmtId="0" fontId="69" fillId="0" borderId="0" xfId="0" applyFont="1" applyAlignment="1">
      <alignment horizontal="center" vertical="center"/>
    </xf>
    <xf numFmtId="0" fontId="62" fillId="3" borderId="35" xfId="0" applyFont="1" applyFill="1" applyBorder="1" applyAlignment="1">
      <alignment vertical="center" wrapText="1"/>
    </xf>
    <xf numFmtId="0" fontId="62" fillId="3" borderId="35" xfId="0" applyFont="1" applyFill="1" applyBorder="1" applyAlignment="1">
      <alignment horizontal="center" vertical="center" wrapText="1"/>
    </xf>
    <xf numFmtId="0" fontId="62" fillId="3" borderId="36" xfId="0" applyFont="1" applyFill="1" applyBorder="1" applyAlignment="1">
      <alignment horizontal="center" vertical="center" wrapText="1"/>
    </xf>
    <xf numFmtId="0" fontId="60" fillId="0" borderId="30" xfId="0" applyFont="1" applyBorder="1" applyAlignment="1">
      <alignment horizontal="center" vertical="center" wrapText="1"/>
    </xf>
    <xf numFmtId="0" fontId="87" fillId="0" borderId="30" xfId="0" applyFont="1" applyBorder="1" applyAlignment="1">
      <alignment vertical="center" wrapText="1"/>
    </xf>
    <xf numFmtId="0" fontId="87" fillId="0" borderId="30" xfId="0" applyFont="1" applyBorder="1" applyAlignment="1">
      <alignment horizontal="center" vertical="center" wrapText="1"/>
    </xf>
    <xf numFmtId="3" fontId="87" fillId="0" borderId="30" xfId="0" applyNumberFormat="1" applyFont="1" applyBorder="1" applyAlignment="1">
      <alignment horizontal="right" vertical="center" wrapText="1"/>
    </xf>
    <xf numFmtId="0" fontId="66" fillId="0" borderId="31" xfId="0" applyFont="1" applyBorder="1" applyAlignment="1">
      <alignment horizontal="center" vertical="center" wrapText="1"/>
    </xf>
    <xf numFmtId="0" fontId="60" fillId="0" borderId="32" xfId="0" applyFont="1" applyBorder="1" applyAlignment="1">
      <alignment horizontal="center" vertical="center" wrapText="1"/>
    </xf>
    <xf numFmtId="3" fontId="87" fillId="0" borderId="32" xfId="0" applyNumberFormat="1" applyFont="1" applyBorder="1" applyAlignment="1">
      <alignment horizontal="right" vertical="center" wrapText="1"/>
    </xf>
    <xf numFmtId="0" fontId="66" fillId="0" borderId="33" xfId="0" applyFont="1" applyBorder="1" applyAlignment="1">
      <alignment horizontal="center" vertical="center" wrapText="1"/>
    </xf>
    <xf numFmtId="0" fontId="61" fillId="0" borderId="32" xfId="0" applyFont="1" applyBorder="1" applyAlignment="1">
      <alignment horizontal="right" vertical="center" wrapText="1"/>
    </xf>
    <xf numFmtId="0" fontId="96" fillId="0" borderId="33" xfId="0" applyFont="1" applyBorder="1" applyAlignment="1">
      <alignment horizontal="center" vertical="center" wrapText="1"/>
    </xf>
    <xf numFmtId="0" fontId="91" fillId="0" borderId="30" xfId="0" applyFont="1" applyBorder="1" applyAlignment="1">
      <alignment horizontal="center" vertical="center" wrapText="1"/>
    </xf>
    <xf numFmtId="0" fontId="87" fillId="0" borderId="30" xfId="0" applyFont="1" applyBorder="1" applyAlignment="1">
      <alignment horizontal="right" vertical="center" wrapText="1"/>
    </xf>
    <xf numFmtId="0" fontId="87" fillId="0" borderId="31" xfId="0" applyFont="1" applyBorder="1" applyAlignment="1">
      <alignment horizontal="center" vertical="center" wrapText="1"/>
    </xf>
    <xf numFmtId="0" fontId="87" fillId="0" borderId="32" xfId="0" applyFont="1" applyBorder="1" applyAlignment="1">
      <alignment horizontal="right" vertical="center" wrapText="1"/>
    </xf>
    <xf numFmtId="0" fontId="87" fillId="0" borderId="33" xfId="0" applyFont="1" applyBorder="1" applyAlignment="1">
      <alignment horizontal="center" vertical="center" wrapText="1"/>
    </xf>
    <xf numFmtId="0" fontId="62" fillId="0" borderId="32" xfId="0" applyFont="1" applyBorder="1" applyAlignment="1">
      <alignment horizontal="right" vertical="center" wrapText="1"/>
    </xf>
    <xf numFmtId="0" fontId="93" fillId="0" borderId="0" xfId="0" applyFont="1" applyAlignment="1">
      <alignment vertical="center"/>
    </xf>
    <xf numFmtId="0" fontId="97" fillId="0" borderId="0" xfId="0" applyFont="1" applyAlignment="1">
      <alignment vertical="center"/>
    </xf>
    <xf numFmtId="0" fontId="90" fillId="0" borderId="30" xfId="0" applyFont="1" applyBorder="1" applyAlignment="1">
      <alignment vertical="center" wrapText="1"/>
    </xf>
    <xf numFmtId="0" fontId="90" fillId="0" borderId="37" xfId="0" applyFont="1" applyBorder="1" applyAlignment="1">
      <alignment vertical="center" wrapText="1"/>
    </xf>
    <xf numFmtId="0" fontId="62" fillId="0" borderId="30" xfId="0" applyFont="1" applyBorder="1" applyAlignment="1">
      <alignment vertical="center" wrapText="1"/>
    </xf>
    <xf numFmtId="0" fontId="62" fillId="0" borderId="37" xfId="0" applyFont="1" applyBorder="1" applyAlignment="1">
      <alignment vertical="center" wrapText="1"/>
    </xf>
    <xf numFmtId="0" fontId="34" fillId="3" borderId="11" xfId="21" applyFont="1" applyFill="1" applyBorder="1" applyAlignment="1">
      <alignment wrapText="1"/>
    </xf>
    <xf numFmtId="3" fontId="98" fillId="0" borderId="33" xfId="0" applyNumberFormat="1" applyFont="1" applyBorder="1" applyAlignment="1">
      <alignment horizontal="right" vertical="center" wrapText="1"/>
    </xf>
    <xf numFmtId="0" fontId="87" fillId="0" borderId="33" xfId="0" applyFont="1" applyBorder="1" applyAlignment="1">
      <alignment horizontal="right" vertical="center" wrapText="1"/>
    </xf>
    <xf numFmtId="0" fontId="92" fillId="0" borderId="33" xfId="0" applyFont="1" applyBorder="1" applyAlignment="1">
      <alignment horizontal="right" vertical="center" wrapText="1"/>
    </xf>
    <xf numFmtId="0" fontId="93" fillId="0" borderId="0" xfId="0" applyFont="1"/>
    <xf numFmtId="0" fontId="13" fillId="0" borderId="0" xfId="0" applyFont="1" applyAlignment="1">
      <alignment horizontal="center" vertical="center"/>
    </xf>
    <xf numFmtId="0" fontId="16" fillId="0" borderId="0" xfId="0" applyFont="1" applyAlignment="1">
      <alignment horizontal="center" vertical="center"/>
    </xf>
    <xf numFmtId="0" fontId="8" fillId="0" borderId="0" xfId="0" applyFont="1" applyAlignment="1">
      <alignment horizontal="center" vertical="center"/>
    </xf>
    <xf numFmtId="0" fontId="40" fillId="3" borderId="30" xfId="0" applyFont="1" applyFill="1" applyBorder="1" applyAlignment="1">
      <alignment horizontal="center" vertical="center" wrapText="1"/>
    </xf>
    <xf numFmtId="0" fontId="39" fillId="3" borderId="33" xfId="0" applyFont="1" applyFill="1" applyBorder="1" applyAlignment="1">
      <alignment horizontal="center" vertical="center" wrapText="1"/>
    </xf>
    <xf numFmtId="0" fontId="92" fillId="3" borderId="34" xfId="0" applyFont="1" applyFill="1" applyBorder="1" applyAlignment="1">
      <alignment horizontal="center" vertical="center" wrapText="1"/>
    </xf>
    <xf numFmtId="0" fontId="41" fillId="0" borderId="32" xfId="0" applyFont="1" applyBorder="1" applyAlignment="1">
      <alignment vertical="center" wrapText="1"/>
    </xf>
    <xf numFmtId="0" fontId="41" fillId="0" borderId="32" xfId="0" applyFont="1" applyBorder="1" applyAlignment="1">
      <alignment horizontal="center" vertical="center" wrapText="1"/>
    </xf>
    <xf numFmtId="0" fontId="99" fillId="0" borderId="33" xfId="0" applyFont="1" applyBorder="1" applyAlignment="1">
      <alignment horizontal="right" vertical="center" wrapText="1"/>
    </xf>
    <xf numFmtId="0" fontId="87" fillId="0" borderId="38" xfId="0" applyFont="1" applyBorder="1" applyAlignment="1">
      <alignment horizontal="center" vertical="center" wrapText="1"/>
    </xf>
    <xf numFmtId="0" fontId="41" fillId="0" borderId="38" xfId="0" applyFont="1" applyBorder="1" applyAlignment="1">
      <alignment vertical="center" wrapText="1"/>
    </xf>
    <xf numFmtId="0" fontId="41" fillId="0" borderId="38" xfId="0" applyFont="1" applyBorder="1" applyAlignment="1">
      <alignment horizontal="center" vertical="center" wrapText="1"/>
    </xf>
    <xf numFmtId="3" fontId="87" fillId="0" borderId="39" xfId="0" applyNumberFormat="1" applyFont="1" applyBorder="1" applyAlignment="1">
      <alignment horizontal="right" vertical="center" wrapText="1"/>
    </xf>
    <xf numFmtId="0" fontId="87" fillId="0" borderId="40" xfId="0" applyFont="1" applyBorder="1" applyAlignment="1">
      <alignment horizontal="right" vertical="center" wrapText="1"/>
    </xf>
    <xf numFmtId="0" fontId="87" fillId="0" borderId="21" xfId="0" applyFont="1" applyBorder="1" applyAlignment="1">
      <alignment horizontal="center" vertical="center" wrapText="1"/>
    </xf>
    <xf numFmtId="0" fontId="41" fillId="0" borderId="22" xfId="0" applyFont="1" applyBorder="1" applyAlignment="1">
      <alignment vertical="center" wrapText="1"/>
    </xf>
    <xf numFmtId="0" fontId="41" fillId="0" borderId="22" xfId="0" applyFont="1" applyBorder="1" applyAlignment="1">
      <alignment horizontal="center" vertical="center" wrapText="1"/>
    </xf>
    <xf numFmtId="0" fontId="99" fillId="0" borderId="22" xfId="0" applyFont="1" applyBorder="1" applyAlignment="1">
      <alignment horizontal="right" vertical="center" wrapText="1"/>
    </xf>
    <xf numFmtId="3" fontId="87" fillId="0" borderId="22" xfId="0" applyNumberFormat="1" applyFont="1" applyBorder="1" applyAlignment="1">
      <alignment horizontal="right" vertical="center" wrapText="1"/>
    </xf>
    <xf numFmtId="0" fontId="87" fillId="0" borderId="22" xfId="0" applyFont="1" applyBorder="1" applyAlignment="1">
      <alignment horizontal="right" vertical="center" wrapText="1"/>
    </xf>
    <xf numFmtId="0" fontId="40" fillId="0" borderId="22" xfId="0" applyFont="1" applyBorder="1" applyAlignment="1">
      <alignment horizontal="center" vertical="center" wrapText="1"/>
    </xf>
    <xf numFmtId="3" fontId="40" fillId="0" borderId="34" xfId="0" applyNumberFormat="1" applyFont="1" applyBorder="1" applyAlignment="1">
      <alignment horizontal="right" vertical="center" wrapText="1"/>
    </xf>
    <xf numFmtId="0" fontId="40" fillId="0" borderId="34" xfId="0" applyFont="1" applyBorder="1" applyAlignment="1">
      <alignment horizontal="right" vertical="center" wrapText="1"/>
    </xf>
    <xf numFmtId="0" fontId="92" fillId="0" borderId="22" xfId="0" applyFont="1" applyBorder="1" applyAlignment="1">
      <alignment horizontal="center" vertical="center" wrapText="1"/>
    </xf>
    <xf numFmtId="0" fontId="42" fillId="0" borderId="0" xfId="0" applyFont="1" applyAlignment="1">
      <alignment horizontal="center" vertical="center"/>
    </xf>
    <xf numFmtId="0" fontId="42" fillId="0" borderId="0" xfId="0" applyFont="1" applyAlignment="1">
      <alignment vertical="center"/>
    </xf>
    <xf numFmtId="0" fontId="41" fillId="0" borderId="0" xfId="0" applyFont="1" applyAlignment="1">
      <alignment horizontal="center" vertical="center" wrapText="1"/>
    </xf>
    <xf numFmtId="0" fontId="8" fillId="0" borderId="0" xfId="0" applyFont="1" applyAlignment="1">
      <alignment vertical="top" wrapText="1"/>
    </xf>
    <xf numFmtId="0" fontId="13" fillId="0" borderId="0" xfId="0" applyFont="1" applyAlignment="1">
      <alignment horizontal="center" vertical="center" wrapText="1"/>
    </xf>
    <xf numFmtId="0" fontId="39" fillId="0" borderId="0" xfId="0" applyFont="1" applyAlignment="1">
      <alignment horizontal="center" vertical="center"/>
    </xf>
    <xf numFmtId="0" fontId="40" fillId="3" borderId="30" xfId="0" applyFont="1" applyFill="1" applyBorder="1" applyAlignment="1">
      <alignment vertical="center" wrapText="1"/>
    </xf>
    <xf numFmtId="0" fontId="40" fillId="3" borderId="31" xfId="0" applyFont="1" applyFill="1" applyBorder="1" applyAlignment="1">
      <alignment horizontal="center" vertical="center" wrapText="1"/>
    </xf>
    <xf numFmtId="0" fontId="8" fillId="0" borderId="32" xfId="0" applyFont="1" applyBorder="1" applyAlignment="1">
      <alignment horizontal="center" vertical="center" wrapText="1"/>
    </xf>
    <xf numFmtId="0" fontId="32" fillId="0" borderId="0" xfId="0" applyFont="1" applyAlignment="1">
      <alignment horizontal="center" vertical="center"/>
    </xf>
    <xf numFmtId="0" fontId="6" fillId="0" borderId="0" xfId="0" applyFont="1" applyAlignment="1">
      <alignment horizontal="center" vertical="center"/>
    </xf>
    <xf numFmtId="0" fontId="43" fillId="0" borderId="0" xfId="0" applyFont="1" applyAlignment="1">
      <alignment vertical="center"/>
    </xf>
    <xf numFmtId="0" fontId="44" fillId="0" borderId="0" xfId="0" applyFont="1" applyAlignment="1">
      <alignment horizontal="center" vertical="center"/>
    </xf>
    <xf numFmtId="0" fontId="16" fillId="0" borderId="32" xfId="0" applyFont="1" applyBorder="1" applyAlignment="1">
      <alignment vertical="center" wrapText="1"/>
    </xf>
    <xf numFmtId="0" fontId="16" fillId="0" borderId="32" xfId="0" applyFont="1" applyBorder="1" applyAlignment="1">
      <alignment horizontal="center" vertical="center" wrapText="1"/>
    </xf>
    <xf numFmtId="0" fontId="16" fillId="0" borderId="33" xfId="0" applyFont="1" applyBorder="1" applyAlignment="1">
      <alignment horizontal="right" vertical="center" wrapText="1"/>
    </xf>
    <xf numFmtId="0" fontId="13" fillId="0" borderId="32" xfId="0" applyFont="1" applyBorder="1" applyAlignment="1">
      <alignment horizontal="center" vertical="center" wrapText="1"/>
    </xf>
    <xf numFmtId="0" fontId="96" fillId="0" borderId="22" xfId="0" applyFont="1" applyBorder="1" applyAlignment="1">
      <alignment horizontal="center" vertical="center" wrapText="1"/>
    </xf>
    <xf numFmtId="0" fontId="13" fillId="0" borderId="34" xfId="0" applyFont="1" applyBorder="1" applyAlignment="1">
      <alignment horizontal="right" vertical="center" wrapText="1"/>
    </xf>
    <xf numFmtId="0" fontId="45" fillId="0" borderId="0" xfId="0" applyFont="1" applyAlignment="1">
      <alignment horizontal="center" vertical="center"/>
    </xf>
    <xf numFmtId="0" fontId="6" fillId="0" borderId="0" xfId="0" applyFont="1" applyAlignment="1">
      <alignment vertical="center"/>
    </xf>
    <xf numFmtId="0" fontId="16" fillId="0" borderId="30" xfId="0" applyFont="1" applyBorder="1" applyAlignment="1">
      <alignment horizontal="center" vertical="center" wrapText="1"/>
    </xf>
    <xf numFmtId="0" fontId="46" fillId="0" borderId="0" xfId="0" applyFont="1" applyAlignment="1">
      <alignment vertical="center"/>
    </xf>
    <xf numFmtId="0" fontId="74" fillId="0" borderId="0" xfId="0" applyFont="1"/>
    <xf numFmtId="0" fontId="75" fillId="3" borderId="34" xfId="0" applyFont="1" applyFill="1" applyBorder="1" applyAlignment="1">
      <alignment horizontal="center" vertical="center" wrapText="1"/>
    </xf>
    <xf numFmtId="3" fontId="98" fillId="0" borderId="34" xfId="0" applyNumberFormat="1" applyFont="1" applyBorder="1" applyAlignment="1">
      <alignment horizontal="right" vertical="center" wrapText="1"/>
    </xf>
    <xf numFmtId="0" fontId="59" fillId="0" borderId="34" xfId="0" applyFont="1" applyBorder="1" applyAlignment="1">
      <alignment horizontal="right" vertical="center" wrapText="1"/>
    </xf>
    <xf numFmtId="0" fontId="100" fillId="0" borderId="34" xfId="0" applyFont="1" applyBorder="1" applyAlignment="1">
      <alignment horizontal="right" vertical="center" wrapText="1"/>
    </xf>
    <xf numFmtId="0" fontId="98" fillId="0" borderId="34" xfId="0" applyFont="1" applyBorder="1" applyAlignment="1">
      <alignment horizontal="right" vertical="center" wrapText="1"/>
    </xf>
    <xf numFmtId="0" fontId="100" fillId="0" borderId="40" xfId="0" applyFont="1" applyBorder="1" applyAlignment="1">
      <alignment horizontal="right" vertical="center" wrapText="1"/>
    </xf>
    <xf numFmtId="3" fontId="98" fillId="0" borderId="22" xfId="0" applyNumberFormat="1" applyFont="1" applyBorder="1" applyAlignment="1">
      <alignment horizontal="right" vertical="center" wrapText="1"/>
    </xf>
    <xf numFmtId="3" fontId="75" fillId="0" borderId="34" xfId="0" applyNumberFormat="1" applyFont="1" applyBorder="1" applyAlignment="1">
      <alignment horizontal="right" vertical="center" wrapText="1"/>
    </xf>
    <xf numFmtId="0" fontId="101" fillId="0" borderId="34" xfId="0" applyFont="1" applyBorder="1" applyAlignment="1">
      <alignment horizontal="right" vertical="center" wrapText="1"/>
    </xf>
    <xf numFmtId="0" fontId="63" fillId="0" borderId="34" xfId="0" applyFont="1" applyBorder="1" applyAlignment="1">
      <alignment horizontal="right" vertical="center" wrapText="1"/>
    </xf>
    <xf numFmtId="0" fontId="40" fillId="3" borderId="36" xfId="0" applyFont="1" applyFill="1" applyBorder="1" applyAlignment="1">
      <alignment vertical="center" wrapText="1"/>
    </xf>
    <xf numFmtId="0" fontId="40" fillId="3" borderId="37" xfId="0" applyFont="1" applyFill="1" applyBorder="1" applyAlignment="1">
      <alignment vertical="center" wrapText="1"/>
    </xf>
    <xf numFmtId="0" fontId="40" fillId="3" borderId="33" xfId="0" applyFont="1" applyFill="1" applyBorder="1" applyAlignment="1">
      <alignment vertical="center" wrapText="1"/>
    </xf>
    <xf numFmtId="0" fontId="40" fillId="0" borderId="30" xfId="0" applyFont="1" applyBorder="1" applyAlignment="1">
      <alignment vertical="center" wrapText="1"/>
    </xf>
    <xf numFmtId="0" fontId="40" fillId="0" borderId="41" xfId="0" applyFont="1" applyBorder="1" applyAlignment="1">
      <alignment vertical="center" wrapText="1"/>
    </xf>
    <xf numFmtId="3" fontId="40" fillId="0" borderId="42" xfId="0" applyNumberFormat="1" applyFont="1" applyBorder="1" applyAlignment="1">
      <alignment vertical="center" wrapText="1"/>
    </xf>
    <xf numFmtId="3" fontId="40" fillId="0" borderId="37" xfId="0" applyNumberFormat="1" applyFont="1" applyBorder="1" applyAlignment="1">
      <alignment vertical="center" wrapText="1"/>
    </xf>
    <xf numFmtId="0" fontId="13" fillId="0" borderId="30" xfId="0" applyFont="1" applyBorder="1" applyAlignment="1">
      <alignment vertical="center" wrapText="1"/>
    </xf>
    <xf numFmtId="0" fontId="13" fillId="0" borderId="41" xfId="0" applyFont="1" applyBorder="1" applyAlignment="1">
      <alignment vertical="center" wrapText="1"/>
    </xf>
    <xf numFmtId="0" fontId="13" fillId="0" borderId="42" xfId="0" applyFont="1" applyBorder="1" applyAlignment="1">
      <alignment vertical="center" wrapText="1"/>
    </xf>
    <xf numFmtId="0" fontId="13" fillId="0" borderId="37" xfId="0" applyFont="1" applyBorder="1" applyAlignment="1">
      <alignment vertical="center" wrapText="1"/>
    </xf>
    <xf numFmtId="0" fontId="102" fillId="0" borderId="0" xfId="0" applyFont="1"/>
    <xf numFmtId="0" fontId="102" fillId="0" borderId="0" xfId="0" applyFont="1" applyAlignment="1">
      <alignment horizontal="center" vertical="center"/>
    </xf>
    <xf numFmtId="0" fontId="103" fillId="0" borderId="0" xfId="0" applyFont="1" applyAlignment="1">
      <alignment vertical="center"/>
    </xf>
    <xf numFmtId="0" fontId="61" fillId="3" borderId="33" xfId="0" applyFont="1" applyFill="1" applyBorder="1" applyAlignment="1">
      <alignment horizontal="center" vertical="center" wrapText="1"/>
    </xf>
    <xf numFmtId="0" fontId="99" fillId="0" borderId="32" xfId="0" applyFont="1" applyBorder="1" applyAlignment="1">
      <alignment vertical="center" wrapText="1"/>
    </xf>
    <xf numFmtId="0" fontId="82" fillId="0" borderId="32" xfId="0" applyFont="1" applyBorder="1" applyAlignment="1">
      <alignment horizontal="center" vertical="center" wrapText="1"/>
    </xf>
    <xf numFmtId="3" fontId="99" fillId="0" borderId="34" xfId="0" applyNumberFormat="1" applyFont="1" applyBorder="1" applyAlignment="1">
      <alignment horizontal="right" vertical="center" wrapText="1"/>
    </xf>
    <xf numFmtId="3" fontId="99" fillId="0" borderId="33" xfId="0" applyNumberFormat="1" applyFont="1" applyBorder="1" applyAlignment="1">
      <alignment horizontal="right" vertical="center" wrapText="1"/>
    </xf>
    <xf numFmtId="0" fontId="99" fillId="0" borderId="34" xfId="0" applyFont="1" applyBorder="1" applyAlignment="1">
      <alignment horizontal="right" vertical="center" wrapText="1"/>
    </xf>
    <xf numFmtId="3" fontId="90" fillId="0" borderId="34" xfId="0" applyNumberFormat="1" applyFont="1" applyBorder="1" applyAlignment="1">
      <alignment horizontal="right" vertical="center" wrapText="1"/>
    </xf>
    <xf numFmtId="0" fontId="90" fillId="3" borderId="36" xfId="0" applyFont="1" applyFill="1" applyBorder="1" applyAlignment="1">
      <alignment vertical="center" wrapText="1"/>
    </xf>
    <xf numFmtId="0" fontId="90" fillId="3" borderId="37" xfId="0" applyFont="1" applyFill="1" applyBorder="1" applyAlignment="1">
      <alignment vertical="center" wrapText="1"/>
    </xf>
    <xf numFmtId="0" fontId="90" fillId="3" borderId="33" xfId="0" applyFont="1" applyFill="1" applyBorder="1" applyAlignment="1">
      <alignment vertical="center" wrapText="1"/>
    </xf>
    <xf numFmtId="0" fontId="90" fillId="0" borderId="41" xfId="0" applyFont="1" applyBorder="1" applyAlignment="1">
      <alignment vertical="center" wrapText="1"/>
    </xf>
    <xf numFmtId="3" fontId="90" fillId="0" borderId="42" xfId="0" applyNumberFormat="1" applyFont="1" applyBorder="1" applyAlignment="1">
      <alignment vertical="center" wrapText="1"/>
    </xf>
    <xf numFmtId="3" fontId="90" fillId="0" borderId="37" xfId="0" applyNumberFormat="1" applyFont="1" applyBorder="1" applyAlignment="1">
      <alignment vertical="center" wrapText="1"/>
    </xf>
    <xf numFmtId="0" fontId="62" fillId="3" borderId="23" xfId="0" applyFont="1" applyFill="1" applyBorder="1" applyAlignment="1">
      <alignment vertical="center" wrapText="1"/>
    </xf>
    <xf numFmtId="0" fontId="96" fillId="3" borderId="22" xfId="0" applyFont="1" applyFill="1" applyBorder="1" applyAlignment="1">
      <alignment horizontal="center" vertical="center" wrapText="1"/>
    </xf>
    <xf numFmtId="0" fontId="60" fillId="0" borderId="21" xfId="0" applyFont="1" applyBorder="1" applyAlignment="1">
      <alignment horizontal="center" vertical="center" wrapText="1"/>
    </xf>
    <xf numFmtId="0" fontId="87" fillId="0" borderId="22" xfId="0" applyFont="1" applyBorder="1" applyAlignment="1">
      <alignment vertical="center" wrapText="1"/>
    </xf>
    <xf numFmtId="0" fontId="87" fillId="0" borderId="22" xfId="0" applyFont="1" applyBorder="1" applyAlignment="1">
      <alignment horizontal="center" vertical="center" wrapText="1"/>
    </xf>
    <xf numFmtId="0" fontId="91" fillId="0" borderId="22" xfId="0" applyFont="1" applyBorder="1" applyAlignment="1">
      <alignment horizontal="right" vertical="center" wrapText="1"/>
    </xf>
    <xf numFmtId="0" fontId="66" fillId="0" borderId="22" xfId="0" applyFont="1" applyBorder="1" applyAlignment="1">
      <alignment horizontal="right" vertical="center" wrapText="1"/>
    </xf>
    <xf numFmtId="0" fontId="60" fillId="0" borderId="22" xfId="0" applyFont="1" applyBorder="1" applyAlignment="1">
      <alignment horizontal="right" vertical="center" wrapText="1"/>
    </xf>
    <xf numFmtId="3" fontId="62" fillId="0" borderId="22" xfId="0" applyNumberFormat="1" applyFont="1" applyBorder="1" applyAlignment="1">
      <alignment horizontal="right" vertical="center" wrapText="1"/>
    </xf>
    <xf numFmtId="0" fontId="62" fillId="0" borderId="22" xfId="0" applyFont="1" applyBorder="1" applyAlignment="1">
      <alignment horizontal="right" vertical="center" wrapText="1"/>
    </xf>
    <xf numFmtId="0" fontId="62" fillId="0" borderId="22" xfId="0" applyFont="1" applyBorder="1" applyAlignment="1">
      <alignment horizontal="center" vertical="center" wrapText="1"/>
    </xf>
    <xf numFmtId="0" fontId="99" fillId="0" borderId="30" xfId="0" applyFont="1" applyBorder="1" applyAlignment="1">
      <alignment vertical="center" wrapText="1"/>
    </xf>
    <xf numFmtId="3" fontId="99" fillId="0" borderId="30" xfId="0" applyNumberFormat="1" applyFont="1" applyBorder="1" applyAlignment="1">
      <alignment horizontal="right" vertical="center" wrapText="1"/>
    </xf>
    <xf numFmtId="0" fontId="99" fillId="0" borderId="31" xfId="0" applyFont="1" applyBorder="1" applyAlignment="1">
      <alignment horizontal="center" vertical="center" wrapText="1"/>
    </xf>
    <xf numFmtId="3" fontId="99" fillId="0" borderId="32" xfId="0" applyNumberFormat="1" applyFont="1" applyBorder="1" applyAlignment="1">
      <alignment horizontal="right" vertical="center" wrapText="1"/>
    </xf>
    <xf numFmtId="0" fontId="99" fillId="0" borderId="33" xfId="0" applyFont="1" applyBorder="1" applyAlignment="1">
      <alignment horizontal="center" vertical="center" wrapText="1"/>
    </xf>
    <xf numFmtId="0" fontId="104" fillId="0" borderId="33" xfId="0" applyFont="1" applyBorder="1" applyAlignment="1">
      <alignment horizontal="center" vertical="center" wrapText="1"/>
    </xf>
    <xf numFmtId="0" fontId="80" fillId="0" borderId="0" xfId="0" applyFont="1" applyAlignment="1">
      <alignment horizontal="center" vertical="center"/>
    </xf>
    <xf numFmtId="0" fontId="62" fillId="3" borderId="24" xfId="0" applyFont="1" applyFill="1" applyBorder="1" applyAlignment="1">
      <alignment vertical="center" wrapText="1"/>
    </xf>
    <xf numFmtId="0" fontId="62" fillId="3" borderId="25" xfId="0" applyFont="1" applyFill="1" applyBorder="1" applyAlignment="1">
      <alignment vertical="center" wrapText="1"/>
    </xf>
    <xf numFmtId="0" fontId="62" fillId="3" borderId="21" xfId="0" applyFont="1" applyFill="1" applyBorder="1" applyAlignment="1">
      <alignment vertical="center" wrapText="1"/>
    </xf>
    <xf numFmtId="0" fontId="62" fillId="0" borderId="24" xfId="0" applyFont="1" applyBorder="1" applyAlignment="1">
      <alignment vertical="center" wrapText="1"/>
    </xf>
    <xf numFmtId="0" fontId="62" fillId="0" borderId="25" xfId="0" applyFont="1" applyBorder="1" applyAlignment="1">
      <alignment vertical="center" wrapText="1"/>
    </xf>
    <xf numFmtId="3" fontId="62" fillId="0" borderId="24" xfId="0" applyNumberFormat="1" applyFont="1" applyBorder="1" applyAlignment="1">
      <alignment vertical="center" wrapText="1"/>
    </xf>
    <xf numFmtId="3" fontId="62" fillId="0" borderId="25" xfId="0" applyNumberFormat="1" applyFont="1" applyBorder="1" applyAlignment="1">
      <alignment vertical="center" wrapText="1"/>
    </xf>
    <xf numFmtId="0" fontId="61" fillId="0" borderId="30" xfId="0" applyFont="1" applyBorder="1" applyAlignment="1">
      <alignment vertical="center" wrapText="1"/>
    </xf>
    <xf numFmtId="0" fontId="61" fillId="0" borderId="37" xfId="0" applyFont="1" applyBorder="1" applyAlignment="1">
      <alignment vertical="center" wrapText="1"/>
    </xf>
    <xf numFmtId="0" fontId="99" fillId="0" borderId="22" xfId="0" applyFont="1" applyBorder="1" applyAlignment="1">
      <alignment horizontal="center" vertical="center" wrapText="1"/>
    </xf>
    <xf numFmtId="3" fontId="87" fillId="0" borderId="22" xfId="0" applyNumberFormat="1" applyFont="1" applyBorder="1" applyAlignment="1">
      <alignment horizontal="center" vertical="center" wrapText="1"/>
    </xf>
    <xf numFmtId="3" fontId="87" fillId="0" borderId="22" xfId="0" applyNumberFormat="1" applyFont="1" applyBorder="1" applyAlignment="1">
      <alignment vertical="center" wrapText="1"/>
    </xf>
    <xf numFmtId="0" fontId="62" fillId="3" borderId="26" xfId="0" applyFont="1" applyFill="1" applyBorder="1" applyAlignment="1">
      <alignment vertical="center" wrapText="1"/>
    </xf>
    <xf numFmtId="0" fontId="96" fillId="3" borderId="33" xfId="0" applyFont="1" applyFill="1" applyBorder="1" applyAlignment="1">
      <alignment horizontal="center" vertical="center" wrapText="1"/>
    </xf>
    <xf numFmtId="0" fontId="96" fillId="3" borderId="43" xfId="0" applyFont="1" applyFill="1" applyBorder="1" applyAlignment="1">
      <alignment horizontal="center" vertical="center" wrapText="1"/>
    </xf>
    <xf numFmtId="0" fontId="66" fillId="0" borderId="33" xfId="0" applyFont="1" applyBorder="1" applyAlignment="1">
      <alignment horizontal="right" vertical="center" wrapText="1"/>
    </xf>
    <xf numFmtId="3" fontId="87" fillId="0" borderId="43" xfId="0" applyNumberFormat="1" applyFont="1" applyBorder="1" applyAlignment="1">
      <alignment horizontal="right" vertical="center" wrapText="1"/>
    </xf>
    <xf numFmtId="0" fontId="99" fillId="0" borderId="43" xfId="0" applyFont="1" applyBorder="1" applyAlignment="1">
      <alignment horizontal="right" vertical="center" wrapText="1"/>
    </xf>
    <xf numFmtId="3" fontId="62" fillId="0" borderId="33" xfId="0" applyNumberFormat="1" applyFont="1" applyBorder="1" applyAlignment="1">
      <alignment horizontal="right" vertical="center" wrapText="1"/>
    </xf>
    <xf numFmtId="3" fontId="62" fillId="0" borderId="43" xfId="0" applyNumberFormat="1" applyFont="1" applyBorder="1" applyAlignment="1">
      <alignment horizontal="right" vertical="center" wrapText="1"/>
    </xf>
    <xf numFmtId="0" fontId="62" fillId="0" borderId="33" xfId="0" applyFont="1" applyBorder="1" applyAlignment="1">
      <alignment horizontal="right" vertical="center" wrapText="1"/>
    </xf>
    <xf numFmtId="0" fontId="60" fillId="0" borderId="0" xfId="0" applyFont="1" applyAlignment="1">
      <alignment vertical="center"/>
    </xf>
    <xf numFmtId="0" fontId="62" fillId="3" borderId="36" xfId="0" applyFont="1" applyFill="1" applyBorder="1" applyAlignment="1">
      <alignment vertical="center" wrapText="1"/>
    </xf>
    <xf numFmtId="0" fontId="62" fillId="3" borderId="37" xfId="0" applyFont="1" applyFill="1" applyBorder="1" applyAlignment="1">
      <alignment vertical="center" wrapText="1"/>
    </xf>
    <xf numFmtId="0" fontId="62" fillId="3" borderId="33" xfId="0" applyFont="1" applyFill="1" applyBorder="1" applyAlignment="1">
      <alignment vertical="center" wrapText="1"/>
    </xf>
    <xf numFmtId="3" fontId="62" fillId="0" borderId="30" xfId="0" applyNumberFormat="1" applyFont="1" applyBorder="1" applyAlignment="1">
      <alignment vertical="center" wrapText="1"/>
    </xf>
    <xf numFmtId="3" fontId="62" fillId="0" borderId="37" xfId="0" applyNumberFormat="1" applyFont="1" applyBorder="1" applyAlignment="1">
      <alignment vertical="center" wrapText="1"/>
    </xf>
    <xf numFmtId="3" fontId="40" fillId="0" borderId="33" xfId="0" applyNumberFormat="1" applyFont="1" applyBorder="1" applyAlignment="1">
      <alignment horizontal="right" vertical="center" wrapText="1"/>
    </xf>
    <xf numFmtId="0" fontId="41" fillId="0" borderId="0" xfId="0" applyFont="1" applyAlignment="1">
      <alignment vertical="center" wrapText="1"/>
    </xf>
    <xf numFmtId="0" fontId="47" fillId="0" borderId="0" xfId="0" applyFont="1" applyAlignment="1">
      <alignment horizontal="center" vertical="center"/>
    </xf>
    <xf numFmtId="0" fontId="13" fillId="3" borderId="30" xfId="0" applyFont="1" applyFill="1" applyBorder="1" applyAlignment="1">
      <alignment vertical="center" wrapText="1"/>
    </xf>
    <xf numFmtId="0" fontId="13" fillId="3" borderId="30" xfId="0" applyFont="1" applyFill="1" applyBorder="1" applyAlignment="1">
      <alignment horizontal="center" vertical="center" wrapText="1"/>
    </xf>
    <xf numFmtId="0" fontId="13" fillId="3" borderId="31" xfId="0" applyFont="1" applyFill="1" applyBorder="1" applyAlignment="1">
      <alignment horizontal="center" vertical="center" wrapText="1"/>
    </xf>
    <xf numFmtId="0" fontId="41" fillId="0" borderId="0" xfId="0" applyFont="1" applyAlignment="1">
      <alignment vertical="center"/>
    </xf>
    <xf numFmtId="0" fontId="99" fillId="0" borderId="32" xfId="0" applyFont="1" applyBorder="1" applyAlignment="1">
      <alignment horizontal="center" vertical="center" wrapText="1"/>
    </xf>
    <xf numFmtId="0" fontId="15" fillId="0" borderId="0" xfId="0" applyFont="1" applyAlignment="1">
      <alignment horizontal="center" vertical="center"/>
    </xf>
    <xf numFmtId="0" fontId="13" fillId="3" borderId="35" xfId="0" applyFont="1" applyFill="1" applyBorder="1" applyAlignment="1">
      <alignment vertical="center" wrapText="1"/>
    </xf>
    <xf numFmtId="0" fontId="13" fillId="3" borderId="35" xfId="0" applyFont="1" applyFill="1" applyBorder="1" applyAlignment="1">
      <alignment horizontal="center" vertical="center" wrapText="1"/>
    </xf>
    <xf numFmtId="0" fontId="13" fillId="3" borderId="36" xfId="0" applyFont="1" applyFill="1" applyBorder="1" applyAlignment="1">
      <alignment horizontal="center" vertical="center" wrapText="1"/>
    </xf>
    <xf numFmtId="0" fontId="39" fillId="0" borderId="32" xfId="0" applyFont="1" applyBorder="1" applyAlignment="1">
      <alignment horizontal="right" vertical="center" wrapText="1"/>
    </xf>
    <xf numFmtId="0" fontId="48" fillId="0" borderId="0" xfId="0" applyFont="1" applyAlignment="1">
      <alignment horizontal="center" vertical="center"/>
    </xf>
    <xf numFmtId="0" fontId="8" fillId="0" borderId="30" xfId="0" applyFont="1" applyBorder="1" applyAlignment="1">
      <alignment horizontal="center" vertical="center" wrapText="1"/>
    </xf>
    <xf numFmtId="0" fontId="13" fillId="0" borderId="32" xfId="0" applyFont="1" applyBorder="1" applyAlignment="1">
      <alignment horizontal="right" vertical="center" wrapText="1"/>
    </xf>
    <xf numFmtId="0" fontId="40" fillId="0" borderId="37" xfId="0" applyFont="1" applyBorder="1" applyAlignment="1">
      <alignment vertical="center" wrapText="1"/>
    </xf>
    <xf numFmtId="0" fontId="87" fillId="9" borderId="32" xfId="0" applyFont="1" applyFill="1" applyBorder="1" applyAlignment="1">
      <alignment vertical="center" wrapText="1"/>
    </xf>
    <xf numFmtId="0" fontId="41" fillId="9" borderId="32" xfId="0" applyFont="1" applyFill="1" applyBorder="1" applyAlignment="1">
      <alignment horizontal="center" vertical="center" wrapText="1"/>
    </xf>
    <xf numFmtId="3" fontId="87" fillId="9" borderId="33" xfId="0" applyNumberFormat="1" applyFont="1" applyFill="1" applyBorder="1" applyAlignment="1">
      <alignment horizontal="right" vertical="center" wrapText="1"/>
    </xf>
    <xf numFmtId="0" fontId="66" fillId="9" borderId="34" xfId="0" applyFont="1" applyFill="1" applyBorder="1" applyAlignment="1">
      <alignment horizontal="right" vertical="center" wrapText="1"/>
    </xf>
    <xf numFmtId="0" fontId="82" fillId="0" borderId="22" xfId="0" applyFont="1" applyBorder="1" applyAlignment="1">
      <alignment vertical="center" wrapText="1"/>
    </xf>
    <xf numFmtId="0" fontId="82" fillId="0" borderId="22" xfId="0" applyFont="1" applyBorder="1" applyAlignment="1">
      <alignment horizontal="center" vertical="center" wrapText="1"/>
    </xf>
    <xf numFmtId="3" fontId="82" fillId="0" borderId="22" xfId="0" applyNumberFormat="1" applyFont="1" applyBorder="1" applyAlignment="1">
      <alignment horizontal="right" vertical="center" wrapText="1"/>
    </xf>
    <xf numFmtId="0" fontId="82" fillId="0" borderId="22" xfId="0" applyFont="1" applyBorder="1" applyAlignment="1">
      <alignment horizontal="right" vertical="center" wrapText="1"/>
    </xf>
    <xf numFmtId="0" fontId="57" fillId="0" borderId="0" xfId="16"/>
    <xf numFmtId="0" fontId="13" fillId="0" borderId="7" xfId="16" applyFont="1" applyBorder="1" applyAlignment="1" applyProtection="1">
      <alignment horizontal="center" vertical="center" wrapText="1"/>
      <protection locked="0"/>
    </xf>
    <xf numFmtId="0" fontId="57" fillId="0" borderId="0" xfId="16" applyAlignment="1">
      <alignment vertical="center"/>
    </xf>
    <xf numFmtId="0" fontId="61" fillId="0" borderId="1" xfId="16" applyFont="1" applyBorder="1" applyAlignment="1">
      <alignment vertical="center"/>
    </xf>
    <xf numFmtId="3" fontId="57" fillId="0" borderId="0" xfId="16" applyNumberFormat="1" applyAlignment="1">
      <alignment vertical="center"/>
    </xf>
    <xf numFmtId="0" fontId="66" fillId="0" borderId="2" xfId="16" applyFont="1" applyBorder="1" applyAlignment="1">
      <alignment horizontal="left" vertical="center"/>
    </xf>
    <xf numFmtId="0" fontId="4" fillId="0" borderId="6" xfId="16" applyFont="1" applyBorder="1" applyAlignment="1" applyProtection="1">
      <alignment horizontal="center" vertical="center" wrapText="1"/>
      <protection locked="0"/>
    </xf>
    <xf numFmtId="0" fontId="61" fillId="0" borderId="0" xfId="16" applyFont="1" applyAlignment="1">
      <alignment horizontal="center" vertical="center"/>
    </xf>
    <xf numFmtId="0" fontId="79" fillId="0" borderId="0" xfId="16" applyFont="1" applyAlignment="1">
      <alignment horizontal="center" vertical="center"/>
    </xf>
    <xf numFmtId="0" fontId="78" fillId="0" borderId="0" xfId="16" applyFont="1" applyAlignment="1">
      <alignment horizontal="center" vertical="center"/>
    </xf>
    <xf numFmtId="0" fontId="13" fillId="0" borderId="6" xfId="16" applyFont="1" applyBorder="1" applyAlignment="1" applyProtection="1">
      <alignment horizontal="center" vertical="center" wrapText="1"/>
      <protection locked="0"/>
    </xf>
    <xf numFmtId="0" fontId="66" fillId="0" borderId="2" xfId="16" applyFont="1" applyBorder="1" applyAlignment="1">
      <alignment horizontal="right" vertical="center"/>
    </xf>
    <xf numFmtId="3" fontId="60" fillId="0" borderId="2" xfId="16" applyNumberFormat="1" applyFont="1" applyBorder="1" applyAlignment="1">
      <alignment vertical="center"/>
    </xf>
    <xf numFmtId="0" fontId="62" fillId="0" borderId="1" xfId="16" applyFont="1" applyBorder="1" applyAlignment="1">
      <alignment vertical="center"/>
    </xf>
    <xf numFmtId="3" fontId="62" fillId="0" borderId="1" xfId="16" applyNumberFormat="1" applyFont="1" applyBorder="1" applyAlignment="1">
      <alignment vertical="center"/>
    </xf>
    <xf numFmtId="169" fontId="60" fillId="0" borderId="2" xfId="16" applyNumberFormat="1" applyFont="1" applyBorder="1" applyAlignment="1">
      <alignment vertical="center"/>
    </xf>
    <xf numFmtId="4" fontId="60" fillId="0" borderId="2" xfId="16" applyNumberFormat="1" applyFont="1" applyBorder="1" applyAlignment="1">
      <alignment vertical="center"/>
    </xf>
    <xf numFmtId="0" fontId="56" fillId="0" borderId="0" xfId="16" applyFont="1" applyAlignment="1">
      <alignment vertical="center"/>
    </xf>
    <xf numFmtId="0" fontId="65" fillId="0" borderId="2" xfId="16" applyFont="1" applyBorder="1" applyAlignment="1">
      <alignment horizontal="left" vertical="center"/>
    </xf>
    <xf numFmtId="0" fontId="65" fillId="0" borderId="8" xfId="16" applyFont="1" applyBorder="1" applyAlignment="1">
      <alignment horizontal="left" vertical="center"/>
    </xf>
    <xf numFmtId="0" fontId="57" fillId="0" borderId="0" xfId="16" applyAlignment="1">
      <alignment horizontal="center" vertical="center"/>
    </xf>
    <xf numFmtId="0" fontId="13" fillId="0" borderId="0" xfId="16" applyFont="1" applyAlignment="1" applyProtection="1">
      <alignment horizontal="center" vertical="center" wrapText="1"/>
      <protection locked="0"/>
    </xf>
    <xf numFmtId="3" fontId="60" fillId="0" borderId="0" xfId="16" applyNumberFormat="1" applyFont="1" applyAlignment="1">
      <alignment vertical="center"/>
    </xf>
    <xf numFmtId="0" fontId="65" fillId="0" borderId="9" xfId="16" applyFont="1" applyBorder="1" applyAlignment="1">
      <alignment horizontal="left" vertical="center"/>
    </xf>
    <xf numFmtId="3" fontId="60" fillId="0" borderId="2" xfId="16" applyNumberFormat="1" applyFont="1" applyBorder="1" applyAlignment="1">
      <alignment horizontal="right" vertical="center"/>
    </xf>
    <xf numFmtId="0" fontId="17" fillId="0" borderId="0" xfId="16" applyFont="1" applyAlignment="1" applyProtection="1">
      <alignment horizontal="center" vertical="center" wrapText="1"/>
      <protection locked="0"/>
    </xf>
    <xf numFmtId="3" fontId="71" fillId="0" borderId="0" xfId="16" applyNumberFormat="1" applyFont="1" applyAlignment="1">
      <alignment vertical="center"/>
    </xf>
    <xf numFmtId="3" fontId="105" fillId="0" borderId="1" xfId="16" applyNumberFormat="1" applyFont="1" applyBorder="1" applyAlignment="1">
      <alignment vertical="center"/>
    </xf>
    <xf numFmtId="3" fontId="4" fillId="2" borderId="0" xfId="11" applyNumberFormat="1" applyFont="1" applyFill="1" applyAlignment="1">
      <alignment vertical="center"/>
    </xf>
    <xf numFmtId="169" fontId="101" fillId="0" borderId="2" xfId="16" applyNumberFormat="1" applyFont="1" applyBorder="1" applyAlignment="1">
      <alignment vertical="center"/>
    </xf>
    <xf numFmtId="0" fontId="39" fillId="2" borderId="0" xfId="11" applyFont="1" applyFill="1" applyAlignment="1">
      <alignment vertical="center"/>
    </xf>
    <xf numFmtId="0" fontId="6" fillId="2" borderId="0" xfId="12" applyFont="1" applyFill="1" applyAlignment="1">
      <alignment horizontal="right" vertical="center"/>
    </xf>
    <xf numFmtId="0" fontId="39" fillId="2" borderId="0" xfId="12" applyFont="1" applyFill="1" applyAlignment="1">
      <alignment horizontal="center" vertical="center"/>
    </xf>
    <xf numFmtId="0" fontId="32" fillId="2" borderId="0" xfId="11" applyFont="1" applyFill="1" applyAlignment="1">
      <alignment horizontal="center" vertical="center"/>
    </xf>
    <xf numFmtId="0" fontId="4" fillId="2" borderId="3" xfId="12" applyFont="1" applyFill="1" applyBorder="1" applyAlignment="1">
      <alignment horizontal="center" vertical="center"/>
    </xf>
    <xf numFmtId="0" fontId="4" fillId="2" borderId="3" xfId="12" applyFont="1" applyFill="1" applyBorder="1" applyAlignment="1">
      <alignment vertical="center"/>
    </xf>
    <xf numFmtId="3" fontId="6" fillId="2" borderId="3" xfId="12" applyNumberFormat="1" applyFont="1" applyFill="1" applyBorder="1" applyAlignment="1">
      <alignment horizontal="right" vertical="center"/>
    </xf>
    <xf numFmtId="0" fontId="4" fillId="2" borderId="3" xfId="12" applyFont="1" applyFill="1" applyBorder="1" applyAlignment="1">
      <alignment horizontal="right" vertical="center"/>
    </xf>
    <xf numFmtId="0" fontId="4" fillId="2" borderId="1" xfId="11" applyFont="1" applyFill="1" applyBorder="1" applyAlignment="1">
      <alignment vertical="center" wrapText="1"/>
    </xf>
    <xf numFmtId="0" fontId="4" fillId="2" borderId="0" xfId="11" applyFont="1" applyFill="1" applyAlignment="1">
      <alignment vertical="center" wrapText="1"/>
    </xf>
    <xf numFmtId="166" fontId="6" fillId="2" borderId="1" xfId="4" applyNumberFormat="1" applyFont="1" applyFill="1" applyBorder="1" applyAlignment="1">
      <alignment horizontal="right" vertical="center" shrinkToFit="1"/>
    </xf>
    <xf numFmtId="3" fontId="6" fillId="2" borderId="1" xfId="11" applyNumberFormat="1" applyFont="1" applyFill="1" applyBorder="1" applyAlignment="1">
      <alignment vertical="center"/>
    </xf>
    <xf numFmtId="3" fontId="16" fillId="2" borderId="1" xfId="0" applyNumberFormat="1" applyFont="1" applyFill="1" applyBorder="1"/>
    <xf numFmtId="3" fontId="16" fillId="2" borderId="0" xfId="0" applyNumberFormat="1" applyFont="1" applyFill="1"/>
    <xf numFmtId="0" fontId="4" fillId="2" borderId="1" xfId="0" quotePrefix="1" applyFont="1" applyFill="1" applyBorder="1" applyAlignment="1">
      <alignment horizontal="center" wrapText="1"/>
    </xf>
    <xf numFmtId="0" fontId="4" fillId="2" borderId="10" xfId="15" quotePrefix="1" applyFont="1" applyFill="1" applyBorder="1" applyAlignment="1">
      <alignment horizontal="center" vertical="center" wrapText="1"/>
    </xf>
    <xf numFmtId="0" fontId="15" fillId="2" borderId="1" xfId="0" applyFont="1" applyFill="1" applyBorder="1" applyAlignment="1">
      <alignment vertical="center"/>
    </xf>
    <xf numFmtId="0" fontId="4" fillId="3" borderId="1" xfId="15" quotePrefix="1" applyFont="1" applyFill="1" applyBorder="1" applyAlignment="1">
      <alignment horizontal="center" vertical="center" wrapText="1"/>
    </xf>
    <xf numFmtId="3" fontId="6" fillId="3" borderId="1" xfId="11" applyNumberFormat="1" applyFont="1" applyFill="1" applyBorder="1" applyAlignment="1">
      <alignment vertical="center"/>
    </xf>
    <xf numFmtId="3" fontId="16" fillId="3" borderId="1" xfId="0" applyNumberFormat="1" applyFont="1" applyFill="1" applyBorder="1"/>
    <xf numFmtId="3" fontId="16" fillId="3" borderId="0" xfId="0" applyNumberFormat="1" applyFont="1" applyFill="1"/>
    <xf numFmtId="0" fontId="12" fillId="3" borderId="0" xfId="11" applyFont="1" applyFill="1" applyAlignment="1">
      <alignment vertical="center"/>
    </xf>
    <xf numFmtId="3" fontId="4" fillId="2" borderId="1" xfId="5" applyNumberFormat="1" applyFont="1" applyFill="1" applyBorder="1" applyAlignment="1">
      <alignment horizontal="right" vertical="center"/>
    </xf>
    <xf numFmtId="3" fontId="4" fillId="2" borderId="0" xfId="5" applyNumberFormat="1" applyFont="1" applyFill="1" applyBorder="1" applyAlignment="1">
      <alignment horizontal="right" vertical="center"/>
    </xf>
    <xf numFmtId="3" fontId="7" fillId="2" borderId="0" xfId="11" applyNumberFormat="1" applyFont="1" applyFill="1" applyAlignment="1">
      <alignment horizontal="right" vertical="center"/>
    </xf>
    <xf numFmtId="0" fontId="16" fillId="2" borderId="0" xfId="11" applyFont="1" applyFill="1" applyAlignment="1">
      <alignment vertical="center"/>
    </xf>
    <xf numFmtId="3" fontId="13" fillId="2" borderId="0" xfId="11" applyNumberFormat="1" applyFont="1" applyFill="1" applyAlignment="1">
      <alignment vertical="center"/>
    </xf>
    <xf numFmtId="0" fontId="16" fillId="2" borderId="0" xfId="11" applyFont="1" applyFill="1" applyAlignment="1">
      <alignment horizontal="center" vertical="center"/>
    </xf>
    <xf numFmtId="3" fontId="16" fillId="2" borderId="0" xfId="11" applyNumberFormat="1" applyFont="1" applyFill="1" applyAlignment="1">
      <alignment horizontal="right" vertical="center"/>
    </xf>
    <xf numFmtId="0" fontId="17" fillId="2" borderId="0" xfId="11" applyFont="1" applyFill="1" applyAlignment="1">
      <alignment horizontal="center" vertical="center"/>
    </xf>
    <xf numFmtId="0" fontId="7" fillId="2" borderId="0" xfId="11" applyFont="1" applyFill="1" applyAlignment="1">
      <alignment horizontal="right" vertical="center"/>
    </xf>
    <xf numFmtId="0" fontId="59" fillId="2" borderId="0" xfId="11" applyFont="1" applyFill="1" applyAlignment="1">
      <alignment horizontal="center" vertical="center"/>
    </xf>
    <xf numFmtId="3" fontId="59" fillId="2" borderId="0" xfId="11" applyNumberFormat="1" applyFont="1" applyFill="1" applyAlignment="1">
      <alignment horizontal="right" vertical="center"/>
    </xf>
    <xf numFmtId="0" fontId="90" fillId="0" borderId="0" xfId="0" applyFont="1" applyAlignment="1">
      <alignment vertical="center" wrapText="1"/>
    </xf>
    <xf numFmtId="0" fontId="80" fillId="0" borderId="0" xfId="0" applyFont="1" applyAlignment="1">
      <alignment horizontal="right" vertical="center" wrapText="1"/>
    </xf>
    <xf numFmtId="0" fontId="62" fillId="0" borderId="0" xfId="0" applyFont="1" applyAlignment="1">
      <alignment vertical="center" wrapText="1"/>
    </xf>
    <xf numFmtId="0" fontId="6" fillId="0" borderId="0" xfId="0" applyFont="1" applyAlignment="1">
      <alignment vertical="center" wrapText="1"/>
    </xf>
    <xf numFmtId="0" fontId="80" fillId="0" borderId="0" xfId="0" applyFont="1" applyAlignment="1">
      <alignment vertical="center" wrapText="1"/>
    </xf>
    <xf numFmtId="0" fontId="110" fillId="0" borderId="0" xfId="0" applyFont="1" applyAlignment="1">
      <alignment vertical="center"/>
    </xf>
    <xf numFmtId="0" fontId="60" fillId="0" borderId="0" xfId="0" applyFont="1" applyAlignment="1">
      <alignment horizontal="justify" vertical="center"/>
    </xf>
    <xf numFmtId="0" fontId="91" fillId="0" borderId="0" xfId="0" applyFont="1" applyAlignment="1">
      <alignment vertical="center"/>
    </xf>
    <xf numFmtId="0" fontId="91" fillId="0" borderId="0" xfId="0" quotePrefix="1" applyFont="1" applyAlignment="1">
      <alignment vertical="center"/>
    </xf>
    <xf numFmtId="0" fontId="67" fillId="0" borderId="1" xfId="0" quotePrefix="1" applyFont="1" applyBorder="1" applyAlignment="1">
      <alignment horizontal="center" vertical="center" wrapText="1"/>
    </xf>
    <xf numFmtId="168" fontId="4" fillId="2" borderId="6" xfId="2" applyNumberFormat="1" applyFont="1" applyFill="1" applyBorder="1" applyAlignment="1">
      <alignment horizontal="center" vertical="center" wrapText="1"/>
    </xf>
    <xf numFmtId="0" fontId="68" fillId="0" borderId="0" xfId="0" applyFont="1" applyAlignment="1">
      <alignment vertical="center"/>
    </xf>
    <xf numFmtId="0" fontId="82" fillId="0" borderId="1" xfId="0" applyFont="1" applyBorder="1" applyAlignment="1">
      <alignment horizontal="center" vertical="center"/>
    </xf>
    <xf numFmtId="0" fontId="68" fillId="0" borderId="1" xfId="0" quotePrefix="1" applyFont="1" applyBorder="1" applyAlignment="1">
      <alignment horizontal="center" vertical="center" wrapText="1"/>
    </xf>
    <xf numFmtId="0" fontId="67" fillId="0" borderId="1" xfId="0" quotePrefix="1" applyFont="1" applyBorder="1" applyAlignment="1">
      <alignment horizontal="left" vertical="center" wrapText="1"/>
    </xf>
    <xf numFmtId="3" fontId="68" fillId="0" borderId="1" xfId="0" quotePrefix="1" applyNumberFormat="1" applyFont="1" applyBorder="1" applyAlignment="1">
      <alignment horizontal="right" vertical="center" wrapText="1"/>
    </xf>
    <xf numFmtId="166" fontId="68" fillId="0" borderId="1" xfId="1" quotePrefix="1" applyNumberFormat="1" applyFont="1" applyBorder="1" applyAlignment="1">
      <alignment horizontal="right" vertical="center" wrapText="1"/>
    </xf>
    <xf numFmtId="3" fontId="91" fillId="0" borderId="0" xfId="0" quotePrefix="1" applyNumberFormat="1" applyFont="1" applyAlignment="1">
      <alignment vertical="center"/>
    </xf>
    <xf numFmtId="3" fontId="67" fillId="0" borderId="1" xfId="0" quotePrefix="1" applyNumberFormat="1" applyFont="1" applyBorder="1" applyAlignment="1">
      <alignment horizontal="right" vertical="center" wrapText="1"/>
    </xf>
    <xf numFmtId="166" fontId="67" fillId="0" borderId="1" xfId="1" quotePrefix="1" applyNumberFormat="1" applyFont="1" applyBorder="1" applyAlignment="1">
      <alignment horizontal="right" vertical="center" wrapText="1"/>
    </xf>
    <xf numFmtId="3" fontId="61" fillId="0" borderId="0" xfId="0" quotePrefix="1" applyNumberFormat="1" applyFont="1" applyAlignment="1">
      <alignment vertical="center"/>
    </xf>
    <xf numFmtId="0" fontId="90" fillId="0" borderId="0" xfId="0" applyFont="1" applyAlignment="1">
      <alignment vertical="center"/>
    </xf>
    <xf numFmtId="166" fontId="67" fillId="0" borderId="1" xfId="1" quotePrefix="1" applyNumberFormat="1" applyFont="1" applyBorder="1" applyAlignment="1">
      <alignment vertical="center" wrapText="1"/>
    </xf>
    <xf numFmtId="43" fontId="61" fillId="0" borderId="0" xfId="0" quotePrefix="1" applyNumberFormat="1" applyFont="1" applyAlignment="1">
      <alignment vertical="center"/>
    </xf>
    <xf numFmtId="166" fontId="111" fillId="0" borderId="1" xfId="1" applyNumberFormat="1" applyFont="1" applyBorder="1" applyAlignment="1">
      <alignment vertical="center"/>
    </xf>
    <xf numFmtId="0" fontId="112" fillId="0" borderId="0" xfId="0" applyFont="1" applyAlignment="1">
      <alignment vertical="center"/>
    </xf>
    <xf numFmtId="166" fontId="67" fillId="0" borderId="1" xfId="1" applyNumberFormat="1" applyFont="1" applyBorder="1" applyAlignment="1">
      <alignment vertical="center"/>
    </xf>
    <xf numFmtId="0" fontId="100" fillId="0" borderId="0" xfId="0" applyFont="1" applyAlignment="1">
      <alignment vertical="center"/>
    </xf>
    <xf numFmtId="3" fontId="91" fillId="0" borderId="0" xfId="0" applyNumberFormat="1" applyFont="1" applyAlignment="1">
      <alignment horizontal="right" vertical="center"/>
    </xf>
    <xf numFmtId="43" fontId="100" fillId="0" borderId="0" xfId="0" applyNumberFormat="1" applyFont="1" applyAlignment="1">
      <alignment vertical="center"/>
    </xf>
    <xf numFmtId="3" fontId="91" fillId="0" borderId="0" xfId="0" applyNumberFormat="1" applyFont="1" applyAlignment="1">
      <alignment vertical="center"/>
    </xf>
    <xf numFmtId="3" fontId="91" fillId="0" borderId="0" xfId="0" applyNumberFormat="1" applyFont="1" applyAlignment="1">
      <alignment horizontal="center" vertical="center"/>
    </xf>
    <xf numFmtId="3" fontId="91" fillId="0" borderId="0" xfId="0" applyNumberFormat="1" applyFont="1" applyAlignment="1">
      <alignment horizontal="left" vertical="center"/>
    </xf>
    <xf numFmtId="0" fontId="114" fillId="0" borderId="0" xfId="0" quotePrefix="1" applyFont="1" applyAlignment="1">
      <alignment vertical="center"/>
    </xf>
    <xf numFmtId="0" fontId="114" fillId="0" borderId="0" xfId="0" applyFont="1" applyAlignment="1">
      <alignment vertical="center"/>
    </xf>
    <xf numFmtId="3" fontId="100" fillId="0" borderId="0" xfId="0" applyNumberFormat="1" applyFont="1" applyAlignment="1">
      <alignment vertical="center"/>
    </xf>
    <xf numFmtId="166" fontId="61" fillId="0" borderId="0" xfId="1" applyNumberFormat="1" applyFont="1" applyAlignment="1">
      <alignment vertical="center"/>
    </xf>
    <xf numFmtId="3" fontId="73" fillId="0" borderId="0" xfId="0" applyNumberFormat="1" applyFont="1" applyAlignment="1">
      <alignment vertical="center"/>
    </xf>
    <xf numFmtId="0" fontId="91" fillId="0" borderId="0" xfId="0" applyFont="1" applyAlignment="1">
      <alignment vertical="center" wrapText="1"/>
    </xf>
    <xf numFmtId="0" fontId="61" fillId="0" borderId="0" xfId="0" applyFont="1" applyAlignment="1">
      <alignment vertical="center" wrapText="1"/>
    </xf>
    <xf numFmtId="0" fontId="120" fillId="0" borderId="0" xfId="0" applyFont="1" applyAlignment="1">
      <alignment vertical="center"/>
    </xf>
    <xf numFmtId="0" fontId="121" fillId="0" borderId="0" xfId="0" applyFont="1" applyAlignment="1">
      <alignment horizontal="justify" vertical="center"/>
    </xf>
    <xf numFmtId="0" fontId="112" fillId="0" borderId="0" xfId="0" quotePrefix="1" applyFont="1" applyAlignment="1">
      <alignment vertical="center"/>
    </xf>
    <xf numFmtId="0" fontId="0" fillId="0" borderId="0" xfId="0" quotePrefix="1" applyAlignment="1">
      <alignment vertical="center"/>
    </xf>
    <xf numFmtId="0" fontId="4" fillId="0" borderId="0" xfId="0" applyFont="1" applyAlignment="1">
      <alignment horizontal="center"/>
    </xf>
    <xf numFmtId="0" fontId="35" fillId="0" borderId="11" xfId="21" applyFont="1" applyBorder="1" applyAlignment="1">
      <alignment horizontal="center"/>
    </xf>
    <xf numFmtId="0" fontId="35" fillId="0" borderId="11" xfId="21" applyFont="1" applyBorder="1" applyAlignment="1">
      <alignment horizontal="left"/>
    </xf>
    <xf numFmtId="0" fontId="122" fillId="4" borderId="29" xfId="0" applyFont="1" applyFill="1" applyBorder="1" applyAlignment="1">
      <alignment vertical="center"/>
    </xf>
    <xf numFmtId="166" fontId="0" fillId="0" borderId="0" xfId="1" applyNumberFormat="1" applyFont="1"/>
    <xf numFmtId="166" fontId="0" fillId="3" borderId="0" xfId="1" applyNumberFormat="1" applyFont="1" applyFill="1"/>
    <xf numFmtId="166" fontId="0" fillId="4" borderId="0" xfId="1" applyNumberFormat="1" applyFont="1" applyFill="1"/>
    <xf numFmtId="0" fontId="123" fillId="0" borderId="0" xfId="0" applyFont="1"/>
    <xf numFmtId="0" fontId="124" fillId="0" borderId="1" xfId="0" applyFont="1" applyBorder="1" applyAlignment="1">
      <alignment vertical="center" wrapText="1"/>
    </xf>
    <xf numFmtId="0" fontId="98" fillId="4" borderId="28" xfId="0" applyFont="1" applyFill="1" applyBorder="1" applyAlignment="1">
      <alignment horizontal="center" vertical="center"/>
    </xf>
    <xf numFmtId="0" fontId="64" fillId="4" borderId="29" xfId="0" applyFont="1" applyFill="1" applyBorder="1" applyAlignment="1">
      <alignment vertical="center"/>
    </xf>
    <xf numFmtId="0" fontId="64" fillId="6" borderId="29" xfId="0" applyFont="1" applyFill="1" applyBorder="1" applyAlignment="1">
      <alignment vertical="center"/>
    </xf>
    <xf numFmtId="0" fontId="34" fillId="2" borderId="11" xfId="21" applyFont="1" applyFill="1" applyBorder="1"/>
    <xf numFmtId="0" fontId="34" fillId="2" borderId="11" xfId="21" applyFont="1" applyFill="1" applyBorder="1" applyAlignment="1">
      <alignment wrapText="1"/>
    </xf>
    <xf numFmtId="3" fontId="34" fillId="2" borderId="11" xfId="21" applyNumberFormat="1" applyFont="1" applyFill="1" applyBorder="1"/>
    <xf numFmtId="166" fontId="54" fillId="2" borderId="0" xfId="1" applyNumberFormat="1" applyFont="1" applyFill="1"/>
    <xf numFmtId="0" fontId="0" fillId="2" borderId="0" xfId="0" applyFill="1"/>
    <xf numFmtId="166" fontId="58" fillId="3" borderId="0" xfId="1" applyNumberFormat="1" applyFont="1" applyFill="1"/>
    <xf numFmtId="0" fontId="6" fillId="3" borderId="11" xfId="21" applyFont="1" applyFill="1" applyBorder="1"/>
    <xf numFmtId="3" fontId="59" fillId="3" borderId="11" xfId="21" applyNumberFormat="1" applyFont="1" applyFill="1" applyBorder="1"/>
    <xf numFmtId="166" fontId="125" fillId="3" borderId="0" xfId="1" applyNumberFormat="1" applyFont="1" applyFill="1"/>
    <xf numFmtId="0" fontId="35" fillId="0" borderId="19" xfId="21" applyFont="1" applyBorder="1"/>
    <xf numFmtId="0" fontId="98" fillId="3" borderId="28" xfId="0" applyFont="1" applyFill="1" applyBorder="1" applyAlignment="1">
      <alignment horizontal="center" vertical="center"/>
    </xf>
    <xf numFmtId="0" fontId="64" fillId="3" borderId="29" xfId="0" applyFont="1" applyFill="1" applyBorder="1" applyAlignment="1">
      <alignment vertical="center"/>
    </xf>
    <xf numFmtId="0" fontId="91" fillId="0" borderId="0" xfId="0" applyFont="1" applyAlignment="1" applyProtection="1">
      <alignment horizontal="center" vertical="center" wrapText="1"/>
      <protection locked="0"/>
    </xf>
    <xf numFmtId="0" fontId="61" fillId="0" borderId="0" xfId="0" applyFont="1" applyAlignment="1" applyProtection="1">
      <alignment vertical="center" wrapText="1"/>
      <protection locked="0"/>
    </xf>
    <xf numFmtId="0" fontId="61" fillId="0" borderId="0" xfId="0" applyFont="1" applyAlignment="1" applyProtection="1">
      <alignment horizontal="center" vertical="center" wrapText="1"/>
      <protection locked="0"/>
    </xf>
    <xf numFmtId="0" fontId="61" fillId="0" borderId="0" xfId="0" applyFont="1" applyAlignment="1" applyProtection="1">
      <alignment horizontal="right" vertical="center" wrapText="1"/>
      <protection locked="0"/>
    </xf>
    <xf numFmtId="0" fontId="127" fillId="0" borderId="0" xfId="0" applyFont="1" applyAlignment="1" applyProtection="1">
      <alignment vertical="center"/>
      <protection locked="0"/>
    </xf>
    <xf numFmtId="0" fontId="127" fillId="0" borderId="0" xfId="0" applyFont="1" applyAlignment="1" applyProtection="1">
      <alignment vertical="center" wrapText="1"/>
      <protection locked="0"/>
    </xf>
    <xf numFmtId="0" fontId="61" fillId="0" borderId="0" xfId="0" applyFont="1" applyAlignment="1" applyProtection="1">
      <alignment horizontal="center" vertical="center"/>
      <protection locked="0"/>
    </xf>
    <xf numFmtId="0" fontId="61" fillId="0" borderId="0" xfId="0" applyFont="1" applyAlignment="1">
      <alignment horizontal="center" vertical="center" wrapText="1"/>
    </xf>
    <xf numFmtId="0" fontId="61" fillId="0" borderId="0" xfId="0" applyFont="1" applyAlignment="1">
      <alignment horizontal="left" vertical="center" wrapText="1"/>
    </xf>
    <xf numFmtId="0" fontId="61" fillId="0" borderId="0" xfId="0" applyFont="1" applyAlignment="1" applyProtection="1">
      <alignment horizontal="left" vertical="center"/>
      <protection locked="0"/>
    </xf>
    <xf numFmtId="0" fontId="117" fillId="0" borderId="0" xfId="0" applyFont="1" applyAlignment="1">
      <alignment horizontal="center" vertical="center" wrapText="1"/>
    </xf>
    <xf numFmtId="0" fontId="61" fillId="10" borderId="10" xfId="0" applyFont="1" applyFill="1" applyBorder="1" applyAlignment="1">
      <alignment horizontal="center" vertical="center" wrapText="1"/>
    </xf>
    <xf numFmtId="0" fontId="61" fillId="11" borderId="10" xfId="0" applyFont="1" applyFill="1" applyBorder="1" applyAlignment="1">
      <alignment horizontal="center" vertical="center" wrapText="1"/>
    </xf>
    <xf numFmtId="0" fontId="91" fillId="0" borderId="0" xfId="0" applyFont="1" applyAlignment="1">
      <alignment horizontal="center" vertical="center" wrapText="1"/>
    </xf>
    <xf numFmtId="0" fontId="80" fillId="0" borderId="10" xfId="0" applyFont="1" applyBorder="1" applyAlignment="1">
      <alignment horizontal="center" vertical="center"/>
    </xf>
    <xf numFmtId="0" fontId="80" fillId="0" borderId="10" xfId="0" applyFont="1" applyBorder="1" applyAlignment="1">
      <alignment horizontal="center" vertical="center" wrapText="1"/>
    </xf>
    <xf numFmtId="3" fontId="80" fillId="0" borderId="10" xfId="0" applyNumberFormat="1" applyFont="1" applyBorder="1" applyAlignment="1">
      <alignment horizontal="center" vertical="center" wrapText="1"/>
    </xf>
    <xf numFmtId="3" fontId="117" fillId="0" borderId="10" xfId="0" applyNumberFormat="1" applyFont="1" applyBorder="1" applyAlignment="1">
      <alignment horizontal="center" vertical="center" wrapText="1"/>
    </xf>
    <xf numFmtId="0" fontId="80" fillId="0" borderId="0" xfId="0" applyFont="1" applyAlignment="1">
      <alignment horizontal="center" vertical="center" wrapText="1"/>
    </xf>
    <xf numFmtId="0" fontId="91" fillId="0" borderId="10" xfId="0" applyFont="1" applyBorder="1" applyAlignment="1">
      <alignment horizontal="center" vertical="center"/>
    </xf>
    <xf numFmtId="0" fontId="91" fillId="0" borderId="10" xfId="0" applyFont="1" applyBorder="1" applyAlignment="1">
      <alignment vertical="center"/>
    </xf>
    <xf numFmtId="3" fontId="91" fillId="0" borderId="10" xfId="0" applyNumberFormat="1" applyFont="1" applyBorder="1" applyAlignment="1">
      <alignment horizontal="right" vertical="center" wrapText="1"/>
    </xf>
    <xf numFmtId="3" fontId="61" fillId="0" borderId="10" xfId="0" applyNumberFormat="1" applyFont="1" applyBorder="1" applyAlignment="1">
      <alignment horizontal="right" vertical="center" wrapText="1"/>
    </xf>
    <xf numFmtId="0" fontId="61" fillId="0" borderId="10" xfId="0" applyFont="1" applyBorder="1" applyAlignment="1">
      <alignment vertical="center"/>
    </xf>
    <xf numFmtId="173" fontId="61" fillId="0" borderId="49" xfId="22" applyNumberFormat="1" applyFont="1" applyBorder="1" applyAlignment="1">
      <alignment vertical="center" wrapText="1"/>
    </xf>
    <xf numFmtId="3" fontId="91" fillId="0" borderId="0" xfId="0" applyNumberFormat="1" applyFont="1" applyAlignment="1">
      <alignment vertical="center" wrapText="1"/>
    </xf>
    <xf numFmtId="3" fontId="61" fillId="0" borderId="0" xfId="0" applyNumberFormat="1" applyFont="1" applyAlignment="1" applyProtection="1">
      <alignment horizontal="center" vertical="center" wrapText="1"/>
      <protection locked="0"/>
    </xf>
    <xf numFmtId="173" fontId="61" fillId="0" borderId="0" xfId="0" applyNumberFormat="1" applyFont="1" applyAlignment="1" applyProtection="1">
      <alignment horizontal="center" vertical="center" wrapText="1"/>
      <protection locked="0"/>
    </xf>
    <xf numFmtId="173" fontId="61" fillId="0" borderId="49" xfId="22" applyNumberFormat="1" applyFont="1" applyBorder="1" applyAlignment="1">
      <alignment horizontal="right" vertical="center" wrapText="1"/>
    </xf>
    <xf numFmtId="0" fontId="61" fillId="0" borderId="0" xfId="0" applyFont="1" applyAlignment="1">
      <alignment vertical="center"/>
    </xf>
    <xf numFmtId="0" fontId="80" fillId="0" borderId="0" xfId="0" applyFont="1" applyAlignment="1">
      <alignment vertical="center"/>
    </xf>
    <xf numFmtId="0" fontId="91" fillId="0" borderId="10" xfId="0" applyFont="1" applyBorder="1" applyAlignment="1">
      <alignment horizontal="center" vertical="center" wrapText="1"/>
    </xf>
    <xf numFmtId="9" fontId="91" fillId="0" borderId="10" xfId="22" applyFont="1" applyBorder="1" applyAlignment="1">
      <alignment vertical="center" wrapText="1"/>
    </xf>
    <xf numFmtId="9" fontId="91" fillId="0" borderId="0" xfId="22" applyFont="1" applyFill="1" applyBorder="1" applyAlignment="1">
      <alignment vertical="center" wrapText="1"/>
    </xf>
    <xf numFmtId="0" fontId="61" fillId="0" borderId="49" xfId="0" applyFont="1" applyBorder="1" applyAlignment="1">
      <alignment horizontal="center" vertical="center" wrapText="1"/>
    </xf>
    <xf numFmtId="0" fontId="61" fillId="0" borderId="49" xfId="0" applyFont="1" applyBorder="1" applyAlignment="1">
      <alignment vertical="center"/>
    </xf>
    <xf numFmtId="9" fontId="61" fillId="0" borderId="49" xfId="22" applyFont="1" applyBorder="1" applyAlignment="1">
      <alignment vertical="center" wrapText="1"/>
    </xf>
    <xf numFmtId="9" fontId="61" fillId="0" borderId="0" xfId="22" applyFont="1" applyFill="1" applyBorder="1" applyAlignment="1">
      <alignment vertical="center" wrapText="1"/>
    </xf>
    <xf numFmtId="166" fontId="128" fillId="0" borderId="1" xfId="1" applyNumberFormat="1" applyFont="1" applyBorder="1"/>
    <xf numFmtId="166" fontId="61" fillId="0" borderId="0" xfId="1" applyNumberFormat="1" applyFont="1" applyAlignment="1">
      <alignment horizontal="center" vertical="center" wrapText="1"/>
    </xf>
    <xf numFmtId="166" fontId="91" fillId="0" borderId="0" xfId="1" applyNumberFormat="1" applyFont="1" applyFill="1" applyBorder="1" applyAlignment="1">
      <alignment vertical="center" wrapText="1"/>
    </xf>
    <xf numFmtId="166" fontId="61" fillId="0" borderId="0" xfId="1" applyNumberFormat="1" applyFont="1" applyFill="1" applyBorder="1" applyAlignment="1">
      <alignment vertical="center" wrapText="1"/>
    </xf>
    <xf numFmtId="0" fontId="104" fillId="0" borderId="0" xfId="0" applyFont="1"/>
    <xf numFmtId="0" fontId="104" fillId="0" borderId="1" xfId="0" applyFont="1" applyBorder="1" applyAlignment="1">
      <alignment vertical="center"/>
    </xf>
    <xf numFmtId="0" fontId="61" fillId="2" borderId="1" xfId="0" applyFont="1" applyFill="1" applyBorder="1" applyAlignment="1">
      <alignment horizontal="center" vertical="center" wrapText="1"/>
    </xf>
    <xf numFmtId="0" fontId="61" fillId="2" borderId="1" xfId="0" applyFont="1" applyFill="1" applyBorder="1" applyAlignment="1">
      <alignment vertical="center" wrapText="1"/>
    </xf>
    <xf numFmtId="0" fontId="129" fillId="2" borderId="1" xfId="0" applyFont="1" applyFill="1" applyBorder="1" applyAlignment="1">
      <alignment horizontal="center" vertical="center" wrapText="1"/>
    </xf>
    <xf numFmtId="0" fontId="99" fillId="0" borderId="1" xfId="0" applyFont="1" applyBorder="1" applyAlignment="1">
      <alignment horizontal="center"/>
    </xf>
    <xf numFmtId="0" fontId="99" fillId="0" borderId="1" xfId="0" applyFont="1" applyBorder="1"/>
    <xf numFmtId="166" fontId="130" fillId="0" borderId="1" xfId="1" applyNumberFormat="1" applyFont="1" applyBorder="1"/>
    <xf numFmtId="0" fontId="104" fillId="0" borderId="1" xfId="0" applyFont="1" applyBorder="1"/>
    <xf numFmtId="166" fontId="129" fillId="0" borderId="1" xfId="1" applyNumberFormat="1" applyFont="1" applyBorder="1"/>
    <xf numFmtId="0" fontId="99" fillId="0" borderId="0" xfId="0" applyFont="1"/>
    <xf numFmtId="166" fontId="99" fillId="0" borderId="0" xfId="1" applyNumberFormat="1" applyFont="1"/>
    <xf numFmtId="3" fontId="100" fillId="0" borderId="0" xfId="0" applyNumberFormat="1" applyFont="1"/>
    <xf numFmtId="166" fontId="99" fillId="0" borderId="0" xfId="0" applyNumberFormat="1" applyFont="1"/>
    <xf numFmtId="166" fontId="99" fillId="0" borderId="1" xfId="1" applyNumberFormat="1" applyFont="1" applyBorder="1"/>
    <xf numFmtId="166" fontId="104" fillId="0" borderId="1" xfId="0" applyNumberFormat="1" applyFont="1" applyBorder="1"/>
    <xf numFmtId="0" fontId="98" fillId="12" borderId="28" xfId="0" applyFont="1" applyFill="1" applyBorder="1" applyAlignment="1">
      <alignment horizontal="center" vertical="center"/>
    </xf>
    <xf numFmtId="0" fontId="64" fillId="12" borderId="29" xfId="0" applyFont="1" applyFill="1" applyBorder="1" applyAlignment="1">
      <alignment vertical="center"/>
    </xf>
    <xf numFmtId="0" fontId="74" fillId="12" borderId="0" xfId="0" applyFont="1" applyFill="1"/>
    <xf numFmtId="166" fontId="74" fillId="12" borderId="0" xfId="1" applyNumberFormat="1" applyFont="1" applyFill="1"/>
    <xf numFmtId="0" fontId="0" fillId="12" borderId="0" xfId="0" applyFill="1"/>
    <xf numFmtId="166" fontId="104" fillId="0" borderId="0" xfId="1" applyNumberFormat="1" applyFont="1"/>
    <xf numFmtId="166" fontId="0" fillId="12" borderId="0" xfId="1" applyNumberFormat="1" applyFont="1" applyFill="1"/>
    <xf numFmtId="0" fontId="16" fillId="0" borderId="1" xfId="0" applyFont="1" applyBorder="1" applyAlignment="1">
      <alignment vertical="center" wrapText="1"/>
    </xf>
    <xf numFmtId="0" fontId="87" fillId="12" borderId="28" xfId="0" applyFont="1" applyFill="1" applyBorder="1" applyAlignment="1">
      <alignment horizontal="center" vertical="center"/>
    </xf>
    <xf numFmtId="0" fontId="122" fillId="12" borderId="29" xfId="0" applyFont="1" applyFill="1" applyBorder="1" applyAlignment="1">
      <alignment vertical="center"/>
    </xf>
    <xf numFmtId="166" fontId="87" fillId="12" borderId="29" xfId="1" applyNumberFormat="1" applyFont="1" applyFill="1" applyBorder="1" applyAlignment="1">
      <alignment horizontal="right" vertical="center"/>
    </xf>
    <xf numFmtId="0" fontId="87" fillId="12" borderId="29" xfId="0" applyFont="1" applyFill="1" applyBorder="1" applyAlignment="1">
      <alignment horizontal="center" vertical="center"/>
    </xf>
    <xf numFmtId="0" fontId="123" fillId="12" borderId="0" xfId="0" applyFont="1" applyFill="1"/>
    <xf numFmtId="0" fontId="124" fillId="12" borderId="1" xfId="0" applyFont="1" applyFill="1" applyBorder="1" applyAlignment="1">
      <alignment vertical="center" wrapText="1"/>
    </xf>
    <xf numFmtId="3" fontId="72" fillId="0" borderId="11" xfId="21" applyNumberFormat="1" applyFont="1" applyBorder="1"/>
    <xf numFmtId="0" fontId="6" fillId="3" borderId="11" xfId="21" applyFont="1" applyFill="1" applyBorder="1" applyAlignment="1">
      <alignment wrapText="1"/>
    </xf>
    <xf numFmtId="0" fontId="6" fillId="2" borderId="11" xfId="21" applyFont="1" applyFill="1" applyBorder="1"/>
    <xf numFmtId="0" fontId="6" fillId="2" borderId="11" xfId="21" applyFont="1" applyFill="1" applyBorder="1" applyAlignment="1">
      <alignment wrapText="1"/>
    </xf>
    <xf numFmtId="3" fontId="6" fillId="2" borderId="11" xfId="21" applyNumberFormat="1" applyFont="1" applyFill="1" applyBorder="1"/>
    <xf numFmtId="3" fontId="6" fillId="3" borderId="11" xfId="21" applyNumberFormat="1" applyFont="1" applyFill="1" applyBorder="1"/>
    <xf numFmtId="0" fontId="6" fillId="0" borderId="11" xfId="21" applyFont="1" applyBorder="1" applyAlignment="1">
      <alignment horizontal="left"/>
    </xf>
    <xf numFmtId="0" fontId="37" fillId="0" borderId="50" xfId="21" applyFont="1" applyBorder="1"/>
    <xf numFmtId="0" fontId="33" fillId="0" borderId="50" xfId="21" applyBorder="1"/>
    <xf numFmtId="0" fontId="4" fillId="0" borderId="0" xfId="0" applyFont="1"/>
    <xf numFmtId="0" fontId="90" fillId="0" borderId="0" xfId="0" applyFont="1" applyAlignment="1">
      <alignment horizontal="center" vertical="center" wrapText="1"/>
    </xf>
    <xf numFmtId="0" fontId="131" fillId="0" borderId="11" xfId="0" applyFont="1" applyBorder="1" applyAlignment="1">
      <alignment horizontal="center"/>
    </xf>
    <xf numFmtId="0" fontId="133" fillId="0" borderId="11" xfId="0" applyFont="1" applyBorder="1" applyAlignment="1">
      <alignment horizontal="center"/>
    </xf>
    <xf numFmtId="0" fontId="133" fillId="0" borderId="11" xfId="0" applyFont="1" applyBorder="1" applyAlignment="1">
      <alignment horizontal="left"/>
    </xf>
    <xf numFmtId="3" fontId="133" fillId="0" borderId="11" xfId="0" applyNumberFormat="1" applyFont="1" applyBorder="1" applyAlignment="1">
      <alignment horizontal="right"/>
    </xf>
    <xf numFmtId="3" fontId="4" fillId="0" borderId="11" xfId="0" applyNumberFormat="1" applyFont="1" applyBorder="1" applyAlignment="1">
      <alignment horizontal="right"/>
    </xf>
    <xf numFmtId="0" fontId="131" fillId="0" borderId="0" xfId="0" applyFont="1"/>
    <xf numFmtId="0" fontId="132" fillId="0" borderId="0" xfId="0" applyFont="1"/>
    <xf numFmtId="0" fontId="131" fillId="0" borderId="15" xfId="0" applyFont="1" applyBorder="1"/>
    <xf numFmtId="0" fontId="131" fillId="0" borderId="16" xfId="0" applyFont="1" applyBorder="1"/>
    <xf numFmtId="0" fontId="131" fillId="0" borderId="7" xfId="0" applyFont="1" applyBorder="1"/>
    <xf numFmtId="0" fontId="131" fillId="0" borderId="17" xfId="0" applyFont="1" applyBorder="1"/>
    <xf numFmtId="0" fontId="131" fillId="0" borderId="18" xfId="0" applyFont="1" applyBorder="1"/>
    <xf numFmtId="0" fontId="134" fillId="0" borderId="0" xfId="0" applyFont="1"/>
    <xf numFmtId="0" fontId="133" fillId="3" borderId="11" xfId="0" applyFont="1" applyFill="1" applyBorder="1" applyAlignment="1">
      <alignment horizontal="center"/>
    </xf>
    <xf numFmtId="0" fontId="133" fillId="3" borderId="11" xfId="0" applyFont="1" applyFill="1" applyBorder="1" applyAlignment="1">
      <alignment horizontal="left"/>
    </xf>
    <xf numFmtId="3" fontId="133" fillId="3" borderId="11" xfId="0" applyNumberFormat="1" applyFont="1" applyFill="1" applyBorder="1" applyAlignment="1">
      <alignment horizontal="right"/>
    </xf>
    <xf numFmtId="0" fontId="0" fillId="0" borderId="0" xfId="0" applyAlignment="1">
      <alignment wrapText="1"/>
    </xf>
    <xf numFmtId="0" fontId="0" fillId="0" borderId="0" xfId="0" applyAlignment="1">
      <alignment vertical="center" wrapText="1"/>
    </xf>
    <xf numFmtId="166" fontId="76" fillId="0" borderId="0" xfId="1" applyNumberFormat="1" applyFont="1" applyAlignment="1">
      <alignment vertical="center"/>
    </xf>
    <xf numFmtId="0" fontId="58" fillId="3" borderId="0" xfId="0" applyFont="1" applyFill="1"/>
    <xf numFmtId="0" fontId="133" fillId="3" borderId="11" xfId="0" applyFont="1" applyFill="1" applyBorder="1" applyAlignment="1">
      <alignment horizontal="left" wrapText="1"/>
    </xf>
    <xf numFmtId="0" fontId="133" fillId="0" borderId="11" xfId="0" applyFont="1" applyBorder="1" applyAlignment="1">
      <alignment horizontal="left" wrapText="1"/>
    </xf>
    <xf numFmtId="0" fontId="90" fillId="0" borderId="0" xfId="0" applyFont="1" applyAlignment="1">
      <alignment horizontal="center" vertical="center"/>
    </xf>
    <xf numFmtId="0" fontId="66" fillId="0" borderId="22" xfId="0" applyFont="1" applyBorder="1" applyAlignment="1">
      <alignment vertical="center" wrapText="1"/>
    </xf>
    <xf numFmtId="0" fontId="66" fillId="0" borderId="22" xfId="0" applyFont="1" applyBorder="1" applyAlignment="1">
      <alignment horizontal="center" vertical="center" wrapText="1"/>
    </xf>
    <xf numFmtId="3" fontId="66" fillId="0" borderId="22" xfId="0" applyNumberFormat="1" applyFont="1" applyBorder="1" applyAlignment="1">
      <alignment horizontal="right" vertical="center" wrapText="1"/>
    </xf>
    <xf numFmtId="0" fontId="60" fillId="0" borderId="22" xfId="0" applyFont="1" applyBorder="1" applyAlignment="1">
      <alignment vertical="center" wrapText="1"/>
    </xf>
    <xf numFmtId="0" fontId="82" fillId="0" borderId="0" xfId="0" applyFont="1" applyAlignment="1">
      <alignment horizontal="center" vertical="center" wrapText="1"/>
    </xf>
    <xf numFmtId="0" fontId="60" fillId="0" borderId="32" xfId="0" applyFont="1" applyBorder="1" applyAlignment="1">
      <alignment vertical="center" wrapText="1"/>
    </xf>
    <xf numFmtId="3" fontId="90" fillId="0" borderId="33" xfId="0" applyNumberFormat="1" applyFont="1" applyBorder="1" applyAlignment="1">
      <alignment horizontal="right" vertical="center" wrapText="1"/>
    </xf>
    <xf numFmtId="0" fontId="82" fillId="0" borderId="21" xfId="0" applyFont="1" applyBorder="1" applyAlignment="1">
      <alignment horizontal="center" vertical="center" wrapText="1"/>
    </xf>
    <xf numFmtId="3" fontId="90" fillId="0" borderId="22" xfId="0" applyNumberFormat="1" applyFont="1" applyBorder="1" applyAlignment="1">
      <alignment horizontal="right" vertical="center" wrapText="1"/>
    </xf>
    <xf numFmtId="0" fontId="90" fillId="0" borderId="22" xfId="0" applyFont="1" applyBorder="1" applyAlignment="1">
      <alignment horizontal="right" vertical="center" wrapText="1"/>
    </xf>
    <xf numFmtId="0" fontId="90" fillId="0" borderId="22" xfId="0" applyFont="1" applyBorder="1" applyAlignment="1">
      <alignment horizontal="center" vertical="center" wrapText="1"/>
    </xf>
    <xf numFmtId="0" fontId="60" fillId="0" borderId="0" xfId="0" applyFont="1" applyAlignment="1">
      <alignment horizontal="center" vertical="center" wrapText="1"/>
    </xf>
    <xf numFmtId="0" fontId="93" fillId="0" borderId="0" xfId="0" applyFont="1" applyAlignment="1">
      <alignment horizontal="center" vertical="center" wrapText="1"/>
    </xf>
    <xf numFmtId="0" fontId="90" fillId="0" borderId="24" xfId="0" applyFont="1" applyBorder="1" applyAlignment="1">
      <alignment vertical="center" wrapText="1"/>
    </xf>
    <xf numFmtId="0" fontId="90" fillId="0" borderId="25" xfId="0" applyFont="1" applyBorder="1" applyAlignment="1">
      <alignment vertical="center" wrapText="1"/>
    </xf>
    <xf numFmtId="3" fontId="90" fillId="0" borderId="24" xfId="0" applyNumberFormat="1" applyFont="1" applyBorder="1" applyAlignment="1">
      <alignment vertical="center" wrapText="1"/>
    </xf>
    <xf numFmtId="3" fontId="90" fillId="0" borderId="25" xfId="0" applyNumberFormat="1" applyFont="1" applyBorder="1" applyAlignment="1">
      <alignment vertical="center" wrapText="1"/>
    </xf>
    <xf numFmtId="0" fontId="67" fillId="3" borderId="23" xfId="0" applyFont="1" applyFill="1" applyBorder="1" applyAlignment="1">
      <alignment vertical="center" wrapText="1"/>
    </xf>
    <xf numFmtId="0" fontId="135" fillId="3" borderId="22" xfId="0" applyFont="1" applyFill="1" applyBorder="1" applyAlignment="1">
      <alignment horizontal="center" vertical="center" wrapText="1"/>
    </xf>
    <xf numFmtId="0" fontId="68" fillId="0" borderId="21" xfId="0" applyFont="1" applyBorder="1" applyAlignment="1">
      <alignment horizontal="center" vertical="center" wrapText="1"/>
    </xf>
    <xf numFmtId="0" fontId="136" fillId="0" borderId="22" xfId="0" applyFont="1" applyBorder="1" applyAlignment="1">
      <alignment vertical="center" wrapText="1"/>
    </xf>
    <xf numFmtId="0" fontId="136" fillId="0" borderId="22" xfId="0" applyFont="1" applyBorder="1" applyAlignment="1">
      <alignment horizontal="center" vertical="center" wrapText="1"/>
    </xf>
    <xf numFmtId="3" fontId="136" fillId="0" borderId="22" xfId="0" applyNumberFormat="1" applyFont="1" applyBorder="1" applyAlignment="1">
      <alignment horizontal="right" vertical="center" wrapText="1"/>
    </xf>
    <xf numFmtId="0" fontId="136" fillId="0" borderId="22" xfId="0" applyFont="1" applyBorder="1" applyAlignment="1">
      <alignment horizontal="right" vertical="center" wrapText="1"/>
    </xf>
    <xf numFmtId="0" fontId="68" fillId="0" borderId="22" xfId="0" applyFont="1" applyBorder="1" applyAlignment="1">
      <alignment horizontal="right" vertical="center" wrapText="1"/>
    </xf>
    <xf numFmtId="0" fontId="135" fillId="0" borderId="22" xfId="0" applyFont="1" applyBorder="1" applyAlignment="1">
      <alignment horizontal="center" vertical="center" wrapText="1"/>
    </xf>
    <xf numFmtId="3" fontId="67" fillId="0" borderId="22" xfId="0" applyNumberFormat="1" applyFont="1" applyBorder="1" applyAlignment="1">
      <alignment horizontal="right" vertical="center" wrapText="1"/>
    </xf>
    <xf numFmtId="0" fontId="67" fillId="0" borderId="22" xfId="0" applyFont="1" applyBorder="1" applyAlignment="1">
      <alignment horizontal="right" vertical="center" wrapText="1"/>
    </xf>
    <xf numFmtId="0" fontId="67" fillId="0" borderId="22" xfId="0" applyFont="1" applyBorder="1" applyAlignment="1">
      <alignment horizontal="center" vertical="center" wrapText="1"/>
    </xf>
    <xf numFmtId="0" fontId="67" fillId="3" borderId="24" xfId="0" applyFont="1" applyFill="1" applyBorder="1" applyAlignment="1">
      <alignment vertical="center" wrapText="1"/>
    </xf>
    <xf numFmtId="0" fontId="67" fillId="3" borderId="25" xfId="0" applyFont="1" applyFill="1" applyBorder="1" applyAlignment="1">
      <alignment vertical="center" wrapText="1"/>
    </xf>
    <xf numFmtId="0" fontId="67" fillId="3" borderId="21" xfId="0" applyFont="1" applyFill="1" applyBorder="1" applyAlignment="1">
      <alignment vertical="center" wrapText="1"/>
    </xf>
    <xf numFmtId="0" fontId="67" fillId="0" borderId="24" xfId="0" applyFont="1" applyBorder="1" applyAlignment="1">
      <alignment vertical="center" wrapText="1"/>
    </xf>
    <xf numFmtId="0" fontId="67" fillId="0" borderId="25" xfId="0" applyFont="1" applyBorder="1" applyAlignment="1">
      <alignment vertical="center" wrapText="1"/>
    </xf>
    <xf numFmtId="3" fontId="67" fillId="0" borderId="24" xfId="0" applyNumberFormat="1" applyFont="1" applyBorder="1" applyAlignment="1">
      <alignment vertical="center" wrapText="1"/>
    </xf>
    <xf numFmtId="3" fontId="67" fillId="0" borderId="25" xfId="0" applyNumberFormat="1" applyFont="1" applyBorder="1" applyAlignment="1">
      <alignment vertical="center" wrapText="1"/>
    </xf>
    <xf numFmtId="0" fontId="82" fillId="3" borderId="21" xfId="0" applyFont="1" applyFill="1" applyBorder="1" applyAlignment="1">
      <alignment horizontal="center" vertical="center" wrapText="1"/>
    </xf>
    <xf numFmtId="0" fontId="87" fillId="3" borderId="22" xfId="0" applyFont="1" applyFill="1" applyBorder="1" applyAlignment="1">
      <alignment vertical="center" wrapText="1"/>
    </xf>
    <xf numFmtId="0" fontId="87" fillId="3" borderId="22" xfId="0" applyFont="1" applyFill="1" applyBorder="1" applyAlignment="1">
      <alignment horizontal="center" vertical="center" wrapText="1"/>
    </xf>
    <xf numFmtId="0" fontId="87" fillId="3" borderId="22" xfId="0" applyFont="1" applyFill="1" applyBorder="1" applyAlignment="1">
      <alignment horizontal="right" vertical="center" wrapText="1"/>
    </xf>
    <xf numFmtId="3" fontId="87" fillId="3" borderId="22" xfId="0" applyNumberFormat="1" applyFont="1" applyFill="1" applyBorder="1" applyAlignment="1">
      <alignment horizontal="right" vertical="center" wrapText="1"/>
    </xf>
    <xf numFmtId="0" fontId="82" fillId="3" borderId="22" xfId="0" applyFont="1" applyFill="1" applyBorder="1" applyAlignment="1">
      <alignment horizontal="right" vertical="center" wrapText="1"/>
    </xf>
    <xf numFmtId="0" fontId="82" fillId="2" borderId="21" xfId="0" applyFont="1" applyFill="1" applyBorder="1" applyAlignment="1">
      <alignment horizontal="center" vertical="center" wrapText="1"/>
    </xf>
    <xf numFmtId="0" fontId="87" fillId="2" borderId="22" xfId="0" applyFont="1" applyFill="1" applyBorder="1" applyAlignment="1">
      <alignment vertical="center" wrapText="1"/>
    </xf>
    <xf numFmtId="0" fontId="87" fillId="2" borderId="22" xfId="0" applyFont="1" applyFill="1" applyBorder="1" applyAlignment="1">
      <alignment horizontal="center" vertical="center" wrapText="1"/>
    </xf>
    <xf numFmtId="0" fontId="87" fillId="2" borderId="22" xfId="0" applyFont="1" applyFill="1" applyBorder="1" applyAlignment="1">
      <alignment horizontal="right" vertical="center" wrapText="1"/>
    </xf>
    <xf numFmtId="3" fontId="87" fillId="2" borderId="22" xfId="0" applyNumberFormat="1" applyFont="1" applyFill="1" applyBorder="1" applyAlignment="1">
      <alignment horizontal="right" vertical="center" wrapText="1"/>
    </xf>
    <xf numFmtId="0" fontId="82" fillId="2" borderId="22" xfId="0" applyFont="1" applyFill="1" applyBorder="1" applyAlignment="1">
      <alignment horizontal="right" vertical="center" wrapText="1"/>
    </xf>
    <xf numFmtId="0" fontId="60" fillId="3" borderId="21" xfId="0" applyFont="1" applyFill="1" applyBorder="1" applyAlignment="1">
      <alignment horizontal="center" vertical="center" wrapText="1"/>
    </xf>
    <xf numFmtId="0" fontId="66" fillId="3" borderId="22" xfId="0" applyFont="1" applyFill="1" applyBorder="1" applyAlignment="1">
      <alignment vertical="center" wrapText="1"/>
    </xf>
    <xf numFmtId="0" fontId="66" fillId="3" borderId="22" xfId="0" applyFont="1" applyFill="1" applyBorder="1" applyAlignment="1">
      <alignment horizontal="center" vertical="center" wrapText="1"/>
    </xf>
    <xf numFmtId="0" fontId="66" fillId="3" borderId="22" xfId="0" applyFont="1" applyFill="1" applyBorder="1" applyAlignment="1">
      <alignment horizontal="right" vertical="center" wrapText="1"/>
    </xf>
    <xf numFmtId="3" fontId="66" fillId="3" borderId="22" xfId="0" applyNumberFormat="1" applyFont="1" applyFill="1" applyBorder="1" applyAlignment="1">
      <alignment horizontal="right" vertical="center" wrapText="1"/>
    </xf>
    <xf numFmtId="0" fontId="60" fillId="3" borderId="22" xfId="0" applyFont="1" applyFill="1" applyBorder="1" applyAlignment="1">
      <alignment horizontal="right" vertical="center" wrapText="1"/>
    </xf>
    <xf numFmtId="0" fontId="40" fillId="3" borderId="35" xfId="0" applyFont="1" applyFill="1" applyBorder="1" applyAlignment="1">
      <alignment horizontal="center" vertical="center" wrapText="1"/>
    </xf>
    <xf numFmtId="0" fontId="66" fillId="0" borderId="38" xfId="0" applyFont="1" applyBorder="1" applyAlignment="1">
      <alignment horizontal="center" vertical="center" wrapText="1"/>
    </xf>
    <xf numFmtId="0" fontId="66" fillId="0" borderId="38" xfId="0" applyFont="1" applyBorder="1" applyAlignment="1">
      <alignment vertical="center" wrapText="1"/>
    </xf>
    <xf numFmtId="3" fontId="66" fillId="0" borderId="39" xfId="0" applyNumberFormat="1" applyFont="1" applyBorder="1" applyAlignment="1">
      <alignment horizontal="right" vertical="center" wrapText="1"/>
    </xf>
    <xf numFmtId="0" fontId="66" fillId="0" borderId="40" xfId="0" applyFont="1" applyBorder="1" applyAlignment="1">
      <alignment horizontal="right" vertical="center" wrapText="1"/>
    </xf>
    <xf numFmtId="0" fontId="66" fillId="0" borderId="21" xfId="0" applyFont="1" applyBorder="1" applyAlignment="1">
      <alignment horizontal="center" vertical="center" wrapText="1"/>
    </xf>
    <xf numFmtId="0" fontId="13" fillId="0" borderId="22" xfId="0" applyFont="1" applyBorder="1" applyAlignment="1">
      <alignment horizontal="center" vertical="center" wrapText="1"/>
    </xf>
    <xf numFmtId="3" fontId="13" fillId="0" borderId="34" xfId="0" applyNumberFormat="1" applyFont="1" applyBorder="1" applyAlignment="1">
      <alignment horizontal="right" vertical="center" wrapText="1"/>
    </xf>
    <xf numFmtId="0" fontId="8" fillId="0" borderId="0" xfId="0" applyFont="1" applyAlignment="1">
      <alignment horizontal="center" vertical="center" wrapText="1"/>
    </xf>
    <xf numFmtId="0" fontId="39" fillId="0" borderId="0" xfId="0" applyFont="1" applyAlignment="1">
      <alignment horizontal="center" vertical="center" wrapText="1"/>
    </xf>
    <xf numFmtId="0" fontId="41" fillId="0" borderId="30" xfId="0" applyFont="1" applyBorder="1" applyAlignment="1">
      <alignment horizontal="center" vertical="center" wrapText="1"/>
    </xf>
    <xf numFmtId="0" fontId="87" fillId="4" borderId="31" xfId="0" applyFont="1" applyFill="1" applyBorder="1" applyAlignment="1">
      <alignment vertical="center" wrapText="1"/>
    </xf>
    <xf numFmtId="0" fontId="87" fillId="4" borderId="34" xfId="0" applyFont="1" applyFill="1" applyBorder="1" applyAlignment="1">
      <alignment horizontal="center" vertical="center" wrapText="1"/>
    </xf>
    <xf numFmtId="3" fontId="87" fillId="4" borderId="34" xfId="0" applyNumberFormat="1" applyFont="1" applyFill="1" applyBorder="1" applyAlignment="1">
      <alignment horizontal="right" vertical="center" wrapText="1"/>
    </xf>
    <xf numFmtId="0" fontId="87" fillId="4" borderId="33" xfId="0" applyFont="1" applyFill="1" applyBorder="1" applyAlignment="1">
      <alignment vertical="center" wrapText="1"/>
    </xf>
    <xf numFmtId="3" fontId="13" fillId="0" borderId="43" xfId="0" applyNumberFormat="1" applyFont="1" applyBorder="1" applyAlignment="1">
      <alignment horizontal="right" vertical="center" wrapText="1"/>
    </xf>
    <xf numFmtId="0" fontId="39" fillId="3" borderId="35" xfId="0" applyFont="1" applyFill="1" applyBorder="1" applyAlignment="1">
      <alignment horizontal="center" vertical="center" wrapText="1"/>
    </xf>
    <xf numFmtId="0" fontId="39" fillId="3" borderId="36" xfId="0" applyFont="1" applyFill="1" applyBorder="1" applyAlignment="1">
      <alignment horizontal="center" vertical="center" wrapText="1"/>
    </xf>
    <xf numFmtId="0" fontId="66" fillId="0" borderId="30" xfId="0" applyFont="1" applyBorder="1" applyAlignment="1">
      <alignment vertical="center" wrapText="1"/>
    </xf>
    <xf numFmtId="0" fontId="66" fillId="0" borderId="30" xfId="0" applyFont="1" applyBorder="1" applyAlignment="1">
      <alignment horizontal="center" vertical="center" wrapText="1"/>
    </xf>
    <xf numFmtId="0" fontId="16" fillId="0" borderId="22" xfId="0" applyFont="1" applyBorder="1" applyAlignment="1">
      <alignment vertical="center" wrapText="1"/>
    </xf>
    <xf numFmtId="0" fontId="44" fillId="0" borderId="0" xfId="0" applyFont="1" applyAlignment="1">
      <alignment vertical="center"/>
    </xf>
    <xf numFmtId="0" fontId="39" fillId="3" borderId="30" xfId="0" applyFont="1" applyFill="1" applyBorder="1" applyAlignment="1">
      <alignment vertical="center" wrapText="1"/>
    </xf>
    <xf numFmtId="0" fontId="39" fillId="3" borderId="31" xfId="0" applyFont="1" applyFill="1" applyBorder="1" applyAlignment="1">
      <alignment horizontal="center" vertical="center" wrapText="1"/>
    </xf>
    <xf numFmtId="0" fontId="41" fillId="4" borderId="31" xfId="0" applyFont="1" applyFill="1" applyBorder="1" applyAlignment="1">
      <alignment vertical="center" wrapText="1"/>
    </xf>
    <xf numFmtId="0" fontId="41" fillId="4" borderId="34" xfId="0" applyFont="1" applyFill="1" applyBorder="1" applyAlignment="1">
      <alignment horizontal="center" vertical="center" wrapText="1"/>
    </xf>
    <xf numFmtId="0" fontId="41" fillId="4" borderId="34" xfId="0" applyFont="1" applyFill="1" applyBorder="1" applyAlignment="1">
      <alignment horizontal="right" vertical="center" wrapText="1"/>
    </xf>
    <xf numFmtId="0" fontId="41" fillId="4" borderId="33" xfId="0" applyFont="1" applyFill="1" applyBorder="1" applyAlignment="1">
      <alignment vertical="center" wrapText="1"/>
    </xf>
    <xf numFmtId="0" fontId="13" fillId="0" borderId="43" xfId="0" applyFont="1" applyBorder="1" applyAlignment="1">
      <alignment horizontal="right" vertical="center" wrapText="1"/>
    </xf>
    <xf numFmtId="3" fontId="39" fillId="0" borderId="22" xfId="0" applyNumberFormat="1" applyFont="1" applyBorder="1" applyAlignment="1">
      <alignment horizontal="right" vertical="center" wrapText="1"/>
    </xf>
    <xf numFmtId="3" fontId="8" fillId="0" borderId="31" xfId="0" applyNumberFormat="1" applyFont="1" applyBorder="1" applyAlignment="1">
      <alignment horizontal="right" vertical="center" wrapText="1"/>
    </xf>
    <xf numFmtId="3" fontId="8" fillId="0" borderId="33" xfId="0" applyNumberFormat="1" applyFont="1" applyBorder="1" applyAlignment="1">
      <alignment horizontal="right" vertical="center" wrapText="1"/>
    </xf>
    <xf numFmtId="3" fontId="13" fillId="0" borderId="42" xfId="0" applyNumberFormat="1" applyFont="1" applyBorder="1" applyAlignment="1">
      <alignment vertical="center" wrapText="1"/>
    </xf>
    <xf numFmtId="0" fontId="13" fillId="0" borderId="52" xfId="0" applyFont="1" applyBorder="1" applyAlignment="1">
      <alignment vertical="center" wrapText="1"/>
    </xf>
    <xf numFmtId="0" fontId="13" fillId="0" borderId="53" xfId="0" applyFont="1" applyBorder="1" applyAlignment="1">
      <alignment vertical="center" wrapText="1"/>
    </xf>
    <xf numFmtId="0" fontId="125" fillId="12" borderId="0" xfId="0" applyFont="1" applyFill="1"/>
    <xf numFmtId="0" fontId="40" fillId="12" borderId="37" xfId="0" applyFont="1" applyFill="1" applyBorder="1" applyAlignment="1">
      <alignment vertical="center" wrapText="1"/>
    </xf>
    <xf numFmtId="0" fontId="40" fillId="12" borderId="34" xfId="0" applyFont="1" applyFill="1" applyBorder="1" applyAlignment="1">
      <alignment horizontal="center" vertical="center" wrapText="1"/>
    </xf>
    <xf numFmtId="3" fontId="16" fillId="12" borderId="34" xfId="0" applyNumberFormat="1" applyFont="1" applyFill="1" applyBorder="1" applyAlignment="1">
      <alignment horizontal="right" vertical="center" wrapText="1"/>
    </xf>
    <xf numFmtId="0" fontId="16" fillId="12" borderId="34" xfId="0" applyFont="1" applyFill="1" applyBorder="1" applyAlignment="1">
      <alignment horizontal="right" vertical="center" wrapText="1"/>
    </xf>
    <xf numFmtId="0" fontId="16" fillId="12" borderId="40" xfId="0" applyFont="1" applyFill="1" applyBorder="1" applyAlignment="1">
      <alignment horizontal="right" vertical="center" wrapText="1"/>
    </xf>
    <xf numFmtId="0" fontId="16" fillId="12" borderId="22" xfId="0" applyFont="1" applyFill="1" applyBorder="1" applyAlignment="1">
      <alignment horizontal="right" vertical="center" wrapText="1"/>
    </xf>
    <xf numFmtId="3" fontId="13" fillId="12" borderId="34" xfId="0" applyNumberFormat="1" applyFont="1" applyFill="1" applyBorder="1" applyAlignment="1">
      <alignment horizontal="right" vertical="center" wrapText="1"/>
    </xf>
    <xf numFmtId="3" fontId="13" fillId="12" borderId="37" xfId="0" applyNumberFormat="1" applyFont="1" applyFill="1" applyBorder="1" applyAlignment="1">
      <alignment vertical="center" wrapText="1"/>
    </xf>
    <xf numFmtId="0" fontId="40" fillId="12" borderId="51" xfId="0" applyFont="1" applyFill="1" applyBorder="1" applyAlignment="1">
      <alignment horizontal="center" vertical="center" wrapText="1"/>
    </xf>
    <xf numFmtId="0" fontId="41" fillId="12" borderId="37" xfId="0" applyFont="1" applyFill="1" applyBorder="1" applyAlignment="1">
      <alignment horizontal="right" vertical="center" wrapText="1"/>
    </xf>
    <xf numFmtId="0" fontId="41" fillId="12" borderId="34" xfId="0" applyFont="1" applyFill="1" applyBorder="1" applyAlignment="1">
      <alignment horizontal="right" vertical="center" wrapText="1"/>
    </xf>
    <xf numFmtId="0" fontId="13" fillId="12" borderId="33" xfId="0" applyFont="1" applyFill="1" applyBorder="1" applyAlignment="1">
      <alignment vertical="center" wrapText="1"/>
    </xf>
    <xf numFmtId="0" fontId="39" fillId="12" borderId="51" xfId="0" applyFont="1" applyFill="1" applyBorder="1" applyAlignment="1">
      <alignment horizontal="center" vertical="center" wrapText="1"/>
    </xf>
    <xf numFmtId="0" fontId="16" fillId="12" borderId="37" xfId="0" applyFont="1" applyFill="1" applyBorder="1" applyAlignment="1">
      <alignment vertical="center" wrapText="1"/>
    </xf>
    <xf numFmtId="0" fontId="16" fillId="12" borderId="34" xfId="0" applyFont="1" applyFill="1" applyBorder="1" applyAlignment="1">
      <alignment vertical="center" wrapText="1"/>
    </xf>
    <xf numFmtId="0" fontId="13" fillId="12" borderId="34" xfId="0" applyFont="1" applyFill="1" applyBorder="1" applyAlignment="1">
      <alignment horizontal="right" vertical="center" wrapText="1"/>
    </xf>
    <xf numFmtId="0" fontId="13" fillId="12" borderId="37" xfId="0" applyFont="1" applyFill="1" applyBorder="1" applyAlignment="1">
      <alignment vertical="center" wrapText="1"/>
    </xf>
    <xf numFmtId="0" fontId="39" fillId="12" borderId="22" xfId="0" applyFont="1" applyFill="1" applyBorder="1" applyAlignment="1">
      <alignment horizontal="right" vertical="center" wrapText="1"/>
    </xf>
    <xf numFmtId="166" fontId="16" fillId="12" borderId="34" xfId="1" applyNumberFormat="1" applyFont="1" applyFill="1" applyBorder="1" applyAlignment="1">
      <alignment horizontal="right" vertical="center" wrapText="1"/>
    </xf>
    <xf numFmtId="0" fontId="62" fillId="3" borderId="54" xfId="0" applyFont="1" applyFill="1" applyBorder="1" applyAlignment="1">
      <alignment vertical="center" wrapText="1"/>
    </xf>
    <xf numFmtId="0" fontId="62" fillId="3" borderId="25" xfId="0" applyFont="1" applyFill="1" applyBorder="1" applyAlignment="1">
      <alignment horizontal="center" vertical="center" wrapText="1"/>
    </xf>
    <xf numFmtId="0" fontId="91" fillId="0" borderId="22" xfId="0" applyFont="1" applyBorder="1" applyAlignment="1">
      <alignment vertical="center" wrapText="1"/>
    </xf>
    <xf numFmtId="0" fontId="91" fillId="0" borderId="22" xfId="0" applyFont="1" applyBorder="1" applyAlignment="1">
      <alignment horizontal="center" vertical="center" wrapText="1"/>
    </xf>
    <xf numFmtId="3" fontId="91" fillId="0" borderId="22" xfId="0" applyNumberFormat="1" applyFont="1" applyBorder="1" applyAlignment="1">
      <alignment horizontal="right" vertical="center" wrapText="1"/>
    </xf>
    <xf numFmtId="0" fontId="6" fillId="0" borderId="11" xfId="0" applyFont="1" applyBorder="1" applyAlignment="1">
      <alignment horizontal="left" wrapText="1"/>
    </xf>
    <xf numFmtId="0" fontId="61" fillId="3" borderId="23" xfId="0" applyFont="1" applyFill="1" applyBorder="1" applyAlignment="1">
      <alignment vertical="center" wrapText="1"/>
    </xf>
    <xf numFmtId="0" fontId="60" fillId="0" borderId="38" xfId="0" applyFont="1" applyBorder="1" applyAlignment="1">
      <alignment horizontal="center" vertical="center" wrapText="1"/>
    </xf>
    <xf numFmtId="0" fontId="87" fillId="0" borderId="38" xfId="0" applyFont="1" applyBorder="1" applyAlignment="1">
      <alignment vertical="center" wrapText="1"/>
    </xf>
    <xf numFmtId="0" fontId="87" fillId="0" borderId="39" xfId="0" applyFont="1" applyBorder="1" applyAlignment="1">
      <alignment horizontal="right" vertical="center" wrapText="1"/>
    </xf>
    <xf numFmtId="0" fontId="96" fillId="0" borderId="34" xfId="0" applyFont="1" applyBorder="1" applyAlignment="1">
      <alignment horizontal="right" vertical="center" wrapText="1"/>
    </xf>
    <xf numFmtId="0" fontId="82" fillId="0" borderId="38" xfId="0" applyFont="1" applyBorder="1" applyAlignment="1">
      <alignment horizontal="center" vertical="center" wrapText="1"/>
    </xf>
    <xf numFmtId="0" fontId="92" fillId="0" borderId="34" xfId="0" applyFont="1" applyBorder="1" applyAlignment="1">
      <alignment horizontal="right" vertical="center" wrapText="1"/>
    </xf>
    <xf numFmtId="0" fontId="87" fillId="12" borderId="22" xfId="0" applyFont="1" applyFill="1" applyBorder="1" applyAlignment="1">
      <alignment horizontal="center" vertical="center" wrapText="1"/>
    </xf>
    <xf numFmtId="0" fontId="66" fillId="12" borderId="34" xfId="0" applyFont="1" applyFill="1" applyBorder="1" applyAlignment="1">
      <alignment horizontal="right" vertical="center" wrapText="1"/>
    </xf>
    <xf numFmtId="0" fontId="87" fillId="12" borderId="34" xfId="0" applyFont="1" applyFill="1" applyBorder="1" applyAlignment="1">
      <alignment horizontal="right" vertical="center" wrapText="1"/>
    </xf>
    <xf numFmtId="0" fontId="99" fillId="12" borderId="34" xfId="0" applyFont="1" applyFill="1" applyBorder="1" applyAlignment="1">
      <alignment horizontal="right" vertical="center" wrapText="1"/>
    </xf>
    <xf numFmtId="0" fontId="99" fillId="12" borderId="40" xfId="0" applyFont="1" applyFill="1" applyBorder="1" applyAlignment="1">
      <alignment horizontal="right" vertical="center" wrapText="1"/>
    </xf>
    <xf numFmtId="0" fontId="87" fillId="12" borderId="40" xfId="0" applyFont="1" applyFill="1" applyBorder="1" applyAlignment="1">
      <alignment horizontal="right" vertical="center" wrapText="1"/>
    </xf>
    <xf numFmtId="0" fontId="66" fillId="12" borderId="40" xfId="0" applyFont="1" applyFill="1" applyBorder="1" applyAlignment="1">
      <alignment horizontal="right" vertical="center" wrapText="1"/>
    </xf>
    <xf numFmtId="0" fontId="96" fillId="12" borderId="22" xfId="0" applyFont="1" applyFill="1" applyBorder="1" applyAlignment="1">
      <alignment horizontal="right" vertical="center" wrapText="1"/>
    </xf>
    <xf numFmtId="0" fontId="92" fillId="12" borderId="22" xfId="0" applyFont="1" applyFill="1" applyBorder="1" applyAlignment="1">
      <alignment horizontal="right" vertical="center" wrapText="1"/>
    </xf>
    <xf numFmtId="0" fontId="61" fillId="3" borderId="24" xfId="0" applyFont="1" applyFill="1" applyBorder="1" applyAlignment="1">
      <alignment vertical="center" wrapText="1"/>
    </xf>
    <xf numFmtId="0" fontId="61" fillId="3" borderId="25" xfId="0" applyFont="1" applyFill="1" applyBorder="1" applyAlignment="1">
      <alignment vertical="center" wrapText="1"/>
    </xf>
    <xf numFmtId="0" fontId="61" fillId="3" borderId="21" xfId="0" applyFont="1" applyFill="1" applyBorder="1" applyAlignment="1">
      <alignment vertical="center" wrapText="1"/>
    </xf>
    <xf numFmtId="0" fontId="62" fillId="0" borderId="55" xfId="0" applyFont="1" applyBorder="1" applyAlignment="1">
      <alignment vertical="center" wrapText="1"/>
    </xf>
    <xf numFmtId="0" fontId="62" fillId="0" borderId="56" xfId="0" applyFont="1" applyBorder="1" applyAlignment="1">
      <alignment vertical="center" wrapText="1"/>
    </xf>
    <xf numFmtId="0" fontId="96" fillId="0" borderId="55" xfId="0" applyFont="1" applyBorder="1" applyAlignment="1">
      <alignment vertical="center" wrapText="1"/>
    </xf>
    <xf numFmtId="0" fontId="96" fillId="0" borderId="56" xfId="0" applyFont="1" applyBorder="1" applyAlignment="1">
      <alignment vertical="center" wrapText="1"/>
    </xf>
    <xf numFmtId="0" fontId="90" fillId="0" borderId="55" xfId="0" applyFont="1" applyBorder="1" applyAlignment="1">
      <alignment vertical="center" wrapText="1"/>
    </xf>
    <xf numFmtId="0" fontId="90" fillId="0" borderId="56" xfId="0" applyFont="1" applyBorder="1" applyAlignment="1">
      <alignment vertical="center" wrapText="1"/>
    </xf>
    <xf numFmtId="0" fontId="92" fillId="0" borderId="55" xfId="0" applyFont="1" applyBorder="1" applyAlignment="1">
      <alignment vertical="center" wrapText="1"/>
    </xf>
    <xf numFmtId="0" fontId="92" fillId="0" borderId="56" xfId="0" applyFont="1" applyBorder="1" applyAlignment="1">
      <alignment vertical="center" wrapText="1"/>
    </xf>
    <xf numFmtId="0" fontId="4" fillId="0" borderId="57" xfId="0" applyFont="1" applyBorder="1" applyAlignment="1" applyProtection="1">
      <alignment horizontal="center" vertical="center" wrapText="1"/>
      <protection locked="0"/>
    </xf>
    <xf numFmtId="0" fontId="13" fillId="0" borderId="57" xfId="0" applyFont="1" applyBorder="1" applyAlignment="1" applyProtection="1">
      <alignment horizontal="center" vertical="center" wrapText="1"/>
      <protection locked="0"/>
    </xf>
    <xf numFmtId="3" fontId="67" fillId="2" borderId="1" xfId="0" applyNumberFormat="1" applyFont="1" applyFill="1" applyBorder="1" applyAlignment="1">
      <alignment horizontal="left" vertical="center" wrapText="1"/>
    </xf>
    <xf numFmtId="0" fontId="61" fillId="10" borderId="57" xfId="0" applyFont="1" applyFill="1" applyBorder="1" applyAlignment="1">
      <alignment horizontal="centerContinuous" vertical="center" wrapText="1"/>
    </xf>
    <xf numFmtId="0" fontId="61" fillId="10" borderId="9" xfId="0" applyFont="1" applyFill="1" applyBorder="1" applyAlignment="1">
      <alignment horizontal="center" vertical="center" wrapText="1"/>
    </xf>
    <xf numFmtId="0" fontId="104" fillId="10" borderId="58" xfId="0" applyFont="1" applyFill="1" applyBorder="1" applyAlignment="1">
      <alignment horizontal="center" vertical="center" wrapText="1"/>
    </xf>
    <xf numFmtId="0" fontId="61" fillId="10" borderId="58" xfId="0" applyFont="1" applyFill="1" applyBorder="1" applyAlignment="1">
      <alignment horizontal="center" vertical="center" wrapText="1"/>
    </xf>
    <xf numFmtId="0" fontId="80" fillId="0" borderId="48" xfId="0" applyFont="1" applyBorder="1" applyAlignment="1">
      <alignment horizontal="center" vertical="center" wrapText="1"/>
    </xf>
    <xf numFmtId="3" fontId="117" fillId="0" borderId="0" xfId="0" applyNumberFormat="1" applyFont="1" applyAlignment="1">
      <alignment horizontal="center" vertical="center" wrapText="1"/>
    </xf>
    <xf numFmtId="3" fontId="80" fillId="0" borderId="59" xfId="0" applyNumberFormat="1" applyFont="1" applyBorder="1" applyAlignment="1">
      <alignment horizontal="center" vertical="center" wrapText="1"/>
    </xf>
    <xf numFmtId="3" fontId="80" fillId="0" borderId="58" xfId="0" applyNumberFormat="1" applyFont="1" applyBorder="1" applyAlignment="1">
      <alignment horizontal="center" vertical="center" wrapText="1"/>
    </xf>
    <xf numFmtId="3" fontId="80" fillId="0" borderId="0" xfId="0" applyNumberFormat="1" applyFont="1" applyAlignment="1">
      <alignment horizontal="center" vertical="center" wrapText="1"/>
    </xf>
    <xf numFmtId="3" fontId="91" fillId="0" borderId="0" xfId="0" applyNumberFormat="1" applyFont="1" applyAlignment="1">
      <alignment horizontal="right" vertical="center" wrapText="1"/>
    </xf>
    <xf numFmtId="174" fontId="99" fillId="0" borderId="0" xfId="1" applyNumberFormat="1" applyFont="1" applyAlignment="1">
      <alignment vertical="center"/>
    </xf>
    <xf numFmtId="3" fontId="91" fillId="0" borderId="58" xfId="0" applyNumberFormat="1" applyFont="1" applyBorder="1" applyAlignment="1">
      <alignment horizontal="right" vertical="center" wrapText="1"/>
    </xf>
    <xf numFmtId="3" fontId="91" fillId="0" borderId="0" xfId="0" applyNumberFormat="1" applyFont="1" applyAlignment="1">
      <alignment wrapText="1"/>
    </xf>
    <xf numFmtId="0" fontId="91" fillId="0" borderId="0" xfId="0" applyFont="1" applyAlignment="1">
      <alignment wrapText="1"/>
    </xf>
    <xf numFmtId="174" fontId="99" fillId="0" borderId="0" xfId="1" applyNumberFormat="1" applyFont="1"/>
    <xf numFmtId="174" fontId="104" fillId="0" borderId="0" xfId="1" applyNumberFormat="1" applyFont="1"/>
    <xf numFmtId="174" fontId="104" fillId="0" borderId="0" xfId="1" applyNumberFormat="1" applyFont="1" applyAlignment="1">
      <alignment vertical="center"/>
    </xf>
    <xf numFmtId="10" fontId="91" fillId="0" borderId="0" xfId="22" applyNumberFormat="1" applyFont="1" applyAlignment="1">
      <alignment vertical="center" wrapText="1"/>
    </xf>
    <xf numFmtId="166" fontId="91" fillId="0" borderId="0" xfId="0" applyNumberFormat="1" applyFont="1" applyAlignment="1">
      <alignment vertical="center" wrapText="1"/>
    </xf>
    <xf numFmtId="0" fontId="91" fillId="0" borderId="0" xfId="0" applyFont="1"/>
    <xf numFmtId="3" fontId="61" fillId="0" borderId="58" xfId="0" applyNumberFormat="1" applyFont="1" applyBorder="1" applyAlignment="1">
      <alignment horizontal="right" vertical="center" wrapText="1"/>
    </xf>
    <xf numFmtId="3" fontId="61" fillId="0" borderId="0" xfId="0" applyNumberFormat="1" applyFont="1" applyAlignment="1">
      <alignment wrapText="1"/>
    </xf>
    <xf numFmtId="3" fontId="61" fillId="0" borderId="0" xfId="0" applyNumberFormat="1" applyFont="1" applyAlignment="1">
      <alignment vertical="center" wrapText="1"/>
    </xf>
    <xf numFmtId="173" fontId="61" fillId="0" borderId="0" xfId="22" applyNumberFormat="1" applyFont="1" applyFill="1" applyBorder="1" applyAlignment="1">
      <alignment horizontal="right" vertical="center" wrapText="1"/>
    </xf>
    <xf numFmtId="173" fontId="104" fillId="0" borderId="0" xfId="22" applyNumberFormat="1" applyFont="1"/>
    <xf numFmtId="166" fontId="61" fillId="0" borderId="0" xfId="0" applyNumberFormat="1" applyFont="1" applyAlignment="1">
      <alignment vertical="center" wrapText="1"/>
    </xf>
    <xf numFmtId="174" fontId="91" fillId="0" borderId="0" xfId="0" applyNumberFormat="1" applyFont="1" applyAlignment="1">
      <alignment vertical="center" wrapText="1"/>
    </xf>
    <xf numFmtId="43" fontId="91" fillId="0" borderId="0" xfId="0" applyNumberFormat="1" applyFont="1" applyAlignment="1">
      <alignment vertical="center" wrapText="1"/>
    </xf>
    <xf numFmtId="9" fontId="61" fillId="0" borderId="0" xfId="22" applyFont="1" applyBorder="1" applyAlignment="1">
      <alignment vertical="center" wrapText="1"/>
    </xf>
    <xf numFmtId="166" fontId="138" fillId="0" borderId="1" xfId="1" applyNumberFormat="1" applyFont="1" applyBorder="1"/>
    <xf numFmtId="0" fontId="91" fillId="3" borderId="10" xfId="0" applyFont="1" applyFill="1" applyBorder="1" applyAlignment="1">
      <alignment horizontal="center" vertical="center" wrapText="1"/>
    </xf>
    <xf numFmtId="0" fontId="91" fillId="3" borderId="10" xfId="0" applyFont="1" applyFill="1" applyBorder="1" applyAlignment="1">
      <alignment vertical="center"/>
    </xf>
    <xf numFmtId="9" fontId="91" fillId="3" borderId="10" xfId="22" applyFont="1" applyFill="1" applyBorder="1" applyAlignment="1">
      <alignment vertical="center" wrapText="1"/>
    </xf>
    <xf numFmtId="9" fontId="91" fillId="3" borderId="0" xfId="22" applyFont="1" applyFill="1" applyBorder="1" applyAlignment="1">
      <alignment vertical="center" wrapText="1"/>
    </xf>
    <xf numFmtId="0" fontId="91" fillId="3" borderId="0" xfId="0" applyFont="1" applyFill="1" applyAlignment="1">
      <alignment vertical="center"/>
    </xf>
    <xf numFmtId="9" fontId="0" fillId="0" borderId="0" xfId="22" applyFont="1"/>
    <xf numFmtId="0" fontId="101" fillId="0" borderId="1" xfId="0" applyFont="1" applyBorder="1" applyAlignment="1">
      <alignment vertical="center" wrapText="1"/>
    </xf>
    <xf numFmtId="0" fontId="100" fillId="0" borderId="0" xfId="0" applyFont="1"/>
    <xf numFmtId="0" fontId="140" fillId="13" borderId="12" xfId="0" applyFont="1" applyFill="1" applyBorder="1" applyAlignment="1" applyProtection="1">
      <alignment vertical="center" wrapText="1"/>
      <protection locked="0"/>
    </xf>
    <xf numFmtId="0" fontId="72" fillId="14" borderId="13" xfId="0" applyFont="1" applyFill="1" applyBorder="1" applyAlignment="1">
      <alignment vertical="center" wrapText="1"/>
    </xf>
    <xf numFmtId="0" fontId="72" fillId="14" borderId="4" xfId="0" applyFont="1" applyFill="1" applyBorder="1" applyAlignment="1">
      <alignment vertical="center" wrapText="1"/>
    </xf>
    <xf numFmtId="49" fontId="75" fillId="14" borderId="13" xfId="0" applyNumberFormat="1" applyFont="1" applyFill="1" applyBorder="1" applyAlignment="1">
      <alignment vertical="center" wrapText="1"/>
    </xf>
    <xf numFmtId="49" fontId="75" fillId="14" borderId="4" xfId="0" applyNumberFormat="1" applyFont="1" applyFill="1" applyBorder="1" applyAlignment="1">
      <alignment vertical="center" wrapText="1"/>
    </xf>
    <xf numFmtId="49" fontId="72" fillId="14" borderId="13" xfId="0" applyNumberFormat="1" applyFont="1" applyFill="1" applyBorder="1" applyAlignment="1">
      <alignment vertical="center" wrapText="1"/>
    </xf>
    <xf numFmtId="49" fontId="72" fillId="14" borderId="4" xfId="0" applyNumberFormat="1" applyFont="1" applyFill="1" applyBorder="1" applyAlignment="1">
      <alignment vertical="center" wrapText="1"/>
    </xf>
    <xf numFmtId="49" fontId="89" fillId="14" borderId="1" xfId="0" applyNumberFormat="1" applyFont="1" applyFill="1" applyBorder="1" applyAlignment="1">
      <alignment horizontal="center" vertical="center" wrapText="1"/>
    </xf>
    <xf numFmtId="49" fontId="135" fillId="14" borderId="1" xfId="0" applyNumberFormat="1" applyFont="1" applyFill="1" applyBorder="1" applyAlignment="1">
      <alignment horizontal="center" vertical="center" wrapText="1"/>
    </xf>
    <xf numFmtId="49" fontId="72" fillId="15" borderId="6" xfId="0" applyNumberFormat="1" applyFont="1" applyFill="1" applyBorder="1" applyAlignment="1">
      <alignment horizontal="center" vertical="center" wrapText="1"/>
    </xf>
    <xf numFmtId="49" fontId="72" fillId="9" borderId="6" xfId="0" applyNumberFormat="1" applyFont="1" applyFill="1" applyBorder="1" applyAlignment="1">
      <alignment horizontal="center" vertical="center" wrapText="1"/>
    </xf>
    <xf numFmtId="49" fontId="135" fillId="15" borderId="6" xfId="0" applyNumberFormat="1" applyFont="1" applyFill="1" applyBorder="1" applyAlignment="1">
      <alignment horizontal="center" vertical="center" wrapText="1"/>
    </xf>
    <xf numFmtId="0" fontId="58" fillId="2" borderId="0" xfId="0" applyFont="1" applyFill="1" applyAlignment="1">
      <alignment vertical="center"/>
    </xf>
    <xf numFmtId="0" fontId="75" fillId="0" borderId="0" xfId="0" applyFont="1"/>
    <xf numFmtId="168" fontId="0" fillId="0" borderId="0" xfId="1" applyNumberFormat="1" applyFont="1"/>
    <xf numFmtId="168" fontId="66" fillId="0" borderId="0" xfId="1" applyNumberFormat="1" applyFont="1"/>
    <xf numFmtId="9" fontId="139" fillId="0" borderId="0" xfId="22" applyFont="1"/>
    <xf numFmtId="0" fontId="82" fillId="0" borderId="0" xfId="0" applyFont="1"/>
    <xf numFmtId="9" fontId="76" fillId="0" borderId="0" xfId="0" applyNumberFormat="1" applyFont="1"/>
    <xf numFmtId="168" fontId="58" fillId="3" borderId="0" xfId="0" applyNumberFormat="1" applyFont="1" applyFill="1"/>
    <xf numFmtId="166" fontId="58" fillId="3" borderId="0" xfId="0" applyNumberFormat="1" applyFont="1" applyFill="1"/>
    <xf numFmtId="166" fontId="123" fillId="0" borderId="0" xfId="1" applyNumberFormat="1" applyFont="1"/>
    <xf numFmtId="166" fontId="61" fillId="2" borderId="1" xfId="1" applyNumberFormat="1" applyFont="1" applyFill="1" applyBorder="1" applyAlignment="1">
      <alignment horizontal="center" vertical="center" wrapText="1"/>
    </xf>
    <xf numFmtId="166" fontId="100" fillId="0" borderId="0" xfId="1" applyNumberFormat="1" applyFont="1"/>
    <xf numFmtId="166" fontId="100" fillId="0" borderId="0" xfId="0" applyNumberFormat="1" applyFont="1" applyAlignment="1">
      <alignment wrapText="1"/>
    </xf>
    <xf numFmtId="166" fontId="0" fillId="0" borderId="0" xfId="1" applyNumberFormat="1" applyFont="1" applyAlignment="1">
      <alignment vertical="center"/>
    </xf>
    <xf numFmtId="166" fontId="0" fillId="0" borderId="0" xfId="0" applyNumberFormat="1" applyAlignment="1">
      <alignment vertical="center"/>
    </xf>
    <xf numFmtId="166" fontId="62" fillId="0" borderId="1" xfId="1" applyNumberFormat="1" applyFont="1" applyBorder="1" applyAlignment="1">
      <alignment vertical="center"/>
    </xf>
    <xf numFmtId="166" fontId="58" fillId="0" borderId="0" xfId="1" applyNumberFormat="1" applyFont="1" applyAlignment="1">
      <alignment vertical="center"/>
    </xf>
    <xf numFmtId="0" fontId="58" fillId="0" borderId="0" xfId="0" applyFont="1" applyAlignment="1">
      <alignment vertical="center"/>
    </xf>
    <xf numFmtId="0" fontId="66" fillId="3" borderId="2" xfId="0" applyFont="1" applyFill="1" applyBorder="1" applyAlignment="1">
      <alignment horizontal="left" vertical="center"/>
    </xf>
    <xf numFmtId="0" fontId="141" fillId="0" borderId="0" xfId="0" applyFont="1" applyAlignment="1">
      <alignment vertical="center"/>
    </xf>
    <xf numFmtId="0" fontId="141" fillId="0" borderId="2" xfId="0" applyFont="1" applyBorder="1" applyAlignment="1">
      <alignment horizontal="left" vertical="center"/>
    </xf>
    <xf numFmtId="0" fontId="101" fillId="0" borderId="2" xfId="0" applyFont="1" applyBorder="1" applyAlignment="1">
      <alignment horizontal="right" vertical="center"/>
    </xf>
    <xf numFmtId="0" fontId="101" fillId="0" borderId="2" xfId="0" applyFont="1" applyBorder="1" applyAlignment="1">
      <alignment horizontal="left" vertical="center"/>
    </xf>
    <xf numFmtId="3" fontId="101" fillId="0" borderId="2" xfId="0" applyNumberFormat="1" applyFont="1" applyBorder="1" applyAlignment="1">
      <alignment horizontal="right" vertical="center"/>
    </xf>
    <xf numFmtId="4" fontId="101" fillId="0" borderId="2" xfId="0" applyNumberFormat="1" applyFont="1" applyBorder="1" applyAlignment="1">
      <alignment vertical="center"/>
    </xf>
    <xf numFmtId="169" fontId="101" fillId="0" borderId="2" xfId="0" applyNumberFormat="1" applyFont="1" applyBorder="1" applyAlignment="1">
      <alignment vertical="center"/>
    </xf>
    <xf numFmtId="3" fontId="101" fillId="0" borderId="2" xfId="0" applyNumberFormat="1" applyFont="1" applyBorder="1" applyAlignment="1">
      <alignment vertical="center"/>
    </xf>
    <xf numFmtId="3" fontId="101" fillId="0" borderId="0" xfId="0" applyNumberFormat="1" applyFont="1" applyAlignment="1">
      <alignment vertical="center"/>
    </xf>
    <xf numFmtId="3" fontId="142" fillId="0" borderId="0" xfId="0" applyNumberFormat="1" applyFont="1" applyAlignment="1">
      <alignment vertical="center"/>
    </xf>
    <xf numFmtId="0" fontId="74" fillId="0" borderId="0" xfId="0" applyFont="1" applyAlignment="1">
      <alignment vertical="center"/>
    </xf>
    <xf numFmtId="3" fontId="74" fillId="0" borderId="0" xfId="0" applyNumberFormat="1" applyFont="1" applyAlignment="1">
      <alignment vertical="center"/>
    </xf>
    <xf numFmtId="166" fontId="74" fillId="0" borderId="0" xfId="1" applyNumberFormat="1" applyFont="1" applyAlignment="1">
      <alignment vertical="center"/>
    </xf>
    <xf numFmtId="166" fontId="74" fillId="0" borderId="0" xfId="0" applyNumberFormat="1" applyFont="1" applyAlignment="1">
      <alignment vertical="center"/>
    </xf>
    <xf numFmtId="0" fontId="82" fillId="0" borderId="28" xfId="0" applyFont="1" applyBorder="1" applyAlignment="1">
      <alignment horizontal="center" vertical="center"/>
    </xf>
    <xf numFmtId="0" fontId="0" fillId="0" borderId="29" xfId="0" applyBorder="1" applyAlignment="1">
      <alignment vertical="center"/>
    </xf>
    <xf numFmtId="3" fontId="82" fillId="0" borderId="29" xfId="0" applyNumberFormat="1" applyFont="1" applyBorder="1" applyAlignment="1">
      <alignment horizontal="right" vertical="center"/>
    </xf>
    <xf numFmtId="0" fontId="82" fillId="0" borderId="29" xfId="0" applyFont="1" applyBorder="1" applyAlignment="1">
      <alignment horizontal="center" vertical="center"/>
    </xf>
    <xf numFmtId="0" fontId="82" fillId="0" borderId="29" xfId="0" applyFont="1" applyBorder="1" applyAlignment="1">
      <alignment horizontal="right" vertical="center"/>
    </xf>
    <xf numFmtId="0" fontId="122" fillId="0" borderId="0" xfId="0" applyFont="1"/>
    <xf numFmtId="3" fontId="66" fillId="0" borderId="34" xfId="0" applyNumberFormat="1" applyFont="1" applyBorder="1" applyAlignment="1">
      <alignment horizontal="right" vertical="center" wrapText="1"/>
    </xf>
    <xf numFmtId="0" fontId="66" fillId="0" borderId="39" xfId="0" applyFont="1" applyBorder="1" applyAlignment="1">
      <alignment horizontal="right" vertical="center" wrapText="1"/>
    </xf>
    <xf numFmtId="3" fontId="66" fillId="0" borderId="40" xfId="0" applyNumberFormat="1" applyFont="1" applyBorder="1" applyAlignment="1">
      <alignment horizontal="right" vertical="center" wrapText="1"/>
    </xf>
    <xf numFmtId="0" fontId="16" fillId="0" borderId="34" xfId="0" applyFont="1" applyBorder="1" applyAlignment="1">
      <alignment horizontal="right" vertical="center" wrapText="1"/>
    </xf>
    <xf numFmtId="0" fontId="136" fillId="0" borderId="32" xfId="0" applyFont="1" applyBorder="1" applyAlignment="1">
      <alignment horizontal="center" vertical="center" wrapText="1"/>
    </xf>
    <xf numFmtId="3" fontId="0" fillId="3" borderId="0" xfId="0" applyNumberFormat="1" applyFill="1"/>
    <xf numFmtId="3" fontId="13" fillId="0" borderId="37" xfId="0" applyNumberFormat="1" applyFont="1" applyBorder="1" applyAlignment="1">
      <alignment vertical="center" wrapText="1"/>
    </xf>
    <xf numFmtId="0" fontId="90" fillId="0" borderId="33" xfId="0" applyFont="1" applyBorder="1" applyAlignment="1">
      <alignment horizontal="right" vertical="center" wrapText="1"/>
    </xf>
    <xf numFmtId="0" fontId="99" fillId="0" borderId="22" xfId="0" applyFont="1" applyBorder="1" applyAlignment="1">
      <alignment vertical="center" wrapText="1"/>
    </xf>
    <xf numFmtId="3" fontId="99" fillId="0" borderId="22" xfId="0" applyNumberFormat="1" applyFont="1" applyBorder="1" applyAlignment="1">
      <alignment horizontal="right" vertical="center" wrapText="1"/>
    </xf>
    <xf numFmtId="3" fontId="62" fillId="0" borderId="34" xfId="0" applyNumberFormat="1" applyFont="1" applyBorder="1" applyAlignment="1">
      <alignment horizontal="right" vertical="center" wrapText="1"/>
    </xf>
    <xf numFmtId="0" fontId="66" fillId="0" borderId="37" xfId="0" applyFont="1" applyBorder="1" applyAlignment="1">
      <alignment vertical="center" wrapText="1"/>
    </xf>
    <xf numFmtId="0" fontId="101" fillId="0" borderId="21" xfId="0" applyFont="1" applyBorder="1" applyAlignment="1">
      <alignment horizontal="center" vertical="center" wrapText="1"/>
    </xf>
    <xf numFmtId="0" fontId="101" fillId="0" borderId="22" xfId="0" applyFont="1" applyBorder="1" applyAlignment="1">
      <alignment vertical="center" wrapText="1"/>
    </xf>
    <xf numFmtId="0" fontId="101" fillId="0" borderId="22" xfId="0" applyFont="1" applyBorder="1" applyAlignment="1">
      <alignment horizontal="center" vertical="center" wrapText="1"/>
    </xf>
    <xf numFmtId="0" fontId="101" fillId="0" borderId="22" xfId="0" applyFont="1" applyBorder="1" applyAlignment="1">
      <alignment horizontal="right" vertical="center" wrapText="1"/>
    </xf>
    <xf numFmtId="3" fontId="101" fillId="0" borderId="22" xfId="0" applyNumberFormat="1" applyFont="1" applyBorder="1" applyAlignment="1">
      <alignment horizontal="right" vertical="center" wrapText="1"/>
    </xf>
    <xf numFmtId="166" fontId="74" fillId="0" borderId="0" xfId="0" applyNumberFormat="1" applyFont="1"/>
    <xf numFmtId="0" fontId="90" fillId="3" borderId="23" xfId="0" applyFont="1" applyFill="1" applyBorder="1" applyAlignment="1">
      <alignment vertical="center" wrapText="1"/>
    </xf>
    <xf numFmtId="0" fontId="92" fillId="3" borderId="22" xfId="0" applyFont="1" applyFill="1" applyBorder="1" applyAlignment="1">
      <alignment horizontal="center" vertical="center" wrapText="1"/>
    </xf>
    <xf numFmtId="0" fontId="90" fillId="3" borderId="24" xfId="0" applyFont="1" applyFill="1" applyBorder="1" applyAlignment="1">
      <alignment vertical="center" wrapText="1"/>
    </xf>
    <xf numFmtId="0" fontId="90" fillId="3" borderId="25" xfId="0" applyFont="1" applyFill="1" applyBorder="1" applyAlignment="1">
      <alignment vertical="center" wrapText="1"/>
    </xf>
    <xf numFmtId="0" fontId="90" fillId="3" borderId="21" xfId="0" applyFont="1" applyFill="1" applyBorder="1" applyAlignment="1">
      <alignment vertical="center" wrapText="1"/>
    </xf>
    <xf numFmtId="0" fontId="143" fillId="0" borderId="0" xfId="0" applyFont="1" applyAlignment="1">
      <alignment horizontal="center" vertical="center"/>
    </xf>
    <xf numFmtId="3" fontId="66" fillId="0" borderId="22" xfId="0" applyNumberFormat="1" applyFont="1" applyBorder="1" applyAlignment="1">
      <alignment vertical="center" wrapText="1"/>
    </xf>
    <xf numFmtId="0" fontId="136" fillId="3" borderId="22" xfId="0" applyFont="1" applyFill="1" applyBorder="1" applyAlignment="1">
      <alignment horizontal="center" vertical="center" wrapText="1"/>
    </xf>
    <xf numFmtId="0" fontId="68" fillId="0" borderId="32" xfId="0" applyFont="1" applyBorder="1" applyAlignment="1">
      <alignment horizontal="center" vertical="center" wrapText="1"/>
    </xf>
    <xf numFmtId="0" fontId="136" fillId="0" borderId="32" xfId="0" applyFont="1" applyBorder="1" applyAlignment="1">
      <alignment vertical="center" wrapText="1"/>
    </xf>
    <xf numFmtId="0" fontId="136" fillId="0" borderId="33" xfId="0" applyFont="1" applyBorder="1" applyAlignment="1">
      <alignment horizontal="right" vertical="center" wrapText="1"/>
    </xf>
    <xf numFmtId="0" fontId="136" fillId="0" borderId="34" xfId="0" applyFont="1" applyBorder="1" applyAlignment="1">
      <alignment horizontal="right" vertical="center" wrapText="1"/>
    </xf>
    <xf numFmtId="0" fontId="68" fillId="0" borderId="38" xfId="0" applyFont="1" applyBorder="1" applyAlignment="1">
      <alignment horizontal="center" vertical="center" wrapText="1"/>
    </xf>
    <xf numFmtId="0" fontId="136" fillId="0" borderId="38" xfId="0" applyFont="1" applyBorder="1" applyAlignment="1">
      <alignment vertical="center" wrapText="1"/>
    </xf>
    <xf numFmtId="0" fontId="136" fillId="0" borderId="38" xfId="0" applyFont="1" applyBorder="1" applyAlignment="1">
      <alignment horizontal="center" vertical="center" wrapText="1"/>
    </xf>
    <xf numFmtId="0" fontId="136" fillId="0" borderId="39" xfId="0" applyFont="1" applyBorder="1" applyAlignment="1">
      <alignment horizontal="right" vertical="center" wrapText="1"/>
    </xf>
    <xf numFmtId="0" fontId="136" fillId="0" borderId="40" xfId="0" applyFont="1" applyBorder="1" applyAlignment="1">
      <alignment horizontal="right" vertical="center" wrapText="1"/>
    </xf>
    <xf numFmtId="3" fontId="135" fillId="0" borderId="22" xfId="0" applyNumberFormat="1" applyFont="1" applyBorder="1" applyAlignment="1">
      <alignment horizontal="right" vertical="center" wrapText="1"/>
    </xf>
    <xf numFmtId="0" fontId="135" fillId="0" borderId="34" xfId="0" applyFont="1" applyBorder="1" applyAlignment="1">
      <alignment horizontal="right" vertical="center" wrapText="1"/>
    </xf>
    <xf numFmtId="0" fontId="135" fillId="0" borderId="32" xfId="0" applyFont="1" applyBorder="1" applyAlignment="1">
      <alignment horizontal="center" vertical="center" wrapText="1"/>
    </xf>
    <xf numFmtId="0" fontId="144" fillId="0" borderId="0" xfId="0" applyFont="1" applyAlignment="1">
      <alignment horizontal="center" vertical="center"/>
    </xf>
    <xf numFmtId="0" fontId="144" fillId="0" borderId="0" xfId="0" applyFont="1" applyAlignment="1">
      <alignment vertical="center"/>
    </xf>
    <xf numFmtId="0" fontId="67" fillId="0" borderId="55" xfId="0" applyFont="1" applyBorder="1" applyAlignment="1">
      <alignment vertical="center" wrapText="1"/>
    </xf>
    <xf numFmtId="0" fontId="67" fillId="0" borderId="56" xfId="0" applyFont="1" applyBorder="1" applyAlignment="1">
      <alignment vertical="center" wrapText="1"/>
    </xf>
    <xf numFmtId="3" fontId="135" fillId="0" borderId="55" xfId="0" applyNumberFormat="1" applyFont="1" applyBorder="1" applyAlignment="1">
      <alignment vertical="center" wrapText="1"/>
    </xf>
    <xf numFmtId="3" fontId="135" fillId="0" borderId="56" xfId="0" applyNumberFormat="1" applyFont="1" applyBorder="1" applyAlignment="1">
      <alignment vertical="center" wrapText="1"/>
    </xf>
    <xf numFmtId="0" fontId="60" fillId="12" borderId="21" xfId="0" applyFont="1" applyFill="1" applyBorder="1" applyAlignment="1">
      <alignment horizontal="center" vertical="center" wrapText="1"/>
    </xf>
    <xf numFmtId="0" fontId="87" fillId="12" borderId="22" xfId="0" applyFont="1" applyFill="1" applyBorder="1" applyAlignment="1">
      <alignment vertical="center" wrapText="1"/>
    </xf>
    <xf numFmtId="0" fontId="99" fillId="12" borderId="22" xfId="0" applyFont="1" applyFill="1" applyBorder="1" applyAlignment="1">
      <alignment horizontal="center" vertical="center" wrapText="1"/>
    </xf>
    <xf numFmtId="0" fontId="99" fillId="12" borderId="22" xfId="0" applyFont="1" applyFill="1" applyBorder="1" applyAlignment="1">
      <alignment horizontal="right" vertical="center" wrapText="1"/>
    </xf>
    <xf numFmtId="3" fontId="87" fillId="12" borderId="22" xfId="0" applyNumberFormat="1" applyFont="1" applyFill="1" applyBorder="1" applyAlignment="1">
      <alignment horizontal="right" vertical="center" wrapText="1"/>
    </xf>
    <xf numFmtId="0" fontId="60" fillId="12" borderId="22" xfId="0" applyFont="1" applyFill="1" applyBorder="1" applyAlignment="1">
      <alignment horizontal="right" vertical="center" wrapText="1"/>
    </xf>
    <xf numFmtId="0" fontId="99" fillId="12" borderId="22" xfId="0" applyFont="1" applyFill="1" applyBorder="1" applyAlignment="1">
      <alignment vertical="center" wrapText="1"/>
    </xf>
    <xf numFmtId="0" fontId="62" fillId="0" borderId="0" xfId="0" applyFont="1" applyAlignment="1">
      <alignment vertical="center"/>
    </xf>
    <xf numFmtId="0" fontId="82" fillId="0" borderId="32" xfId="0" applyFont="1" applyBorder="1" applyAlignment="1">
      <alignment vertical="center" wrapText="1"/>
    </xf>
    <xf numFmtId="3" fontId="60" fillId="0" borderId="33" xfId="0" applyNumberFormat="1" applyFont="1" applyBorder="1" applyAlignment="1">
      <alignment horizontal="right" vertical="center" wrapText="1"/>
    </xf>
    <xf numFmtId="0" fontId="66" fillId="3" borderId="21" xfId="0" applyFont="1" applyFill="1" applyBorder="1" applyAlignment="1">
      <alignment horizontal="center" vertical="center" wrapText="1"/>
    </xf>
    <xf numFmtId="3" fontId="60" fillId="0" borderId="22" xfId="0" applyNumberFormat="1" applyFont="1" applyBorder="1" applyAlignment="1">
      <alignment horizontal="right" vertical="center" wrapText="1"/>
    </xf>
    <xf numFmtId="0" fontId="96" fillId="0" borderId="22" xfId="0" applyFont="1" applyBorder="1" applyAlignment="1">
      <alignment vertical="center" wrapText="1"/>
    </xf>
    <xf numFmtId="0" fontId="62" fillId="0" borderId="22" xfId="0" applyFont="1" applyBorder="1" applyAlignment="1">
      <alignment vertical="center" wrapText="1"/>
    </xf>
    <xf numFmtId="0" fontId="60" fillId="0" borderId="34" xfId="0" applyFont="1" applyBorder="1" applyAlignment="1">
      <alignment vertical="center" wrapText="1"/>
    </xf>
    <xf numFmtId="0" fontId="91" fillId="0" borderId="21" xfId="0" applyFont="1" applyBorder="1" applyAlignment="1">
      <alignment horizontal="center" vertical="center" wrapText="1"/>
    </xf>
    <xf numFmtId="0" fontId="104" fillId="0" borderId="22" xfId="0" applyFont="1" applyBorder="1" applyAlignment="1">
      <alignment horizontal="center" vertical="center" wrapText="1"/>
    </xf>
    <xf numFmtId="3" fontId="61" fillId="0" borderId="22" xfId="0" applyNumberFormat="1" applyFont="1" applyBorder="1" applyAlignment="1">
      <alignment horizontal="right" vertical="center" wrapText="1"/>
    </xf>
    <xf numFmtId="0" fontId="61" fillId="0" borderId="22" xfId="0" applyFont="1" applyBorder="1" applyAlignment="1">
      <alignment horizontal="right" vertical="center" wrapText="1"/>
    </xf>
    <xf numFmtId="0" fontId="61" fillId="0" borderId="22" xfId="0" applyFont="1" applyBorder="1" applyAlignment="1">
      <alignment horizontal="center" vertical="center" wrapText="1"/>
    </xf>
    <xf numFmtId="0" fontId="136" fillId="0" borderId="21" xfId="0" applyFont="1" applyBorder="1" applyAlignment="1">
      <alignment horizontal="center" vertical="center" wrapText="1"/>
    </xf>
    <xf numFmtId="0" fontId="68" fillId="0" borderId="22" xfId="0" applyFont="1" applyBorder="1" applyAlignment="1">
      <alignment horizontal="center" vertical="center" wrapText="1"/>
    </xf>
    <xf numFmtId="0" fontId="145" fillId="0" borderId="0" xfId="0" applyFont="1" applyAlignment="1">
      <alignment horizontal="center" vertical="center"/>
    </xf>
    <xf numFmtId="0" fontId="96" fillId="3" borderId="54" xfId="0" applyFont="1" applyFill="1" applyBorder="1" applyAlignment="1">
      <alignment horizontal="center" vertical="center" wrapText="1"/>
    </xf>
    <xf numFmtId="0" fontId="62" fillId="3" borderId="37" xfId="0" applyFont="1" applyFill="1" applyBorder="1" applyAlignment="1">
      <alignment horizontal="center" vertical="center" wrapText="1"/>
    </xf>
    <xf numFmtId="3" fontId="60" fillId="0" borderId="32" xfId="0" applyNumberFormat="1" applyFont="1" applyBorder="1" applyAlignment="1">
      <alignment horizontal="right" vertical="center" wrapText="1"/>
    </xf>
    <xf numFmtId="3" fontId="62" fillId="0" borderId="32" xfId="0" applyNumberFormat="1" applyFont="1" applyBorder="1" applyAlignment="1">
      <alignment horizontal="right" vertical="center" wrapText="1"/>
    </xf>
    <xf numFmtId="0" fontId="61" fillId="0" borderId="24" xfId="0" applyFont="1" applyBorder="1" applyAlignment="1">
      <alignment vertical="center" wrapText="1"/>
    </xf>
    <xf numFmtId="0" fontId="61" fillId="0" borderId="25" xfId="0" applyFont="1" applyBorder="1" applyAlignment="1">
      <alignment vertical="center" wrapText="1"/>
    </xf>
    <xf numFmtId="3" fontId="61" fillId="0" borderId="24" xfId="0" applyNumberFormat="1" applyFont="1" applyBorder="1" applyAlignment="1">
      <alignment vertical="center" wrapText="1"/>
    </xf>
    <xf numFmtId="3" fontId="61" fillId="0" borderId="25" xfId="0" applyNumberFormat="1" applyFont="1" applyBorder="1" applyAlignment="1">
      <alignment vertical="center" wrapText="1"/>
    </xf>
    <xf numFmtId="0" fontId="90" fillId="12" borderId="23" xfId="0" applyFont="1" applyFill="1" applyBorder="1" applyAlignment="1">
      <alignment horizontal="center" vertical="center" wrapText="1"/>
    </xf>
    <xf numFmtId="0" fontId="90" fillId="12" borderId="21" xfId="0" applyFont="1" applyFill="1" applyBorder="1" applyAlignment="1">
      <alignment horizontal="center" vertical="center" wrapText="1"/>
    </xf>
    <xf numFmtId="0" fontId="136" fillId="12" borderId="22" xfId="0" applyFont="1" applyFill="1" applyBorder="1" applyAlignment="1">
      <alignment horizontal="right" vertical="center" wrapText="1"/>
    </xf>
    <xf numFmtId="0" fontId="90" fillId="12" borderId="22" xfId="0" applyFont="1" applyFill="1" applyBorder="1" applyAlignment="1">
      <alignment horizontal="right" vertical="center" wrapText="1"/>
    </xf>
    <xf numFmtId="0" fontId="90" fillId="12" borderId="22" xfId="0" applyFont="1" applyFill="1" applyBorder="1" applyAlignment="1">
      <alignment horizontal="center" vertical="center" wrapText="1"/>
    </xf>
    <xf numFmtId="166" fontId="91" fillId="0" borderId="0" xfId="1" applyNumberFormat="1" applyFont="1" applyAlignment="1">
      <alignment vertical="center" wrapText="1"/>
    </xf>
    <xf numFmtId="0" fontId="60" fillId="0" borderId="22" xfId="0" applyFont="1" applyBorder="1" applyAlignment="1">
      <alignment horizontal="center" vertical="center" wrapText="1"/>
    </xf>
    <xf numFmtId="0" fontId="146" fillId="0" borderId="22" xfId="0" applyFont="1" applyBorder="1" applyAlignment="1">
      <alignment vertical="center" wrapText="1"/>
    </xf>
    <xf numFmtId="0" fontId="90" fillId="3" borderId="54" xfId="0" applyFont="1" applyFill="1" applyBorder="1" applyAlignment="1">
      <alignment vertical="center" wrapText="1"/>
    </xf>
    <xf numFmtId="0" fontId="90" fillId="3" borderId="25" xfId="0" applyFont="1" applyFill="1" applyBorder="1" applyAlignment="1">
      <alignment horizontal="center" vertical="center" wrapText="1"/>
    </xf>
    <xf numFmtId="0" fontId="82" fillId="0" borderId="22" xfId="0" applyFont="1" applyBorder="1" applyAlignment="1">
      <alignment horizontal="justify" vertical="center" wrapText="1"/>
    </xf>
    <xf numFmtId="0" fontId="40" fillId="0" borderId="0" xfId="0" applyFont="1" applyAlignment="1">
      <alignment horizontal="center" vertical="center"/>
    </xf>
    <xf numFmtId="0" fontId="40" fillId="3" borderId="23" xfId="0" applyFont="1" applyFill="1" applyBorder="1" applyAlignment="1">
      <alignment vertical="center" wrapText="1"/>
    </xf>
    <xf numFmtId="0" fontId="41" fillId="0" borderId="21" xfId="0" applyFont="1" applyBorder="1" applyAlignment="1">
      <alignment horizontal="center" vertical="center" wrapText="1"/>
    </xf>
    <xf numFmtId="0" fontId="41" fillId="0" borderId="22" xfId="0" applyFont="1" applyBorder="1" applyAlignment="1">
      <alignment horizontal="right" vertical="center" wrapText="1"/>
    </xf>
    <xf numFmtId="0" fontId="8" fillId="0" borderId="22" xfId="0" applyFont="1" applyBorder="1" applyAlignment="1">
      <alignment horizontal="right" vertical="center" wrapText="1"/>
    </xf>
    <xf numFmtId="0" fontId="8" fillId="0" borderId="22" xfId="0" applyFont="1" applyBorder="1" applyAlignment="1">
      <alignment horizontal="center" vertical="center" wrapText="1"/>
    </xf>
    <xf numFmtId="0" fontId="147" fillId="0" borderId="22" xfId="0" applyFont="1" applyBorder="1" applyAlignment="1">
      <alignment vertical="center" wrapText="1"/>
    </xf>
    <xf numFmtId="0" fontId="40" fillId="0" borderId="22" xfId="0" applyFont="1" applyBorder="1" applyAlignment="1">
      <alignment horizontal="right" vertical="center" wrapText="1"/>
    </xf>
    <xf numFmtId="0" fontId="8" fillId="0" borderId="21" xfId="0" applyFont="1" applyBorder="1" applyAlignment="1">
      <alignment horizontal="center" vertical="center" wrapText="1"/>
    </xf>
    <xf numFmtId="0" fontId="41" fillId="0" borderId="22" xfId="0" applyFont="1" applyBorder="1" applyAlignment="1">
      <alignment horizontal="justify" vertical="center" wrapText="1"/>
    </xf>
    <xf numFmtId="3" fontId="8" fillId="0" borderId="22" xfId="0" applyNumberFormat="1" applyFont="1" applyBorder="1" applyAlignment="1">
      <alignment horizontal="right" vertical="center" wrapText="1"/>
    </xf>
    <xf numFmtId="0" fontId="39" fillId="0" borderId="22" xfId="0" applyFont="1" applyBorder="1" applyAlignment="1">
      <alignment horizontal="right" vertical="center" wrapText="1"/>
    </xf>
    <xf numFmtId="0" fontId="39" fillId="0" borderId="22" xfId="0" applyFont="1" applyBorder="1" applyAlignment="1">
      <alignment horizontal="center" vertical="center" wrapText="1"/>
    </xf>
    <xf numFmtId="0" fontId="6" fillId="0" borderId="21" xfId="0" applyFont="1" applyBorder="1" applyAlignment="1">
      <alignment horizontal="center" vertical="center" wrapText="1"/>
    </xf>
    <xf numFmtId="0" fontId="6" fillId="0" borderId="22" xfId="0" applyFont="1" applyBorder="1" applyAlignment="1">
      <alignment horizontal="center" vertical="center" wrapText="1"/>
    </xf>
    <xf numFmtId="0" fontId="40" fillId="3" borderId="54" xfId="0" applyFont="1" applyFill="1" applyBorder="1" applyAlignment="1">
      <alignment vertical="center" wrapText="1"/>
    </xf>
    <xf numFmtId="0" fontId="40" fillId="3" borderId="25" xfId="0" applyFont="1" applyFill="1" applyBorder="1" applyAlignment="1">
      <alignment horizontal="center" vertical="center" wrapText="1"/>
    </xf>
    <xf numFmtId="3" fontId="40" fillId="0" borderId="22" xfId="0" applyNumberFormat="1" applyFont="1" applyBorder="1" applyAlignment="1">
      <alignment horizontal="right" vertical="center" wrapText="1"/>
    </xf>
    <xf numFmtId="0" fontId="40" fillId="3" borderId="24" xfId="0" applyFont="1" applyFill="1" applyBorder="1" applyAlignment="1">
      <alignment vertical="center" wrapText="1"/>
    </xf>
    <xf numFmtId="0" fontId="40" fillId="3" borderId="25" xfId="0" applyFont="1" applyFill="1" applyBorder="1" applyAlignment="1">
      <alignment vertical="center" wrapText="1"/>
    </xf>
    <xf numFmtId="0" fontId="40" fillId="3" borderId="21" xfId="0" applyFont="1" applyFill="1" applyBorder="1" applyAlignment="1">
      <alignment vertical="center" wrapText="1"/>
    </xf>
    <xf numFmtId="0" fontId="40" fillId="0" borderId="24" xfId="0" applyFont="1" applyBorder="1" applyAlignment="1">
      <alignment vertical="center" wrapText="1"/>
    </xf>
    <xf numFmtId="0" fontId="40" fillId="0" borderId="25" xfId="0" applyFont="1" applyBorder="1" applyAlignment="1">
      <alignment vertical="center" wrapText="1"/>
    </xf>
    <xf numFmtId="0" fontId="39" fillId="0" borderId="24" xfId="0" applyFont="1" applyBorder="1" applyAlignment="1">
      <alignment vertical="center" wrapText="1"/>
    </xf>
    <xf numFmtId="0" fontId="39" fillId="0" borderId="25" xfId="0" applyFont="1" applyBorder="1" applyAlignment="1">
      <alignment vertical="center" wrapText="1"/>
    </xf>
    <xf numFmtId="3" fontId="39" fillId="0" borderId="24" xfId="0" applyNumberFormat="1" applyFont="1" applyBorder="1" applyAlignment="1">
      <alignment vertical="center" wrapText="1"/>
    </xf>
    <xf numFmtId="3" fontId="39" fillId="0" borderId="25" xfId="0" applyNumberFormat="1" applyFont="1" applyBorder="1" applyAlignment="1">
      <alignment vertical="center" wrapText="1"/>
    </xf>
    <xf numFmtId="0" fontId="60" fillId="0" borderId="32" xfId="0" applyFont="1" applyBorder="1" applyAlignment="1">
      <alignment horizontal="right" vertical="center" wrapText="1"/>
    </xf>
    <xf numFmtId="0" fontId="91" fillId="3" borderId="22" xfId="0" applyFont="1" applyFill="1" applyBorder="1" applyAlignment="1">
      <alignment horizontal="right" vertical="center" wrapText="1"/>
    </xf>
    <xf numFmtId="0" fontId="90" fillId="3" borderId="22" xfId="0" applyFont="1" applyFill="1" applyBorder="1" applyAlignment="1">
      <alignment horizontal="right" vertical="center" wrapText="1"/>
    </xf>
    <xf numFmtId="0" fontId="99" fillId="3" borderId="22" xfId="0" applyFont="1" applyFill="1" applyBorder="1" applyAlignment="1">
      <alignment horizontal="right" vertical="center" wrapText="1"/>
    </xf>
    <xf numFmtId="3" fontId="62" fillId="3" borderId="22" xfId="0" applyNumberFormat="1" applyFont="1" applyFill="1" applyBorder="1" applyAlignment="1">
      <alignment horizontal="right" vertical="center" wrapText="1"/>
    </xf>
    <xf numFmtId="0" fontId="99" fillId="3" borderId="22" xfId="0" applyFont="1" applyFill="1" applyBorder="1" applyAlignment="1">
      <alignment horizontal="center" vertical="center" wrapText="1"/>
    </xf>
    <xf numFmtId="0" fontId="149" fillId="0" borderId="11" xfId="0" applyFont="1" applyBorder="1" applyAlignment="1">
      <alignment horizontal="center"/>
    </xf>
    <xf numFmtId="0" fontId="151" fillId="0" borderId="11" xfId="0" applyFont="1" applyBorder="1" applyAlignment="1">
      <alignment horizontal="center"/>
    </xf>
    <xf numFmtId="0" fontId="151" fillId="0" borderId="11" xfId="0" applyFont="1" applyBorder="1" applyAlignment="1">
      <alignment horizontal="left"/>
    </xf>
    <xf numFmtId="3" fontId="151" fillId="0" borderId="11" xfId="0" applyNumberFormat="1" applyFont="1" applyBorder="1" applyAlignment="1">
      <alignment horizontal="right"/>
    </xf>
    <xf numFmtId="0" fontId="149" fillId="0" borderId="0" xfId="0" applyFont="1"/>
    <xf numFmtId="0" fontId="150" fillId="0" borderId="0" xfId="0" applyFont="1"/>
    <xf numFmtId="0" fontId="149" fillId="0" borderId="15" xfId="0" applyFont="1" applyBorder="1"/>
    <xf numFmtId="0" fontId="149" fillId="0" borderId="16" xfId="0" applyFont="1" applyBorder="1"/>
    <xf numFmtId="0" fontId="149" fillId="0" borderId="7" xfId="0" applyFont="1" applyBorder="1"/>
    <xf numFmtId="0" fontId="149" fillId="0" borderId="17" xfId="0" applyFont="1" applyBorder="1"/>
    <xf numFmtId="0" fontId="149" fillId="0" borderId="18" xfId="0" applyFont="1" applyBorder="1"/>
    <xf numFmtId="0" fontId="152" fillId="0" borderId="0" xfId="0" applyFont="1"/>
    <xf numFmtId="0" fontId="153" fillId="0" borderId="21" xfId="0" applyFont="1" applyBorder="1" applyAlignment="1">
      <alignment horizontal="center" vertical="center" wrapText="1"/>
    </xf>
    <xf numFmtId="0" fontId="153" fillId="0" borderId="22" xfId="0" applyFont="1" applyBorder="1" applyAlignment="1">
      <alignment vertical="center" wrapText="1"/>
    </xf>
    <xf numFmtId="0" fontId="153" fillId="0" borderId="22" xfId="0" applyFont="1" applyBorder="1" applyAlignment="1">
      <alignment horizontal="center" vertical="center" wrapText="1"/>
    </xf>
    <xf numFmtId="0" fontId="154" fillId="0" borderId="22" xfId="0" applyFont="1" applyBorder="1" applyAlignment="1">
      <alignment horizontal="right" vertical="center" wrapText="1"/>
    </xf>
    <xf numFmtId="0" fontId="153" fillId="3" borderId="22" xfId="0" applyFont="1" applyFill="1" applyBorder="1" applyAlignment="1">
      <alignment horizontal="right" vertical="center" wrapText="1"/>
    </xf>
    <xf numFmtId="0" fontId="153" fillId="0" borderId="22" xfId="0" applyFont="1" applyBorder="1" applyAlignment="1">
      <alignment horizontal="right" vertical="center" wrapText="1"/>
    </xf>
    <xf numFmtId="0" fontId="155" fillId="0" borderId="0" xfId="0" applyFont="1"/>
    <xf numFmtId="166" fontId="155" fillId="3" borderId="0" xfId="1" applyNumberFormat="1" applyFont="1" applyFill="1"/>
    <xf numFmtId="0" fontId="156" fillId="0" borderId="22" xfId="0" applyFont="1" applyBorder="1" applyAlignment="1">
      <alignment vertical="center" wrapText="1"/>
    </xf>
    <xf numFmtId="0" fontId="82" fillId="3" borderId="22" xfId="0" applyFont="1" applyFill="1" applyBorder="1" applyAlignment="1">
      <alignment vertical="center" wrapText="1"/>
    </xf>
    <xf numFmtId="3" fontId="87" fillId="3" borderId="22" xfId="0" applyNumberFormat="1" applyFont="1" applyFill="1" applyBorder="1" applyAlignment="1">
      <alignment horizontal="center" vertical="center" wrapText="1"/>
    </xf>
    <xf numFmtId="3" fontId="90" fillId="3" borderId="22" xfId="0" applyNumberFormat="1" applyFont="1" applyFill="1" applyBorder="1" applyAlignment="1">
      <alignment horizontal="right" vertical="center" wrapText="1"/>
    </xf>
    <xf numFmtId="3" fontId="99" fillId="3" borderId="22" xfId="0" applyNumberFormat="1" applyFont="1" applyFill="1" applyBorder="1" applyAlignment="1">
      <alignment horizontal="right" vertical="center" wrapText="1"/>
    </xf>
    <xf numFmtId="3" fontId="99" fillId="3" borderId="22" xfId="0" applyNumberFormat="1" applyFont="1" applyFill="1" applyBorder="1" applyAlignment="1">
      <alignment horizontal="center" vertical="center" wrapText="1"/>
    </xf>
    <xf numFmtId="0" fontId="151" fillId="3" borderId="11" xfId="0" applyFont="1" applyFill="1" applyBorder="1" applyAlignment="1">
      <alignment horizontal="center"/>
    </xf>
    <xf numFmtId="0" fontId="151" fillId="3" borderId="11" xfId="0" applyFont="1" applyFill="1" applyBorder="1" applyAlignment="1">
      <alignment horizontal="left"/>
    </xf>
    <xf numFmtId="3" fontId="151" fillId="3" borderId="11" xfId="0" applyNumberFormat="1" applyFont="1" applyFill="1" applyBorder="1" applyAlignment="1">
      <alignment horizontal="right"/>
    </xf>
    <xf numFmtId="0" fontId="91" fillId="0" borderId="32" xfId="0" applyFont="1" applyBorder="1" applyAlignment="1">
      <alignment horizontal="right" vertical="center" wrapText="1"/>
    </xf>
    <xf numFmtId="0" fontId="82" fillId="0" borderId="0" xfId="0" applyFont="1" applyAlignment="1">
      <alignment horizontal="center" vertical="center"/>
    </xf>
    <xf numFmtId="0" fontId="99" fillId="0" borderId="39" xfId="0" applyFont="1" applyBorder="1" applyAlignment="1">
      <alignment horizontal="right" vertical="center" wrapText="1"/>
    </xf>
    <xf numFmtId="0" fontId="92" fillId="0" borderId="22" xfId="0" applyFont="1" applyBorder="1" applyAlignment="1">
      <alignment horizontal="right" vertical="center" wrapText="1"/>
    </xf>
    <xf numFmtId="0" fontId="102" fillId="0" borderId="0" xfId="0" applyFont="1" applyAlignment="1">
      <alignment vertical="center"/>
    </xf>
    <xf numFmtId="3" fontId="87" fillId="0" borderId="34" xfId="0" applyNumberFormat="1" applyFont="1" applyBorder="1" applyAlignment="1">
      <alignment horizontal="right" vertical="center" wrapText="1"/>
    </xf>
    <xf numFmtId="3" fontId="87" fillId="0" borderId="40" xfId="0" applyNumberFormat="1" applyFont="1" applyBorder="1" applyAlignment="1">
      <alignment horizontal="right" vertical="center" wrapText="1"/>
    </xf>
    <xf numFmtId="3" fontId="92" fillId="0" borderId="22" xfId="0" applyNumberFormat="1" applyFont="1" applyBorder="1" applyAlignment="1">
      <alignment horizontal="right" vertical="center" wrapText="1"/>
    </xf>
    <xf numFmtId="0" fontId="157" fillId="0" borderId="0" xfId="0" applyFont="1" applyAlignment="1">
      <alignment horizontal="center" vertical="center"/>
    </xf>
    <xf numFmtId="0" fontId="61" fillId="3" borderId="35" xfId="0" applyFont="1" applyFill="1" applyBorder="1" applyAlignment="1">
      <alignment vertical="center" wrapText="1"/>
    </xf>
    <xf numFmtId="0" fontId="61" fillId="3" borderId="35" xfId="0" applyFont="1" applyFill="1" applyBorder="1" applyAlignment="1">
      <alignment horizontal="center" vertical="center" wrapText="1"/>
    </xf>
    <xf numFmtId="0" fontId="61" fillId="3" borderId="60" xfId="0" applyFont="1" applyFill="1" applyBorder="1" applyAlignment="1">
      <alignment horizontal="center" vertical="center" wrapText="1"/>
    </xf>
    <xf numFmtId="0" fontId="61" fillId="3" borderId="25" xfId="0" applyFont="1" applyFill="1" applyBorder="1" applyAlignment="1">
      <alignment horizontal="center" vertical="center" wrapText="1"/>
    </xf>
    <xf numFmtId="0" fontId="136" fillId="0" borderId="30" xfId="0" applyFont="1" applyBorder="1" applyAlignment="1">
      <alignment vertical="center" wrapText="1"/>
    </xf>
    <xf numFmtId="0" fontId="136" fillId="0" borderId="61" xfId="0" applyFont="1" applyBorder="1" applyAlignment="1">
      <alignment horizontal="center" vertical="center" wrapText="1"/>
    </xf>
    <xf numFmtId="3" fontId="136" fillId="0" borderId="33" xfId="0" applyNumberFormat="1" applyFont="1" applyBorder="1" applyAlignment="1">
      <alignment horizontal="right" vertical="center" wrapText="1"/>
    </xf>
    <xf numFmtId="3" fontId="104" fillId="0" borderId="33" xfId="0" applyNumberFormat="1" applyFont="1" applyBorder="1" applyAlignment="1">
      <alignment horizontal="right" vertical="center" wrapText="1"/>
    </xf>
    <xf numFmtId="0" fontId="116" fillId="0" borderId="0" xfId="0" applyFont="1" applyAlignment="1">
      <alignment horizontal="center" vertical="center"/>
    </xf>
    <xf numFmtId="0" fontId="135" fillId="0" borderId="22" xfId="0" applyFont="1" applyBorder="1" applyAlignment="1">
      <alignment horizontal="right" vertical="center" wrapText="1"/>
    </xf>
    <xf numFmtId="0" fontId="158" fillId="0" borderId="0" xfId="0" applyFont="1" applyAlignment="1">
      <alignment vertical="center"/>
    </xf>
    <xf numFmtId="3" fontId="92" fillId="0" borderId="55" xfId="0" applyNumberFormat="1" applyFont="1" applyBorder="1" applyAlignment="1">
      <alignment vertical="center" wrapText="1"/>
    </xf>
    <xf numFmtId="3" fontId="92" fillId="0" borderId="56" xfId="0" applyNumberFormat="1" applyFont="1" applyBorder="1" applyAlignment="1">
      <alignment vertical="center" wrapText="1"/>
    </xf>
    <xf numFmtId="0" fontId="67" fillId="0" borderId="52" xfId="0" applyFont="1" applyBorder="1" applyAlignment="1">
      <alignment vertical="center" wrapText="1"/>
    </xf>
    <xf numFmtId="0" fontId="67" fillId="0" borderId="53" xfId="0" applyFont="1" applyBorder="1" applyAlignment="1">
      <alignment vertical="center" wrapText="1"/>
    </xf>
    <xf numFmtId="0" fontId="135" fillId="0" borderId="55" xfId="0" applyFont="1" applyBorder="1" applyAlignment="1">
      <alignment vertical="center" wrapText="1"/>
    </xf>
    <xf numFmtId="0" fontId="135" fillId="0" borderId="56" xfId="0" applyFont="1" applyBorder="1" applyAlignment="1">
      <alignment vertical="center" wrapText="1"/>
    </xf>
    <xf numFmtId="3" fontId="104" fillId="0" borderId="22" xfId="0" applyNumberFormat="1" applyFont="1" applyBorder="1" applyAlignment="1">
      <alignment horizontal="center" vertical="center" wrapText="1"/>
    </xf>
    <xf numFmtId="3" fontId="104" fillId="3" borderId="22" xfId="0" applyNumberFormat="1" applyFont="1" applyFill="1" applyBorder="1" applyAlignment="1">
      <alignment horizontal="right" vertical="center" wrapText="1"/>
    </xf>
    <xf numFmtId="3" fontId="104" fillId="0" borderId="24" xfId="0" applyNumberFormat="1" applyFont="1" applyBorder="1" applyAlignment="1">
      <alignment vertical="center" wrapText="1"/>
    </xf>
    <xf numFmtId="3" fontId="104" fillId="0" borderId="25" xfId="0" applyNumberFormat="1" applyFont="1" applyBorder="1" applyAlignment="1">
      <alignment vertical="center" wrapText="1"/>
    </xf>
    <xf numFmtId="0" fontId="69" fillId="0" borderId="22" xfId="0" applyFont="1" applyBorder="1" applyAlignment="1">
      <alignment vertical="center" wrapText="1"/>
    </xf>
    <xf numFmtId="3" fontId="156" fillId="0" borderId="22" xfId="0" applyNumberFormat="1" applyFont="1" applyBorder="1" applyAlignment="1">
      <alignment horizontal="right" vertical="center" wrapText="1"/>
    </xf>
    <xf numFmtId="0" fontId="60" fillId="3" borderId="22" xfId="0" applyFont="1" applyFill="1" applyBorder="1" applyAlignment="1">
      <alignment vertical="center" wrapText="1"/>
    </xf>
    <xf numFmtId="3" fontId="66" fillId="3" borderId="22" xfId="0" applyNumberFormat="1" applyFont="1" applyFill="1" applyBorder="1" applyAlignment="1">
      <alignment horizontal="center" vertical="center" wrapText="1"/>
    </xf>
    <xf numFmtId="0" fontId="62" fillId="3" borderId="22" xfId="0" applyFont="1" applyFill="1" applyBorder="1" applyAlignment="1">
      <alignment horizontal="right" vertical="center" wrapText="1"/>
    </xf>
    <xf numFmtId="0" fontId="159" fillId="3" borderId="11" xfId="0" applyFont="1" applyFill="1" applyBorder="1" applyAlignment="1">
      <alignment horizontal="center"/>
    </xf>
    <xf numFmtId="0" fontId="159" fillId="3" borderId="11" xfId="0" applyFont="1" applyFill="1" applyBorder="1" applyAlignment="1">
      <alignment horizontal="left"/>
    </xf>
    <xf numFmtId="3" fontId="159" fillId="3" borderId="11" xfId="0" applyNumberFormat="1" applyFont="1" applyFill="1" applyBorder="1" applyAlignment="1">
      <alignment horizontal="right"/>
    </xf>
    <xf numFmtId="0" fontId="155" fillId="3" borderId="0" xfId="0" applyFont="1" applyFill="1"/>
    <xf numFmtId="0" fontId="98" fillId="0" borderId="21" xfId="0" applyFont="1" applyBorder="1" applyAlignment="1">
      <alignment horizontal="center" vertical="center" wrapText="1"/>
    </xf>
    <xf numFmtId="0" fontId="59" fillId="0" borderId="22" xfId="0" applyFont="1" applyBorder="1" applyAlignment="1">
      <alignment vertical="center" wrapText="1"/>
    </xf>
    <xf numFmtId="0" fontId="59" fillId="0" borderId="22" xfId="0" applyFont="1" applyBorder="1" applyAlignment="1">
      <alignment horizontal="center" vertical="center" wrapText="1"/>
    </xf>
    <xf numFmtId="0" fontId="59" fillId="0" borderId="22" xfId="0" applyFont="1" applyBorder="1" applyAlignment="1">
      <alignment horizontal="right" vertical="center" wrapText="1"/>
    </xf>
    <xf numFmtId="3" fontId="59" fillId="0" borderId="22" xfId="0" applyNumberFormat="1" applyFont="1" applyBorder="1" applyAlignment="1">
      <alignment horizontal="right" vertical="center" wrapText="1"/>
    </xf>
    <xf numFmtId="0" fontId="98" fillId="0" borderId="22" xfId="0" applyFont="1" applyBorder="1" applyAlignment="1">
      <alignment horizontal="right" vertical="center" wrapText="1"/>
    </xf>
    <xf numFmtId="0" fontId="101" fillId="0" borderId="32" xfId="0" applyFont="1" applyBorder="1" applyAlignment="1">
      <alignment horizontal="center" vertical="center" wrapText="1"/>
    </xf>
    <xf numFmtId="0" fontId="59" fillId="0" borderId="32" xfId="0" applyFont="1" applyBorder="1" applyAlignment="1">
      <alignment vertical="center" wrapText="1"/>
    </xf>
    <xf numFmtId="0" fontId="59" fillId="0" borderId="32" xfId="0" applyFont="1" applyBorder="1" applyAlignment="1">
      <alignment horizontal="center" vertical="center" wrapText="1"/>
    </xf>
    <xf numFmtId="0" fontId="59" fillId="0" borderId="33" xfId="0" applyFont="1" applyBorder="1" applyAlignment="1">
      <alignment horizontal="right" vertical="center" wrapText="1"/>
    </xf>
    <xf numFmtId="0" fontId="98" fillId="0" borderId="38" xfId="0" applyFont="1" applyBorder="1" applyAlignment="1">
      <alignment horizontal="center" vertical="center" wrapText="1"/>
    </xf>
    <xf numFmtId="0" fontId="98" fillId="0" borderId="38" xfId="0" applyFont="1" applyBorder="1" applyAlignment="1">
      <alignment vertical="center" wrapText="1"/>
    </xf>
    <xf numFmtId="0" fontId="98" fillId="0" borderId="39" xfId="0" applyFont="1" applyBorder="1" applyAlignment="1">
      <alignment horizontal="right" vertical="center" wrapText="1"/>
    </xf>
    <xf numFmtId="3" fontId="98" fillId="0" borderId="40" xfId="0" applyNumberFormat="1" applyFont="1" applyBorder="1" applyAlignment="1">
      <alignment horizontal="right" vertical="center" wrapText="1"/>
    </xf>
    <xf numFmtId="0" fontId="149" fillId="0" borderId="19" xfId="0" applyFont="1" applyBorder="1"/>
    <xf numFmtId="0" fontId="149" fillId="0" borderId="17" xfId="0" applyFont="1" applyBorder="1" applyAlignment="1">
      <alignment horizontal="center"/>
    </xf>
    <xf numFmtId="0" fontId="6" fillId="0" borderId="11" xfId="0" applyFont="1" applyBorder="1" applyAlignment="1">
      <alignment horizontal="left"/>
    </xf>
    <xf numFmtId="0" fontId="4" fillId="0" borderId="15" xfId="0" applyFont="1" applyBorder="1"/>
    <xf numFmtId="0" fontId="4" fillId="0" borderId="18" xfId="0" applyFont="1" applyBorder="1"/>
    <xf numFmtId="0" fontId="4" fillId="0" borderId="16" xfId="0" applyFont="1" applyBorder="1"/>
    <xf numFmtId="166" fontId="84" fillId="0" borderId="0" xfId="0" applyNumberFormat="1" applyFont="1"/>
    <xf numFmtId="0" fontId="4" fillId="0" borderId="11" xfId="0" applyFont="1" applyBorder="1" applyAlignment="1">
      <alignment horizontal="center"/>
    </xf>
    <xf numFmtId="0" fontId="6" fillId="0" borderId="11" xfId="0" applyFont="1" applyBorder="1" applyAlignment="1">
      <alignment horizontal="center"/>
    </xf>
    <xf numFmtId="0" fontId="4" fillId="0" borderId="7" xfId="0" applyFont="1" applyBorder="1"/>
    <xf numFmtId="0" fontId="4" fillId="0" borderId="17" xfId="0" applyFont="1" applyBorder="1"/>
    <xf numFmtId="0" fontId="160" fillId="0" borderId="0" xfId="0" applyFont="1" applyAlignment="1">
      <alignment horizontal="center" vertical="center"/>
    </xf>
    <xf numFmtId="0" fontId="161" fillId="0" borderId="0" xfId="0" applyFont="1" applyAlignment="1">
      <alignment horizontal="center" vertical="center"/>
    </xf>
    <xf numFmtId="3" fontId="92" fillId="0" borderId="24" xfId="0" applyNumberFormat="1" applyFont="1" applyBorder="1" applyAlignment="1">
      <alignment vertical="center" wrapText="1"/>
    </xf>
    <xf numFmtId="3" fontId="92" fillId="0" borderId="25" xfId="0" applyNumberFormat="1" applyFont="1" applyBorder="1" applyAlignment="1">
      <alignment vertical="center" wrapText="1"/>
    </xf>
    <xf numFmtId="0" fontId="6" fillId="3" borderId="11" xfId="0" applyFont="1" applyFill="1" applyBorder="1" applyAlignment="1">
      <alignment horizontal="center"/>
    </xf>
    <xf numFmtId="0" fontId="6" fillId="3" borderId="11" xfId="0" applyFont="1" applyFill="1" applyBorder="1" applyAlignment="1">
      <alignment horizontal="left"/>
    </xf>
    <xf numFmtId="3" fontId="6" fillId="3" borderId="11" xfId="0" applyNumberFormat="1" applyFont="1" applyFill="1" applyBorder="1" applyAlignment="1">
      <alignment horizontal="right"/>
    </xf>
    <xf numFmtId="0" fontId="99" fillId="0" borderId="21" xfId="0" applyFont="1" applyBorder="1" applyAlignment="1">
      <alignment horizontal="center" vertical="center" wrapText="1"/>
    </xf>
    <xf numFmtId="0" fontId="91" fillId="0" borderId="22" xfId="0" applyFont="1" applyBorder="1" applyAlignment="1">
      <alignment horizontal="justify" vertical="center" wrapText="1"/>
    </xf>
    <xf numFmtId="0" fontId="61" fillId="0" borderId="33" xfId="0" applyFont="1" applyBorder="1" applyAlignment="1">
      <alignment horizontal="right" vertical="center" wrapText="1"/>
    </xf>
    <xf numFmtId="0" fontId="99" fillId="0" borderId="32" xfId="0" applyFont="1" applyBorder="1" applyAlignment="1">
      <alignment horizontal="right" vertical="center" wrapText="1"/>
    </xf>
    <xf numFmtId="0" fontId="104" fillId="0" borderId="32" xfId="0" applyFont="1" applyBorder="1" applyAlignment="1">
      <alignment horizontal="right" vertical="center" wrapText="1"/>
    </xf>
    <xf numFmtId="0" fontId="92" fillId="0" borderId="24" xfId="0" applyFont="1" applyBorder="1" applyAlignment="1">
      <alignment vertical="center" wrapText="1"/>
    </xf>
    <xf numFmtId="0" fontId="92" fillId="0" borderId="25" xfId="0" applyFont="1" applyBorder="1" applyAlignment="1">
      <alignment vertical="center" wrapText="1"/>
    </xf>
    <xf numFmtId="3" fontId="96" fillId="0" borderId="22" xfId="0" applyNumberFormat="1" applyFont="1" applyBorder="1" applyAlignment="1">
      <alignment horizontal="right" vertical="center" wrapText="1"/>
    </xf>
    <xf numFmtId="0" fontId="87" fillId="9" borderId="22" xfId="0" applyFont="1" applyFill="1" applyBorder="1" applyAlignment="1">
      <alignment vertical="center" wrapText="1"/>
    </xf>
    <xf numFmtId="166" fontId="87" fillId="0" borderId="22" xfId="1" applyNumberFormat="1" applyFont="1" applyBorder="1" applyAlignment="1">
      <alignment horizontal="right" vertical="center" wrapText="1"/>
    </xf>
    <xf numFmtId="0" fontId="82" fillId="9" borderId="21" xfId="0" applyFont="1" applyFill="1" applyBorder="1" applyAlignment="1">
      <alignment horizontal="center" vertical="center" wrapText="1"/>
    </xf>
    <xf numFmtId="0" fontId="87" fillId="9" borderId="22" xfId="0" applyFont="1" applyFill="1" applyBorder="1" applyAlignment="1">
      <alignment horizontal="center" vertical="center" wrapText="1"/>
    </xf>
    <xf numFmtId="0" fontId="87" fillId="9" borderId="22" xfId="0" applyFont="1" applyFill="1" applyBorder="1" applyAlignment="1">
      <alignment horizontal="right" vertical="center" wrapText="1"/>
    </xf>
    <xf numFmtId="3" fontId="98" fillId="9" borderId="22" xfId="0" applyNumberFormat="1" applyFont="1" applyFill="1" applyBorder="1" applyAlignment="1">
      <alignment horizontal="right" vertical="center" wrapText="1"/>
    </xf>
    <xf numFmtId="0" fontId="60" fillId="9" borderId="21" xfId="0" applyFont="1" applyFill="1" applyBorder="1" applyAlignment="1">
      <alignment horizontal="center" vertical="center" wrapText="1"/>
    </xf>
    <xf numFmtId="0" fontId="99" fillId="9" borderId="22" xfId="0" applyFont="1" applyFill="1" applyBorder="1" applyAlignment="1">
      <alignment horizontal="right" vertical="center" wrapText="1"/>
    </xf>
    <xf numFmtId="0" fontId="66" fillId="9" borderId="22" xfId="0" applyFont="1" applyFill="1" applyBorder="1" applyAlignment="1">
      <alignment horizontal="right" vertical="center" wrapText="1"/>
    </xf>
    <xf numFmtId="0" fontId="4" fillId="0" borderId="11" xfId="0" applyFont="1" applyBorder="1" applyAlignment="1">
      <alignment horizontal="left"/>
    </xf>
    <xf numFmtId="3" fontId="162" fillId="0" borderId="11" xfId="0" applyNumberFormat="1" applyFont="1" applyBorder="1" applyAlignment="1">
      <alignment horizontal="right"/>
    </xf>
    <xf numFmtId="0" fontId="84" fillId="0" borderId="0" xfId="0" applyFont="1" applyAlignment="1">
      <alignment wrapText="1"/>
    </xf>
    <xf numFmtId="0" fontId="4" fillId="0" borderId="19" xfId="0" applyFont="1" applyBorder="1"/>
    <xf numFmtId="0" fontId="4" fillId="0" borderId="17" xfId="0" applyFont="1" applyBorder="1" applyAlignment="1">
      <alignment horizontal="center"/>
    </xf>
    <xf numFmtId="0" fontId="6" fillId="0" borderId="0" xfId="0" applyFont="1" applyAlignment="1">
      <alignment horizontal="left"/>
    </xf>
    <xf numFmtId="3" fontId="6" fillId="0" borderId="11" xfId="14" applyNumberFormat="1" applyFont="1" applyBorder="1"/>
    <xf numFmtId="0" fontId="12" fillId="0" borderId="0" xfId="14"/>
    <xf numFmtId="0" fontId="4" fillId="0" borderId="11" xfId="14" applyFont="1" applyBorder="1"/>
    <xf numFmtId="0" fontId="6" fillId="0" borderId="11" xfId="14" applyFont="1" applyBorder="1"/>
    <xf numFmtId="0" fontId="4" fillId="0" borderId="0" xfId="14" applyFont="1"/>
    <xf numFmtId="0" fontId="30" fillId="0" borderId="0" xfId="14" applyFont="1"/>
    <xf numFmtId="0" fontId="4" fillId="0" borderId="15" xfId="14" applyFont="1" applyBorder="1"/>
    <xf numFmtId="0" fontId="4" fillId="0" borderId="16" xfId="14" applyFont="1" applyBorder="1"/>
    <xf numFmtId="0" fontId="4" fillId="0" borderId="7" xfId="14" applyFont="1" applyBorder="1"/>
    <xf numFmtId="0" fontId="4" fillId="0" borderId="17" xfId="14" applyFont="1" applyBorder="1"/>
    <xf numFmtId="0" fontId="4" fillId="0" borderId="18" xfId="14" applyFont="1" applyBorder="1"/>
    <xf numFmtId="0" fontId="32" fillId="0" borderId="0" xfId="14" applyFont="1"/>
    <xf numFmtId="0" fontId="163" fillId="0" borderId="0" xfId="0" applyFont="1" applyAlignment="1">
      <alignment vertical="center"/>
    </xf>
    <xf numFmtId="0" fontId="66" fillId="0" borderId="32" xfId="0" applyFont="1" applyBorder="1" applyAlignment="1">
      <alignment horizontal="right" vertical="center" wrapText="1"/>
    </xf>
    <xf numFmtId="0" fontId="6" fillId="3" borderId="11" xfId="14" applyFont="1" applyFill="1" applyBorder="1"/>
    <xf numFmtId="3" fontId="6" fillId="3" borderId="11" xfId="14" applyNumberFormat="1" applyFont="1" applyFill="1" applyBorder="1"/>
    <xf numFmtId="3" fontId="60" fillId="3" borderId="22" xfId="0" applyNumberFormat="1" applyFont="1" applyFill="1" applyBorder="1" applyAlignment="1">
      <alignment horizontal="right" vertical="center" wrapText="1"/>
    </xf>
    <xf numFmtId="0" fontId="148" fillId="0" borderId="11" xfId="14" applyFont="1" applyBorder="1"/>
    <xf numFmtId="3" fontId="148" fillId="0" borderId="11" xfId="14" applyNumberFormat="1" applyFont="1" applyBorder="1"/>
    <xf numFmtId="0" fontId="164" fillId="0" borderId="0" xfId="0" applyFont="1"/>
    <xf numFmtId="3" fontId="96" fillId="3" borderId="22" xfId="0" applyNumberFormat="1" applyFont="1" applyFill="1" applyBorder="1" applyAlignment="1">
      <alignment horizontal="right" vertical="center" wrapText="1"/>
    </xf>
    <xf numFmtId="3" fontId="96" fillId="0" borderId="24" xfId="0" applyNumberFormat="1" applyFont="1" applyBorder="1" applyAlignment="1">
      <alignment vertical="center" wrapText="1"/>
    </xf>
    <xf numFmtId="3" fontId="96" fillId="0" borderId="25" xfId="0" applyNumberFormat="1" applyFont="1" applyBorder="1" applyAlignment="1">
      <alignment vertical="center" wrapText="1"/>
    </xf>
    <xf numFmtId="0" fontId="59" fillId="0" borderId="11" xfId="14" applyFont="1" applyBorder="1"/>
    <xf numFmtId="3" fontId="59" fillId="0" borderId="11" xfId="14" applyNumberFormat="1" applyFont="1" applyBorder="1"/>
    <xf numFmtId="3" fontId="87" fillId="3" borderId="22" xfId="0" applyNumberFormat="1" applyFont="1" applyFill="1" applyBorder="1" applyAlignment="1">
      <alignment vertical="center" wrapText="1"/>
    </xf>
    <xf numFmtId="3" fontId="62" fillId="3" borderId="25" xfId="0" applyNumberFormat="1" applyFont="1" applyFill="1" applyBorder="1" applyAlignment="1">
      <alignment vertical="center" wrapText="1"/>
    </xf>
    <xf numFmtId="3" fontId="12" fillId="0" borderId="0" xfId="14" applyNumberFormat="1"/>
    <xf numFmtId="3" fontId="165" fillId="0" borderId="0" xfId="14" applyNumberFormat="1" applyFont="1"/>
    <xf numFmtId="0" fontId="6" fillId="0" borderId="11" xfId="14" applyFont="1" applyBorder="1" applyAlignment="1">
      <alignment wrapText="1"/>
    </xf>
    <xf numFmtId="3" fontId="96" fillId="3" borderId="25" xfId="0" applyNumberFormat="1" applyFont="1" applyFill="1" applyBorder="1" applyAlignment="1">
      <alignment vertical="center" wrapText="1"/>
    </xf>
    <xf numFmtId="0" fontId="96" fillId="0" borderId="22" xfId="0" applyFont="1" applyBorder="1" applyAlignment="1">
      <alignment horizontal="right" vertical="center" wrapText="1"/>
    </xf>
    <xf numFmtId="0" fontId="90" fillId="3" borderId="26" xfId="0" applyFont="1" applyFill="1" applyBorder="1" applyAlignment="1">
      <alignment vertical="center" wrapText="1"/>
    </xf>
    <xf numFmtId="3" fontId="62" fillId="3" borderId="26" xfId="0" applyNumberFormat="1" applyFont="1" applyFill="1" applyBorder="1" applyAlignment="1">
      <alignment vertical="center" wrapText="1"/>
    </xf>
    <xf numFmtId="3" fontId="0" fillId="4" borderId="0" xfId="0" applyNumberFormat="1" applyFill="1"/>
    <xf numFmtId="0" fontId="82" fillId="4" borderId="29" xfId="0" applyFont="1" applyFill="1" applyBorder="1" applyAlignment="1">
      <alignment horizontal="right" vertical="center"/>
    </xf>
    <xf numFmtId="0" fontId="0" fillId="4" borderId="0" xfId="0" applyFill="1" applyAlignment="1">
      <alignment vertical="center" wrapText="1"/>
    </xf>
    <xf numFmtId="0" fontId="82" fillId="4" borderId="0" xfId="0" applyFont="1" applyFill="1" applyAlignment="1">
      <alignment vertical="center" wrapText="1"/>
    </xf>
    <xf numFmtId="3" fontId="166" fillId="4" borderId="0" xfId="0" applyNumberFormat="1" applyFont="1" applyFill="1" applyAlignment="1">
      <alignment vertical="center" wrapText="1"/>
    </xf>
    <xf numFmtId="166" fontId="164" fillId="0" borderId="0" xfId="1" applyNumberFormat="1" applyFont="1"/>
    <xf numFmtId="0" fontId="4" fillId="0" borderId="19" xfId="14" applyFont="1" applyBorder="1"/>
    <xf numFmtId="3" fontId="105" fillId="0" borderId="1" xfId="0" applyNumberFormat="1" applyFont="1" applyBorder="1" applyAlignment="1">
      <alignment vertical="center"/>
    </xf>
    <xf numFmtId="0" fontId="6" fillId="16" borderId="11" xfId="0" applyFont="1" applyFill="1" applyBorder="1" applyAlignment="1">
      <alignment horizontal="center"/>
    </xf>
    <xf numFmtId="0" fontId="6" fillId="16" borderId="11" xfId="0" applyFont="1" applyFill="1" applyBorder="1" applyAlignment="1">
      <alignment horizontal="left"/>
    </xf>
    <xf numFmtId="3" fontId="6" fillId="16" borderId="11" xfId="0" applyNumberFormat="1" applyFont="1" applyFill="1" applyBorder="1" applyAlignment="1">
      <alignment horizontal="right"/>
    </xf>
    <xf numFmtId="0" fontId="0" fillId="16" borderId="0" xfId="0" applyFill="1"/>
    <xf numFmtId="0" fontId="96" fillId="3" borderId="61" xfId="0" applyFont="1" applyFill="1" applyBorder="1" applyAlignment="1">
      <alignment horizontal="center" vertical="center" wrapText="1"/>
    </xf>
    <xf numFmtId="0" fontId="96" fillId="3" borderId="25" xfId="0" applyFont="1" applyFill="1" applyBorder="1" applyAlignment="1">
      <alignment horizontal="center" vertical="center" wrapText="1"/>
    </xf>
    <xf numFmtId="3" fontId="66" fillId="0" borderId="32" xfId="0" applyNumberFormat="1" applyFont="1" applyBorder="1" applyAlignment="1">
      <alignment horizontal="right" vertical="center" wrapText="1"/>
    </xf>
    <xf numFmtId="3" fontId="96" fillId="0" borderId="32" xfId="0" applyNumberFormat="1" applyFont="1" applyBorder="1" applyAlignment="1">
      <alignment horizontal="right" vertical="center" wrapText="1"/>
    </xf>
    <xf numFmtId="0" fontId="62" fillId="16" borderId="37" xfId="0" applyFont="1" applyFill="1" applyBorder="1" applyAlignment="1">
      <alignment horizontal="center" vertical="center" wrapText="1"/>
    </xf>
    <xf numFmtId="0" fontId="66" fillId="16" borderId="33" xfId="0" applyFont="1" applyFill="1" applyBorder="1" applyAlignment="1">
      <alignment horizontal="right" vertical="center" wrapText="1"/>
    </xf>
    <xf numFmtId="0" fontId="62" fillId="16" borderId="33" xfId="0" applyFont="1" applyFill="1" applyBorder="1" applyAlignment="1">
      <alignment horizontal="right" vertical="center" wrapText="1"/>
    </xf>
    <xf numFmtId="0" fontId="62" fillId="16" borderId="26" xfId="0" applyFont="1" applyFill="1" applyBorder="1" applyAlignment="1">
      <alignment vertical="center" wrapText="1"/>
    </xf>
    <xf numFmtId="0" fontId="96" fillId="16" borderId="22" xfId="0" applyFont="1" applyFill="1" applyBorder="1" applyAlignment="1">
      <alignment horizontal="center" vertical="center" wrapText="1"/>
    </xf>
    <xf numFmtId="0" fontId="66" fillId="16" borderId="22" xfId="0" applyFont="1" applyFill="1" applyBorder="1" applyAlignment="1">
      <alignment horizontal="right" vertical="center" wrapText="1"/>
    </xf>
    <xf numFmtId="3" fontId="66" fillId="16" borderId="22" xfId="0" applyNumberFormat="1" applyFont="1" applyFill="1" applyBorder="1" applyAlignment="1">
      <alignment horizontal="right" vertical="center" wrapText="1"/>
    </xf>
    <xf numFmtId="3" fontId="62" fillId="16" borderId="22" xfId="0" applyNumberFormat="1" applyFont="1" applyFill="1" applyBorder="1" applyAlignment="1">
      <alignment horizontal="right" vertical="center" wrapText="1"/>
    </xf>
    <xf numFmtId="3" fontId="62" fillId="16" borderId="26" xfId="0" applyNumberFormat="1" applyFont="1" applyFill="1" applyBorder="1" applyAlignment="1">
      <alignment vertical="center" wrapText="1"/>
    </xf>
    <xf numFmtId="0" fontId="167" fillId="0" borderId="0" xfId="0" applyFont="1" applyAlignment="1">
      <alignment horizontal="center" vertical="center"/>
    </xf>
    <xf numFmtId="0" fontId="104" fillId="17" borderId="31" xfId="0" applyFont="1" applyFill="1" applyBorder="1" applyAlignment="1">
      <alignment horizontal="center" vertical="center" wrapText="1"/>
    </xf>
    <xf numFmtId="0" fontId="104" fillId="17" borderId="37" xfId="0" applyFont="1" applyFill="1" applyBorder="1" applyAlignment="1">
      <alignment horizontal="center" vertical="center" wrapText="1"/>
    </xf>
    <xf numFmtId="0" fontId="91" fillId="0" borderId="34" xfId="0" applyFont="1" applyBorder="1" applyAlignment="1">
      <alignment vertical="center" wrapText="1"/>
    </xf>
    <xf numFmtId="0" fontId="91" fillId="0" borderId="34" xfId="0" applyFont="1" applyBorder="1" applyAlignment="1">
      <alignment horizontal="center" vertical="center" wrapText="1"/>
    </xf>
    <xf numFmtId="0" fontId="99" fillId="0" borderId="34" xfId="0" applyFont="1" applyBorder="1" applyAlignment="1">
      <alignment horizontal="center" vertical="center" wrapText="1"/>
    </xf>
    <xf numFmtId="0" fontId="99" fillId="0" borderId="34" xfId="0" applyFont="1" applyBorder="1" applyAlignment="1">
      <alignment vertical="center" wrapText="1"/>
    </xf>
    <xf numFmtId="0" fontId="91" fillId="0" borderId="33" xfId="0" applyFont="1" applyBorder="1" applyAlignment="1">
      <alignment horizontal="center" vertical="center" wrapText="1"/>
    </xf>
    <xf numFmtId="0" fontId="160" fillId="0" borderId="0" xfId="0" applyFont="1" applyAlignment="1">
      <alignment vertical="center"/>
    </xf>
    <xf numFmtId="0" fontId="61" fillId="0" borderId="0" xfId="0" applyFont="1" applyAlignment="1">
      <alignment vertical="top" wrapText="1"/>
    </xf>
    <xf numFmtId="0" fontId="104" fillId="17" borderId="51" xfId="0" applyFont="1" applyFill="1" applyBorder="1" applyAlignment="1">
      <alignment horizontal="center" vertical="center" wrapText="1"/>
    </xf>
    <xf numFmtId="0" fontId="104" fillId="17" borderId="34" xfId="0" applyFont="1" applyFill="1" applyBorder="1" applyAlignment="1">
      <alignment horizontal="center" vertical="center" wrapText="1"/>
    </xf>
    <xf numFmtId="0" fontId="168" fillId="0" borderId="34" xfId="0" applyFont="1" applyBorder="1" applyAlignment="1">
      <alignment vertical="center" wrapText="1"/>
    </xf>
    <xf numFmtId="0" fontId="168" fillId="0" borderId="34" xfId="0" applyFont="1" applyBorder="1" applyAlignment="1">
      <alignment horizontal="center" vertical="center" wrapText="1"/>
    </xf>
    <xf numFmtId="0" fontId="87" fillId="0" borderId="34" xfId="0" applyFont="1" applyBorder="1" applyAlignment="1">
      <alignment vertical="center" wrapText="1"/>
    </xf>
    <xf numFmtId="0" fontId="169" fillId="0" borderId="34" xfId="0" applyFont="1" applyBorder="1" applyAlignment="1">
      <alignment vertical="center" wrapText="1"/>
    </xf>
    <xf numFmtId="0" fontId="104" fillId="0" borderId="30" xfId="0" applyFont="1" applyBorder="1" applyAlignment="1">
      <alignment vertical="center" wrapText="1"/>
    </xf>
    <xf numFmtId="0" fontId="104" fillId="0" borderId="63" xfId="0" applyFont="1" applyBorder="1" applyAlignment="1">
      <alignment vertical="center" wrapText="1"/>
    </xf>
    <xf numFmtId="0" fontId="104" fillId="0" borderId="37" xfId="0" applyFont="1" applyBorder="1" applyAlignment="1">
      <alignment vertical="center" wrapText="1"/>
    </xf>
    <xf numFmtId="0" fontId="104" fillId="17" borderId="36" xfId="0" applyFont="1" applyFill="1" applyBorder="1" applyAlignment="1">
      <alignment vertical="center" wrapText="1"/>
    </xf>
    <xf numFmtId="0" fontId="96" fillId="17" borderId="36" xfId="0" applyFont="1" applyFill="1" applyBorder="1" applyAlignment="1">
      <alignment vertical="center" wrapText="1"/>
    </xf>
    <xf numFmtId="0" fontId="104" fillId="17" borderId="33" xfId="0" applyFont="1" applyFill="1" applyBorder="1" applyAlignment="1">
      <alignment vertical="center" wrapText="1"/>
    </xf>
    <xf numFmtId="0" fontId="96" fillId="17" borderId="33" xfId="0" applyFont="1" applyFill="1" applyBorder="1" applyAlignment="1">
      <alignment vertical="center" wrapText="1"/>
    </xf>
    <xf numFmtId="0" fontId="96" fillId="0" borderId="30" xfId="0" applyFont="1" applyBorder="1" applyAlignment="1">
      <alignment vertical="center" wrapText="1"/>
    </xf>
    <xf numFmtId="0" fontId="96" fillId="0" borderId="63" xfId="0" applyFont="1" applyBorder="1" applyAlignment="1">
      <alignment vertical="center" wrapText="1"/>
    </xf>
    <xf numFmtId="0" fontId="96" fillId="0" borderId="37" xfId="0" applyFont="1" applyBorder="1" applyAlignment="1">
      <alignment vertical="center" wrapText="1"/>
    </xf>
    <xf numFmtId="0" fontId="59" fillId="0" borderId="11" xfId="0" applyFont="1" applyBorder="1" applyAlignment="1">
      <alignment horizontal="center"/>
    </xf>
    <xf numFmtId="0" fontId="59" fillId="0" borderId="11" xfId="0" applyFont="1" applyBorder="1" applyAlignment="1">
      <alignment horizontal="left"/>
    </xf>
    <xf numFmtId="0" fontId="56" fillId="0" borderId="2" xfId="0" applyFont="1" applyBorder="1" applyAlignment="1">
      <alignment vertical="center"/>
    </xf>
    <xf numFmtId="0" fontId="65" fillId="0" borderId="0" xfId="0" applyFont="1" applyAlignment="1">
      <alignment horizontal="left" vertical="center"/>
    </xf>
    <xf numFmtId="172" fontId="81" fillId="0" borderId="0" xfId="1" applyNumberFormat="1" applyFont="1" applyFill="1" applyAlignment="1">
      <alignment vertical="center"/>
    </xf>
    <xf numFmtId="166" fontId="81" fillId="0" borderId="0" xfId="1" applyNumberFormat="1" applyFont="1" applyFill="1" applyAlignment="1">
      <alignment vertical="center"/>
    </xf>
    <xf numFmtId="43" fontId="81" fillId="0" borderId="0" xfId="1" applyFont="1" applyFill="1" applyAlignment="1">
      <alignment vertical="center"/>
    </xf>
    <xf numFmtId="172" fontId="68" fillId="0" borderId="0" xfId="1" applyNumberFormat="1" applyFont="1" applyFill="1" applyAlignment="1">
      <alignment vertical="center"/>
    </xf>
    <xf numFmtId="166" fontId="68" fillId="0" borderId="0" xfId="1" applyNumberFormat="1" applyFont="1" applyFill="1" applyAlignment="1">
      <alignment vertical="center"/>
    </xf>
    <xf numFmtId="43" fontId="68" fillId="0" borderId="0" xfId="1" applyFont="1" applyFill="1" applyAlignment="1">
      <alignment vertical="center"/>
    </xf>
    <xf numFmtId="0" fontId="68" fillId="0" borderId="1" xfId="15" quotePrefix="1" applyFont="1" applyBorder="1" applyAlignment="1">
      <alignment vertical="center" wrapText="1"/>
    </xf>
    <xf numFmtId="0" fontId="68" fillId="0" borderId="1" xfId="0" applyFont="1" applyBorder="1" applyAlignment="1">
      <alignment vertical="center"/>
    </xf>
    <xf numFmtId="3" fontId="68" fillId="0" borderId="1" xfId="0" applyNumberFormat="1" applyFont="1" applyBorder="1" applyAlignment="1">
      <alignment horizontal="right" vertical="center" wrapText="1"/>
    </xf>
    <xf numFmtId="166" fontId="82" fillId="0" borderId="1" xfId="23" applyNumberFormat="1" applyFont="1" applyFill="1" applyBorder="1" applyAlignment="1" applyProtection="1">
      <alignment horizontal="right" vertical="center"/>
    </xf>
    <xf numFmtId="169" fontId="70" fillId="0" borderId="0" xfId="11" applyNumberFormat="1" applyFont="1" applyAlignment="1">
      <alignment vertical="center"/>
    </xf>
    <xf numFmtId="172" fontId="70" fillId="0" borderId="0" xfId="1" applyNumberFormat="1" applyFont="1" applyFill="1" applyAlignment="1">
      <alignment vertical="center"/>
    </xf>
    <xf numFmtId="166" fontId="70" fillId="0" borderId="0" xfId="1" applyNumberFormat="1" applyFont="1" applyFill="1" applyAlignment="1">
      <alignment vertical="center"/>
    </xf>
    <xf numFmtId="166" fontId="70" fillId="0" borderId="0" xfId="11" applyNumberFormat="1" applyFont="1" applyAlignment="1">
      <alignment vertical="center"/>
    </xf>
    <xf numFmtId="43" fontId="70" fillId="0" borderId="0" xfId="1" applyFont="1" applyFill="1" applyAlignment="1">
      <alignment vertical="center"/>
    </xf>
    <xf numFmtId="0" fontId="68" fillId="0" borderId="1" xfId="0" applyFont="1" applyBorder="1" applyAlignment="1">
      <alignment horizontal="left" vertical="center" wrapText="1"/>
    </xf>
    <xf numFmtId="0" fontId="68" fillId="0" borderId="1" xfId="0" quotePrefix="1" applyFont="1" applyBorder="1" applyAlignment="1">
      <alignment vertical="center" wrapText="1"/>
    </xf>
    <xf numFmtId="0" fontId="68" fillId="0" borderId="4" xfId="0" applyFont="1" applyBorder="1" applyAlignment="1">
      <alignment vertical="center"/>
    </xf>
    <xf numFmtId="0" fontId="68" fillId="0" borderId="10" xfId="15" quotePrefix="1" applyFont="1" applyBorder="1" applyAlignment="1">
      <alignment vertical="center" wrapText="1"/>
    </xf>
    <xf numFmtId="0" fontId="68" fillId="0" borderId="5" xfId="0" applyFont="1" applyBorder="1" applyAlignment="1">
      <alignment vertical="center"/>
    </xf>
    <xf numFmtId="0" fontId="68" fillId="0" borderId="5" xfId="0" applyFont="1" applyBorder="1" applyAlignment="1">
      <alignment horizontal="left" vertical="center" wrapText="1"/>
    </xf>
    <xf numFmtId="0" fontId="68" fillId="0" borderId="3" xfId="0" applyFont="1" applyBorder="1" applyAlignment="1">
      <alignment horizontal="left" vertical="center" wrapText="1"/>
    </xf>
    <xf numFmtId="0" fontId="68" fillId="0" borderId="3" xfId="0" applyFont="1" applyBorder="1" applyAlignment="1">
      <alignment vertical="center"/>
    </xf>
    <xf numFmtId="0" fontId="68" fillId="0" borderId="1" xfId="15" quotePrefix="1" applyFont="1" applyBorder="1" applyAlignment="1">
      <alignment horizontal="left" vertical="center" wrapText="1"/>
    </xf>
    <xf numFmtId="3" fontId="68" fillId="0" borderId="1" xfId="0" applyNumberFormat="1" applyFont="1" applyBorder="1" applyAlignment="1">
      <alignment horizontal="left" vertical="center"/>
    </xf>
    <xf numFmtId="3" fontId="68" fillId="0" borderId="1" xfId="0" applyNumberFormat="1" applyFont="1" applyBorder="1" applyAlignment="1">
      <alignment horizontal="left" vertical="center" wrapText="1"/>
    </xf>
    <xf numFmtId="172" fontId="67" fillId="0" borderId="0" xfId="1" applyNumberFormat="1" applyFont="1" applyFill="1" applyAlignment="1">
      <alignment vertical="center"/>
    </xf>
    <xf numFmtId="166" fontId="67" fillId="0" borderId="0" xfId="1" applyNumberFormat="1" applyFont="1" applyFill="1" applyAlignment="1">
      <alignment vertical="center"/>
    </xf>
    <xf numFmtId="43" fontId="67" fillId="0" borderId="0" xfId="1" applyFont="1" applyFill="1" applyAlignment="1">
      <alignment vertical="center"/>
    </xf>
    <xf numFmtId="3" fontId="6" fillId="0" borderId="0" xfId="11" applyNumberFormat="1" applyFont="1" applyAlignment="1">
      <alignment vertical="center"/>
    </xf>
    <xf numFmtId="166" fontId="6" fillId="0" borderId="0" xfId="1" applyNumberFormat="1" applyFont="1" applyFill="1" applyAlignment="1">
      <alignment horizontal="right" vertical="center"/>
    </xf>
    <xf numFmtId="3" fontId="13" fillId="0" borderId="0" xfId="11" applyNumberFormat="1" applyFont="1" applyAlignment="1">
      <alignment vertical="center"/>
    </xf>
    <xf numFmtId="166" fontId="7" fillId="0" borderId="0" xfId="1" applyNumberFormat="1" applyFont="1" applyFill="1" applyAlignment="1">
      <alignment horizontal="right" vertical="center"/>
    </xf>
    <xf numFmtId="0" fontId="139" fillId="0" borderId="0" xfId="0" applyFont="1" applyAlignment="1">
      <alignment horizontal="center"/>
    </xf>
    <xf numFmtId="0" fontId="170" fillId="5" borderId="0" xfId="0" applyFont="1" applyFill="1" applyAlignment="1">
      <alignment horizontal="center" vertical="center"/>
    </xf>
    <xf numFmtId="0" fontId="170" fillId="5" borderId="27" xfId="0" applyFont="1" applyFill="1" applyBorder="1" applyAlignment="1">
      <alignment horizontal="center" vertical="center"/>
    </xf>
    <xf numFmtId="0" fontId="171" fillId="0" borderId="29" xfId="0" applyFont="1" applyBorder="1" applyAlignment="1">
      <alignment vertical="center"/>
    </xf>
    <xf numFmtId="0" fontId="172" fillId="4" borderId="29" xfId="0" applyFont="1" applyFill="1" applyBorder="1" applyAlignment="1">
      <alignment vertical="center"/>
    </xf>
    <xf numFmtId="0" fontId="172" fillId="6" borderId="29" xfId="0" applyFont="1" applyFill="1" applyBorder="1" applyAlignment="1">
      <alignment vertical="center"/>
    </xf>
    <xf numFmtId="0" fontId="58" fillId="2" borderId="1" xfId="0" applyFont="1" applyFill="1" applyBorder="1" applyAlignment="1">
      <alignment vertical="center"/>
    </xf>
    <xf numFmtId="0" fontId="75" fillId="0" borderId="1" xfId="0" applyFont="1" applyBorder="1"/>
    <xf numFmtId="166" fontId="0" fillId="0" borderId="1" xfId="0" applyNumberFormat="1" applyBorder="1"/>
    <xf numFmtId="166" fontId="104" fillId="0" borderId="0" xfId="0" applyNumberFormat="1" applyFont="1"/>
    <xf numFmtId="168" fontId="58" fillId="0" borderId="0" xfId="0" applyNumberFormat="1" applyFont="1"/>
    <xf numFmtId="0" fontId="173" fillId="2" borderId="1" xfId="0" applyFont="1" applyFill="1" applyBorder="1" applyAlignment="1">
      <alignment horizontal="center" vertical="center" wrapText="1"/>
    </xf>
    <xf numFmtId="0" fontId="173" fillId="2" borderId="1" xfId="0" applyFont="1" applyFill="1" applyBorder="1" applyAlignment="1">
      <alignment vertical="center" wrapText="1"/>
    </xf>
    <xf numFmtId="0" fontId="174" fillId="2" borderId="1" xfId="0" applyFont="1" applyFill="1" applyBorder="1" applyAlignment="1">
      <alignment horizontal="center" vertical="center" wrapText="1"/>
    </xf>
    <xf numFmtId="0" fontId="0" fillId="0" borderId="1" xfId="0" applyBorder="1" applyAlignment="1">
      <alignment horizontal="center"/>
    </xf>
    <xf numFmtId="0" fontId="0" fillId="0" borderId="1" xfId="0" applyBorder="1"/>
    <xf numFmtId="166" fontId="175" fillId="0" borderId="1" xfId="1" applyNumberFormat="1" applyFont="1" applyBorder="1"/>
    <xf numFmtId="166" fontId="176" fillId="0" borderId="1" xfId="1" applyNumberFormat="1" applyFont="1" applyBorder="1"/>
    <xf numFmtId="166" fontId="104" fillId="0" borderId="1" xfId="1" applyNumberFormat="1" applyFont="1" applyBorder="1"/>
    <xf numFmtId="166" fontId="174" fillId="0" borderId="1" xfId="1" applyNumberFormat="1" applyFont="1" applyBorder="1"/>
    <xf numFmtId="4" fontId="0" fillId="0" borderId="0" xfId="0" applyNumberFormat="1"/>
    <xf numFmtId="3" fontId="177" fillId="0" borderId="0" xfId="0" applyNumberFormat="1" applyFont="1"/>
    <xf numFmtId="166" fontId="170" fillId="5" borderId="27" xfId="1" applyNumberFormat="1" applyFont="1" applyFill="1" applyBorder="1" applyAlignment="1">
      <alignment horizontal="center" vertical="center"/>
    </xf>
    <xf numFmtId="166" fontId="172" fillId="4" borderId="29" xfId="1" applyNumberFormat="1" applyFont="1" applyFill="1" applyBorder="1" applyAlignment="1">
      <alignment vertical="center"/>
    </xf>
    <xf numFmtId="166" fontId="172" fillId="6" borderId="29" xfId="1" applyNumberFormat="1" applyFont="1" applyFill="1" applyBorder="1" applyAlignment="1">
      <alignment vertical="center"/>
    </xf>
    <xf numFmtId="166" fontId="86" fillId="7" borderId="29" xfId="1" applyNumberFormat="1" applyFont="1" applyFill="1" applyBorder="1" applyAlignment="1">
      <alignment vertical="center"/>
    </xf>
    <xf numFmtId="0" fontId="171" fillId="3" borderId="29" xfId="0" applyFont="1" applyFill="1" applyBorder="1" applyAlignment="1">
      <alignment vertical="center"/>
    </xf>
    <xf numFmtId="0" fontId="172" fillId="3" borderId="29" xfId="0" applyFont="1" applyFill="1" applyBorder="1" applyAlignment="1">
      <alignment vertical="center"/>
    </xf>
    <xf numFmtId="166" fontId="172" fillId="3" borderId="29" xfId="1" applyNumberFormat="1" applyFont="1" applyFill="1" applyBorder="1" applyAlignment="1">
      <alignment vertical="center"/>
    </xf>
    <xf numFmtId="0" fontId="122" fillId="6" borderId="29" xfId="0" applyFont="1" applyFill="1" applyBorder="1" applyAlignment="1">
      <alignment vertical="center"/>
    </xf>
    <xf numFmtId="0" fontId="87" fillId="4" borderId="29" xfId="0" applyFont="1" applyFill="1" applyBorder="1" applyAlignment="1">
      <alignment horizontal="right" vertical="center"/>
    </xf>
    <xf numFmtId="0" fontId="122" fillId="7" borderId="29" xfId="0" applyFont="1" applyFill="1" applyBorder="1" applyAlignment="1">
      <alignment vertical="center"/>
    </xf>
    <xf numFmtId="166" fontId="7" fillId="0" borderId="0" xfId="1" applyNumberFormat="1" applyFont="1" applyFill="1" applyAlignment="1">
      <alignment vertical="center"/>
    </xf>
    <xf numFmtId="172" fontId="7" fillId="0" borderId="0" xfId="1" applyNumberFormat="1" applyFont="1" applyFill="1" applyAlignment="1">
      <alignment vertical="center"/>
    </xf>
    <xf numFmtId="43" fontId="7" fillId="0" borderId="0" xfId="1" applyFont="1" applyFill="1" applyAlignment="1">
      <alignment vertical="center"/>
    </xf>
    <xf numFmtId="0" fontId="19" fillId="0" borderId="0" xfId="12" applyFont="1" applyAlignment="1">
      <alignment horizontal="center" vertical="center"/>
    </xf>
    <xf numFmtId="166" fontId="19" fillId="0" borderId="0" xfId="1" applyNumberFormat="1" applyFont="1" applyFill="1" applyAlignment="1">
      <alignment horizontal="center" vertical="center"/>
    </xf>
    <xf numFmtId="0" fontId="8" fillId="0" borderId="0" xfId="11" applyFont="1" applyAlignment="1">
      <alignment vertical="center"/>
    </xf>
    <xf numFmtId="170" fontId="8" fillId="0" borderId="0" xfId="11" applyNumberFormat="1" applyFont="1" applyAlignment="1">
      <alignment vertical="center"/>
    </xf>
    <xf numFmtId="172" fontId="8" fillId="0" borderId="0" xfId="1" applyNumberFormat="1" applyFont="1" applyFill="1" applyAlignment="1">
      <alignment vertical="center"/>
    </xf>
    <xf numFmtId="166" fontId="8" fillId="0" borderId="0" xfId="1" applyNumberFormat="1" applyFont="1" applyFill="1" applyAlignment="1">
      <alignment vertical="center"/>
    </xf>
    <xf numFmtId="43" fontId="8" fillId="0" borderId="0" xfId="1" applyFont="1" applyFill="1" applyAlignment="1">
      <alignment vertical="center"/>
    </xf>
    <xf numFmtId="0" fontId="9" fillId="0" borderId="0" xfId="11" applyFont="1" applyAlignment="1">
      <alignment horizontal="center" vertical="center"/>
    </xf>
    <xf numFmtId="166" fontId="9" fillId="0" borderId="0" xfId="1" applyNumberFormat="1" applyFont="1" applyFill="1" applyAlignment="1">
      <alignment horizontal="center" vertical="center"/>
    </xf>
    <xf numFmtId="43" fontId="9" fillId="0" borderId="0" xfId="1" applyFont="1" applyFill="1" applyAlignment="1">
      <alignment horizontal="center" vertical="center"/>
    </xf>
    <xf numFmtId="170" fontId="7" fillId="0" borderId="0" xfId="11" applyNumberFormat="1" applyFont="1" applyAlignment="1">
      <alignment vertical="center"/>
    </xf>
    <xf numFmtId="3" fontId="4" fillId="0" borderId="1" xfId="5" applyNumberFormat="1" applyFont="1" applyFill="1" applyBorder="1" applyAlignment="1">
      <alignment horizontal="center" vertical="center" wrapText="1"/>
    </xf>
    <xf numFmtId="3" fontId="4" fillId="0" borderId="14" xfId="5" applyNumberFormat="1" applyFont="1" applyFill="1" applyBorder="1" applyAlignment="1">
      <alignment horizontal="center" vertical="center" wrapText="1"/>
    </xf>
    <xf numFmtId="166" fontId="4" fillId="0" borderId="14" xfId="1" applyNumberFormat="1" applyFont="1" applyFill="1" applyBorder="1" applyAlignment="1">
      <alignment horizontal="center" vertical="center" wrapText="1"/>
    </xf>
    <xf numFmtId="43" fontId="4" fillId="0" borderId="4" xfId="1" applyFont="1" applyFill="1" applyBorder="1" applyAlignment="1">
      <alignment horizontal="center" vertical="center" wrapText="1"/>
    </xf>
    <xf numFmtId="172" fontId="6" fillId="0" borderId="0" xfId="1" applyNumberFormat="1" applyFont="1" applyFill="1" applyAlignment="1">
      <alignment vertical="center"/>
    </xf>
    <xf numFmtId="43" fontId="6" fillId="0" borderId="0" xfId="1" applyFont="1" applyFill="1" applyAlignment="1">
      <alignment vertical="center"/>
    </xf>
    <xf numFmtId="166" fontId="4" fillId="0" borderId="57" xfId="1" applyNumberFormat="1" applyFont="1" applyFill="1" applyBorder="1" applyAlignment="1">
      <alignment horizontal="center" vertical="center" wrapText="1"/>
    </xf>
    <xf numFmtId="166" fontId="4" fillId="0" borderId="0" xfId="1" applyNumberFormat="1" applyFont="1" applyFill="1" applyBorder="1" applyAlignment="1">
      <alignment horizontal="center" vertical="center" wrapText="1"/>
    </xf>
    <xf numFmtId="166" fontId="4" fillId="0" borderId="12" xfId="1" applyNumberFormat="1" applyFont="1" applyFill="1" applyBorder="1" applyAlignment="1">
      <alignment horizontal="center" vertical="center" wrapText="1"/>
    </xf>
    <xf numFmtId="43" fontId="4" fillId="0" borderId="9" xfId="1" applyFont="1" applyFill="1" applyBorder="1" applyAlignment="1">
      <alignment horizontal="center" vertical="center" wrapText="1"/>
    </xf>
    <xf numFmtId="166" fontId="4" fillId="0" borderId="1" xfId="1" applyNumberFormat="1" applyFont="1" applyFill="1" applyBorder="1" applyAlignment="1">
      <alignment horizontal="center" vertical="center" wrapText="1"/>
    </xf>
    <xf numFmtId="3" fontId="4" fillId="0" borderId="9" xfId="5" applyNumberFormat="1" applyFont="1" applyFill="1" applyBorder="1" applyAlignment="1">
      <alignment horizontal="center" vertical="center" wrapText="1"/>
    </xf>
    <xf numFmtId="3" fontId="4" fillId="0" borderId="1" xfId="4" applyNumberFormat="1" applyFont="1" applyFill="1" applyBorder="1" applyAlignment="1">
      <alignment horizontal="center" vertical="center" wrapText="1"/>
    </xf>
    <xf numFmtId="0" fontId="4" fillId="0" borderId="1" xfId="11" applyFont="1" applyBorder="1" applyAlignment="1">
      <alignment horizontal="center" vertical="center" wrapText="1"/>
    </xf>
    <xf numFmtId="0" fontId="4" fillId="0" borderId="0" xfId="11" applyFont="1" applyAlignment="1">
      <alignment horizontal="center" vertical="center" wrapText="1"/>
    </xf>
    <xf numFmtId="166" fontId="4" fillId="0" borderId="0" xfId="1" applyNumberFormat="1" applyFont="1" applyFill="1" applyAlignment="1">
      <alignment horizontal="center" vertical="center" wrapText="1"/>
    </xf>
    <xf numFmtId="170" fontId="4" fillId="0" borderId="0" xfId="11" applyNumberFormat="1" applyFont="1" applyAlignment="1">
      <alignment vertical="center"/>
    </xf>
    <xf numFmtId="170" fontId="6" fillId="0" borderId="0" xfId="11" applyNumberFormat="1" applyFont="1" applyAlignment="1">
      <alignment vertical="center"/>
    </xf>
    <xf numFmtId="3" fontId="4" fillId="0" borderId="1" xfId="11" applyNumberFormat="1" applyFont="1" applyBorder="1" applyAlignment="1">
      <alignment horizontal="center" vertical="center"/>
    </xf>
    <xf numFmtId="43" fontId="4" fillId="0" borderId="1" xfId="1" applyFont="1" applyFill="1" applyBorder="1" applyAlignment="1">
      <alignment horizontal="center" vertical="center"/>
    </xf>
    <xf numFmtId="0" fontId="4" fillId="0" borderId="0" xfId="11" applyFont="1" applyAlignment="1">
      <alignment horizontal="center" vertical="center"/>
    </xf>
    <xf numFmtId="170" fontId="4" fillId="0" borderId="0" xfId="11" applyNumberFormat="1" applyFont="1" applyAlignment="1">
      <alignment horizontal="center" vertical="center"/>
    </xf>
    <xf numFmtId="172" fontId="4" fillId="0" borderId="0" xfId="1" applyNumberFormat="1" applyFont="1" applyFill="1" applyAlignment="1">
      <alignment horizontal="center" vertical="center"/>
    </xf>
    <xf numFmtId="166" fontId="4" fillId="0" borderId="0" xfId="1" applyNumberFormat="1" applyFont="1" applyFill="1" applyAlignment="1">
      <alignment horizontal="center" vertical="center"/>
    </xf>
    <xf numFmtId="43" fontId="4" fillId="0" borderId="0" xfId="1" applyFont="1" applyFill="1" applyAlignment="1">
      <alignment horizontal="center" vertical="center"/>
    </xf>
    <xf numFmtId="0" fontId="4" fillId="0" borderId="1" xfId="15" quotePrefix="1" applyFont="1" applyBorder="1" applyAlignment="1">
      <alignment horizontal="center" vertical="center" wrapText="1"/>
    </xf>
    <xf numFmtId="0" fontId="4" fillId="0" borderId="1" xfId="15" quotePrefix="1" applyFont="1" applyBorder="1" applyAlignment="1">
      <alignment vertical="center" wrapText="1"/>
    </xf>
    <xf numFmtId="0" fontId="4" fillId="0" borderId="1" xfId="0" applyFont="1" applyBorder="1" applyAlignment="1">
      <alignment vertical="center"/>
    </xf>
    <xf numFmtId="3" fontId="4" fillId="0" borderId="1" xfId="0" applyNumberFormat="1" applyFont="1" applyBorder="1" applyAlignment="1">
      <alignment horizontal="right" vertical="center" wrapText="1"/>
    </xf>
    <xf numFmtId="166" fontId="6" fillId="0" borderId="9" xfId="1" applyNumberFormat="1" applyFont="1" applyFill="1" applyBorder="1" applyAlignment="1">
      <alignment horizontal="right" vertical="center" wrapText="1"/>
    </xf>
    <xf numFmtId="166" fontId="20" fillId="0" borderId="1" xfId="1" applyNumberFormat="1" applyFont="1" applyFill="1" applyBorder="1" applyAlignment="1">
      <alignment horizontal="right" vertical="center" shrinkToFit="1"/>
    </xf>
    <xf numFmtId="166" fontId="15" fillId="0" borderId="1" xfId="1" applyNumberFormat="1" applyFont="1" applyFill="1" applyBorder="1" applyAlignment="1">
      <alignment vertical="center"/>
    </xf>
    <xf numFmtId="3" fontId="15" fillId="0" borderId="1" xfId="11" applyNumberFormat="1" applyFont="1" applyBorder="1" applyAlignment="1">
      <alignment vertical="center"/>
    </xf>
    <xf numFmtId="166" fontId="4" fillId="0" borderId="9" xfId="1" applyNumberFormat="1" applyFont="1" applyFill="1" applyBorder="1" applyAlignment="1">
      <alignment horizontal="right" vertical="center" wrapText="1"/>
    </xf>
    <xf numFmtId="41" fontId="6" fillId="0" borderId="1" xfId="0" applyNumberFormat="1" applyFont="1" applyBorder="1" applyAlignment="1">
      <alignment vertical="center" wrapText="1"/>
    </xf>
    <xf numFmtId="3" fontId="20" fillId="0" borderId="1" xfId="11" applyNumberFormat="1" applyFont="1" applyBorder="1" applyAlignment="1">
      <alignment vertical="center"/>
    </xf>
    <xf numFmtId="0" fontId="12" fillId="0" borderId="0" xfId="11" applyFont="1" applyAlignment="1">
      <alignment vertical="center"/>
    </xf>
    <xf numFmtId="171" fontId="12" fillId="0" borderId="0" xfId="11" applyNumberFormat="1" applyFont="1" applyAlignment="1">
      <alignment vertical="center"/>
    </xf>
    <xf numFmtId="169" fontId="12" fillId="0" borderId="0" xfId="11" applyNumberFormat="1" applyFont="1" applyAlignment="1">
      <alignment vertical="center"/>
    </xf>
    <xf numFmtId="172" fontId="12" fillId="0" borderId="0" xfId="1" applyNumberFormat="1" applyFont="1" applyFill="1" applyAlignment="1">
      <alignment vertical="center"/>
    </xf>
    <xf numFmtId="166" fontId="12" fillId="0" borderId="0" xfId="1" applyNumberFormat="1" applyFont="1" applyFill="1" applyAlignment="1">
      <alignment vertical="center"/>
    </xf>
    <xf numFmtId="166" fontId="12" fillId="0" borderId="0" xfId="11" applyNumberFormat="1" applyFont="1" applyAlignment="1">
      <alignment vertical="center"/>
    </xf>
    <xf numFmtId="170" fontId="12" fillId="0" borderId="0" xfId="11" applyNumberFormat="1" applyFont="1" applyAlignment="1">
      <alignment vertical="center"/>
    </xf>
    <xf numFmtId="3" fontId="15" fillId="0" borderId="0" xfId="11" applyNumberFormat="1" applyFont="1" applyAlignment="1">
      <alignment vertical="center"/>
    </xf>
    <xf numFmtId="43" fontId="12" fillId="0" borderId="0" xfId="1" applyFont="1" applyFill="1" applyAlignment="1">
      <alignment vertical="center"/>
    </xf>
    <xf numFmtId="170" fontId="18" fillId="0" borderId="0" xfId="11" applyNumberFormat="1" applyFont="1" applyAlignment="1">
      <alignment vertical="center"/>
    </xf>
    <xf numFmtId="166" fontId="18" fillId="0" borderId="0" xfId="1" applyNumberFormat="1" applyFont="1" applyFill="1" applyAlignment="1">
      <alignment vertical="center"/>
    </xf>
    <xf numFmtId="0" fontId="4" fillId="0" borderId="1" xfId="0" applyFont="1" applyBorder="1" applyAlignment="1">
      <alignment horizontal="left" vertical="center" wrapText="1"/>
    </xf>
    <xf numFmtId="0" fontId="4" fillId="0" borderId="1" xfId="0" quotePrefix="1" applyFont="1" applyBorder="1" applyAlignment="1">
      <alignment vertical="center" wrapText="1"/>
    </xf>
    <xf numFmtId="0" fontId="4" fillId="0" borderId="4" xfId="0" applyFont="1" applyBorder="1" applyAlignment="1">
      <alignment vertical="center"/>
    </xf>
    <xf numFmtId="0" fontId="4" fillId="0" borderId="5" xfId="0" applyFont="1" applyBorder="1" applyAlignment="1">
      <alignment vertical="center"/>
    </xf>
    <xf numFmtId="0" fontId="4" fillId="0" borderId="5" xfId="0" applyFont="1" applyBorder="1" applyAlignment="1">
      <alignment horizontal="left" vertical="center" wrapText="1"/>
    </xf>
    <xf numFmtId="0" fontId="4" fillId="0" borderId="3" xfId="0" applyFont="1" applyBorder="1" applyAlignment="1">
      <alignment horizontal="left" vertical="center" wrapText="1"/>
    </xf>
    <xf numFmtId="0" fontId="4" fillId="0" borderId="3" xfId="0" applyFont="1" applyBorder="1" applyAlignment="1">
      <alignment vertical="center"/>
    </xf>
    <xf numFmtId="0" fontId="4" fillId="0" borderId="11" xfId="0" applyFont="1" applyBorder="1" applyAlignment="1">
      <alignment vertical="center" wrapText="1"/>
    </xf>
    <xf numFmtId="3" fontId="12" fillId="0" borderId="0" xfId="11" applyNumberFormat="1" applyFont="1" applyAlignment="1">
      <alignment vertical="center"/>
    </xf>
    <xf numFmtId="3" fontId="24" fillId="0" borderId="1" xfId="11" applyNumberFormat="1" applyFont="1" applyBorder="1" applyAlignment="1">
      <alignment vertical="center"/>
    </xf>
    <xf numFmtId="0" fontId="4" fillId="0" borderId="1" xfId="15" quotePrefix="1" applyFont="1" applyBorder="1" applyAlignment="1">
      <alignment horizontal="left" vertical="center" wrapText="1"/>
    </xf>
    <xf numFmtId="3" fontId="4" fillId="0" borderId="1" xfId="0" applyNumberFormat="1" applyFont="1" applyBorder="1" applyAlignment="1">
      <alignment horizontal="left" vertical="center"/>
    </xf>
    <xf numFmtId="3" fontId="4" fillId="0" borderId="1" xfId="0" applyNumberFormat="1" applyFont="1" applyBorder="1" applyAlignment="1">
      <alignment horizontal="left" vertical="center" wrapText="1"/>
    </xf>
    <xf numFmtId="166" fontId="6" fillId="0" borderId="1" xfId="1" applyNumberFormat="1" applyFont="1" applyFill="1" applyBorder="1" applyAlignment="1">
      <alignment horizontal="right" vertical="center" wrapText="1"/>
    </xf>
    <xf numFmtId="3" fontId="20" fillId="0" borderId="1" xfId="5" applyNumberFormat="1" applyFont="1" applyFill="1" applyBorder="1" applyAlignment="1">
      <alignment horizontal="right" vertical="center"/>
    </xf>
    <xf numFmtId="3" fontId="20" fillId="0" borderId="0" xfId="5" applyNumberFormat="1" applyFont="1" applyFill="1" applyBorder="1" applyAlignment="1">
      <alignment vertical="center"/>
    </xf>
    <xf numFmtId="3" fontId="20" fillId="0" borderId="0" xfId="5" applyNumberFormat="1" applyFont="1" applyFill="1" applyBorder="1" applyAlignment="1">
      <alignment horizontal="right" vertical="center"/>
    </xf>
    <xf numFmtId="166" fontId="20" fillId="0" borderId="0" xfId="1" applyNumberFormat="1" applyFont="1" applyFill="1" applyBorder="1" applyAlignment="1">
      <alignment horizontal="right" vertical="center"/>
    </xf>
    <xf numFmtId="166" fontId="4" fillId="0" borderId="0" xfId="1" applyNumberFormat="1" applyFont="1" applyFill="1" applyAlignment="1">
      <alignment vertical="center"/>
    </xf>
    <xf numFmtId="172" fontId="4" fillId="0" borderId="0" xfId="1" applyNumberFormat="1" applyFont="1" applyFill="1" applyAlignment="1">
      <alignment vertical="center"/>
    </xf>
    <xf numFmtId="43" fontId="4" fillId="0" borderId="0" xfId="1" applyFont="1" applyFill="1" applyAlignment="1">
      <alignment vertical="center"/>
    </xf>
    <xf numFmtId="166" fontId="4" fillId="0" borderId="0" xfId="1" applyNumberFormat="1" applyFont="1" applyFill="1" applyAlignment="1">
      <alignment horizontal="right" vertical="center"/>
    </xf>
    <xf numFmtId="166" fontId="7" fillId="0" borderId="0" xfId="11" applyNumberFormat="1" applyFont="1" applyAlignment="1">
      <alignment horizontal="right" vertical="center"/>
    </xf>
    <xf numFmtId="166" fontId="6" fillId="0" borderId="0" xfId="11" applyNumberFormat="1" applyFont="1" applyAlignment="1">
      <alignment horizontal="right" vertical="center"/>
    </xf>
    <xf numFmtId="166" fontId="15" fillId="0" borderId="0" xfId="11" applyNumberFormat="1" applyFont="1" applyAlignment="1">
      <alignment horizontal="right" vertical="center"/>
    </xf>
    <xf numFmtId="166" fontId="7" fillId="0" borderId="0" xfId="11" applyNumberFormat="1" applyFont="1" applyAlignment="1">
      <alignment vertical="center"/>
    </xf>
    <xf numFmtId="0" fontId="21" fillId="0" borderId="0" xfId="11" applyFont="1" applyAlignment="1">
      <alignment horizontal="center" vertical="center"/>
    </xf>
    <xf numFmtId="3" fontId="22" fillId="0" borderId="0" xfId="11" applyNumberFormat="1" applyFont="1" applyAlignment="1">
      <alignment horizontal="center" vertical="center"/>
    </xf>
    <xf numFmtId="166" fontId="22" fillId="0" borderId="0" xfId="1" applyNumberFormat="1" applyFont="1" applyFill="1" applyAlignment="1">
      <alignment horizontal="center" vertical="center"/>
    </xf>
    <xf numFmtId="3" fontId="6" fillId="0" borderId="0" xfId="11" applyNumberFormat="1" applyFont="1" applyAlignment="1">
      <alignment horizontal="center" vertical="center"/>
    </xf>
    <xf numFmtId="3" fontId="15" fillId="0" borderId="0" xfId="11" applyNumberFormat="1" applyFont="1" applyAlignment="1">
      <alignment horizontal="right" vertical="center"/>
    </xf>
    <xf numFmtId="0" fontId="27" fillId="0" borderId="0" xfId="11" applyFont="1" applyAlignment="1">
      <alignment vertical="center"/>
    </xf>
    <xf numFmtId="0" fontId="21" fillId="0" borderId="0" xfId="11" applyFont="1" applyAlignment="1">
      <alignment vertical="center"/>
    </xf>
    <xf numFmtId="166" fontId="21" fillId="0" borderId="0" xfId="1" applyNumberFormat="1" applyFont="1" applyFill="1" applyAlignment="1">
      <alignment vertical="center"/>
    </xf>
    <xf numFmtId="3" fontId="21" fillId="0" borderId="0" xfId="11" applyNumberFormat="1" applyFont="1" applyAlignment="1">
      <alignment vertical="center"/>
    </xf>
    <xf numFmtId="172" fontId="21" fillId="0" borderId="0" xfId="1" applyNumberFormat="1" applyFont="1" applyFill="1" applyAlignment="1">
      <alignment vertical="center"/>
    </xf>
    <xf numFmtId="43" fontId="21" fillId="0" borderId="0" xfId="1" applyFont="1" applyFill="1" applyAlignment="1">
      <alignment vertical="center"/>
    </xf>
    <xf numFmtId="166" fontId="7" fillId="0" borderId="0" xfId="1" applyNumberFormat="1" applyFont="1" applyFill="1" applyBorder="1" applyAlignment="1">
      <alignment vertical="center"/>
    </xf>
    <xf numFmtId="0" fontId="20" fillId="0" borderId="0" xfId="11" applyFont="1" applyAlignment="1">
      <alignment horizontal="right" vertical="center"/>
    </xf>
    <xf numFmtId="166" fontId="23" fillId="0" borderId="0" xfId="11" applyNumberFormat="1" applyFont="1" applyAlignment="1">
      <alignment vertical="center"/>
    </xf>
    <xf numFmtId="0" fontId="15" fillId="0" borderId="0" xfId="11" applyFont="1" applyAlignment="1">
      <alignment horizontal="right" vertical="center"/>
    </xf>
    <xf numFmtId="166" fontId="4" fillId="0" borderId="0" xfId="1" applyNumberFormat="1" applyFont="1" applyFill="1" applyAlignment="1">
      <alignment horizontal="right" vertical="center" wrapText="1"/>
    </xf>
    <xf numFmtId="0" fontId="6" fillId="0" borderId="0" xfId="12" applyFont="1" applyAlignment="1">
      <alignment horizontal="right" vertical="center"/>
    </xf>
    <xf numFmtId="0" fontId="9" fillId="0" borderId="0" xfId="11" applyFont="1" applyAlignment="1">
      <alignment horizontal="right" vertical="center"/>
    </xf>
    <xf numFmtId="3" fontId="4" fillId="0" borderId="14" xfId="5" applyNumberFormat="1" applyFont="1" applyFill="1" applyBorder="1" applyAlignment="1">
      <alignment horizontal="right" vertical="center" wrapText="1"/>
    </xf>
    <xf numFmtId="0" fontId="4" fillId="0" borderId="6" xfId="0" applyFont="1" applyBorder="1" applyAlignment="1">
      <alignment horizontal="center" vertical="center" wrapText="1"/>
    </xf>
    <xf numFmtId="0" fontId="4" fillId="0" borderId="9" xfId="0" applyFont="1" applyBorder="1" applyAlignment="1">
      <alignment horizontal="center" vertical="center" wrapText="1"/>
    </xf>
    <xf numFmtId="0" fontId="40" fillId="0" borderId="9" xfId="0" applyFont="1" applyBorder="1" applyAlignment="1">
      <alignment horizontal="center" vertical="center" wrapText="1"/>
    </xf>
    <xf numFmtId="0" fontId="40" fillId="0" borderId="9" xfId="0" applyFont="1" applyBorder="1" applyAlignment="1">
      <alignment horizontal="right" vertical="center" wrapText="1"/>
    </xf>
    <xf numFmtId="166" fontId="4" fillId="0" borderId="1" xfId="1" quotePrefix="1" applyNumberFormat="1" applyFont="1" applyFill="1" applyBorder="1" applyAlignment="1">
      <alignment horizontal="center" vertical="center"/>
    </xf>
    <xf numFmtId="166" fontId="4" fillId="0" borderId="1" xfId="11" quotePrefix="1" applyNumberFormat="1" applyFont="1" applyBorder="1" applyAlignment="1">
      <alignment horizontal="center" vertical="center"/>
    </xf>
    <xf numFmtId="166" fontId="4" fillId="0" borderId="1" xfId="11" applyNumberFormat="1" applyFont="1" applyBorder="1" applyAlignment="1">
      <alignment horizontal="center" vertical="center"/>
    </xf>
    <xf numFmtId="166" fontId="4" fillId="0" borderId="1" xfId="11" applyNumberFormat="1" applyFont="1" applyBorder="1" applyAlignment="1">
      <alignment horizontal="right" vertical="center"/>
    </xf>
    <xf numFmtId="43" fontId="4" fillId="0" borderId="1" xfId="1" applyFont="1" applyFill="1" applyBorder="1" applyAlignment="1">
      <alignment horizontal="center" vertical="center" wrapText="1"/>
    </xf>
    <xf numFmtId="166" fontId="4" fillId="0" borderId="1" xfId="1" applyNumberFormat="1" applyFont="1" applyFill="1" applyBorder="1" applyAlignment="1">
      <alignment horizontal="center" vertical="center"/>
    </xf>
    <xf numFmtId="3" fontId="4" fillId="0" borderId="1" xfId="9" applyNumberFormat="1" applyFont="1" applyFill="1" applyBorder="1" applyAlignment="1">
      <alignment horizontal="center" vertical="center" wrapText="1"/>
    </xf>
    <xf numFmtId="169" fontId="4" fillId="0" borderId="9" xfId="0" applyNumberFormat="1" applyFont="1" applyBorder="1" applyAlignment="1">
      <alignment horizontal="right" vertical="center" wrapText="1"/>
    </xf>
    <xf numFmtId="166" fontId="6" fillId="0" borderId="1" xfId="1" applyNumberFormat="1" applyFont="1" applyFill="1" applyBorder="1" applyAlignment="1">
      <alignment vertical="center" wrapText="1"/>
    </xf>
    <xf numFmtId="41" fontId="6" fillId="0" borderId="1" xfId="0" applyNumberFormat="1" applyFont="1" applyBorder="1" applyAlignment="1">
      <alignment horizontal="right" vertical="center" wrapText="1"/>
    </xf>
    <xf numFmtId="166" fontId="15" fillId="0" borderId="0" xfId="1" applyNumberFormat="1" applyFont="1" applyFill="1" applyAlignment="1">
      <alignment vertical="center"/>
    </xf>
    <xf numFmtId="3" fontId="20" fillId="0" borderId="13" xfId="5" applyNumberFormat="1" applyFont="1" applyFill="1" applyBorder="1" applyAlignment="1">
      <alignment vertical="center"/>
    </xf>
    <xf numFmtId="3" fontId="20" fillId="0" borderId="14" xfId="5" applyNumberFormat="1" applyFont="1" applyFill="1" applyBorder="1" applyAlignment="1">
      <alignment vertical="center"/>
    </xf>
    <xf numFmtId="3" fontId="20" fillId="0" borderId="4" xfId="5" applyNumberFormat="1" applyFont="1" applyFill="1" applyBorder="1" applyAlignment="1">
      <alignment vertical="center"/>
    </xf>
    <xf numFmtId="166" fontId="6" fillId="0" borderId="0" xfId="1" applyNumberFormat="1" applyFont="1" applyFill="1"/>
    <xf numFmtId="166" fontId="7" fillId="0" borderId="0" xfId="1" applyNumberFormat="1" applyFont="1" applyFill="1" applyAlignment="1">
      <alignment horizontal="left" vertical="center" wrapText="1"/>
    </xf>
    <xf numFmtId="3" fontId="15" fillId="0" borderId="0" xfId="5" applyNumberFormat="1" applyFont="1" applyFill="1" applyBorder="1" applyAlignment="1">
      <alignment vertical="center"/>
    </xf>
    <xf numFmtId="3" fontId="15" fillId="0" borderId="0" xfId="5" applyNumberFormat="1" applyFont="1" applyFill="1" applyBorder="1" applyAlignment="1">
      <alignment horizontal="right" vertical="center"/>
    </xf>
    <xf numFmtId="166" fontId="15" fillId="0" borderId="0" xfId="1" applyNumberFormat="1" applyFont="1" applyFill="1" applyBorder="1" applyAlignment="1">
      <alignment horizontal="right" vertical="center"/>
    </xf>
    <xf numFmtId="0" fontId="6" fillId="0" borderId="0" xfId="11" applyFont="1" applyAlignment="1">
      <alignment horizontal="right" vertical="center"/>
    </xf>
    <xf numFmtId="166" fontId="27" fillId="0" borderId="0" xfId="11" applyNumberFormat="1" applyFont="1" applyAlignment="1">
      <alignment vertical="center"/>
    </xf>
    <xf numFmtId="3" fontId="19" fillId="0" borderId="0" xfId="11" applyNumberFormat="1" applyFont="1" applyAlignment="1">
      <alignment horizontal="center" vertical="center"/>
    </xf>
    <xf numFmtId="3" fontId="4" fillId="0" borderId="0" xfId="11" applyNumberFormat="1" applyFont="1" applyAlignment="1">
      <alignment vertical="center"/>
    </xf>
    <xf numFmtId="3" fontId="20" fillId="3" borderId="1" xfId="5" applyNumberFormat="1" applyFont="1" applyFill="1" applyBorder="1" applyAlignment="1">
      <alignment horizontal="right" vertical="center"/>
    </xf>
    <xf numFmtId="3" fontId="81" fillId="0" borderId="0" xfId="11" applyNumberFormat="1" applyFont="1" applyAlignment="1">
      <alignment vertical="center"/>
    </xf>
    <xf numFmtId="43" fontId="6" fillId="0" borderId="9" xfId="1" applyNumberFormat="1" applyFont="1" applyFill="1" applyBorder="1" applyAlignment="1">
      <alignment horizontal="right" vertical="center" wrapText="1"/>
    </xf>
    <xf numFmtId="0" fontId="4" fillId="0" borderId="6" xfId="0" applyFont="1" applyBorder="1" applyAlignment="1">
      <alignment horizontal="center" vertical="center" wrapText="1"/>
    </xf>
    <xf numFmtId="0" fontId="4" fillId="0" borderId="9" xfId="0" applyFont="1" applyBorder="1" applyAlignment="1">
      <alignment horizontal="center" vertical="center" wrapText="1"/>
    </xf>
    <xf numFmtId="166" fontId="4" fillId="0" borderId="13" xfId="1" applyNumberFormat="1" applyFont="1" applyFill="1" applyBorder="1" applyAlignment="1">
      <alignment horizontal="center" vertical="center" wrapText="1"/>
    </xf>
    <xf numFmtId="166" fontId="4" fillId="0" borderId="4" xfId="1" applyNumberFormat="1" applyFont="1" applyFill="1" applyBorder="1" applyAlignment="1">
      <alignment horizontal="center" vertical="center" wrapText="1"/>
    </xf>
    <xf numFmtId="3" fontId="4" fillId="0" borderId="6" xfId="5" applyNumberFormat="1" applyFont="1" applyFill="1" applyBorder="1" applyAlignment="1">
      <alignment horizontal="center" vertical="center" wrapText="1"/>
    </xf>
    <xf numFmtId="3" fontId="4" fillId="0" borderId="9" xfId="5" applyNumberFormat="1" applyFont="1" applyFill="1" applyBorder="1" applyAlignment="1">
      <alignment horizontal="center" vertical="center" wrapText="1"/>
    </xf>
    <xf numFmtId="43" fontId="4" fillId="0" borderId="6" xfId="1" applyFont="1" applyFill="1" applyBorder="1" applyAlignment="1">
      <alignment horizontal="center" vertical="center" wrapText="1"/>
    </xf>
    <xf numFmtId="43" fontId="4" fillId="0" borderId="9" xfId="1" applyFont="1" applyFill="1" applyBorder="1" applyAlignment="1">
      <alignment horizontal="center" vertical="center" wrapText="1"/>
    </xf>
    <xf numFmtId="166" fontId="4" fillId="0" borderId="6" xfId="1" applyNumberFormat="1" applyFont="1" applyFill="1" applyBorder="1" applyAlignment="1">
      <alignment horizontal="center" vertical="center" wrapText="1"/>
    </xf>
    <xf numFmtId="166" fontId="4" fillId="0" borderId="9" xfId="1" applyNumberFormat="1" applyFont="1" applyFill="1" applyBorder="1" applyAlignment="1">
      <alignment horizontal="center" vertical="center" wrapText="1"/>
    </xf>
    <xf numFmtId="3" fontId="4" fillId="0" borderId="13" xfId="5" applyNumberFormat="1" applyFont="1" applyFill="1" applyBorder="1" applyAlignment="1">
      <alignment horizontal="center" vertical="center" wrapText="1"/>
    </xf>
    <xf numFmtId="3" fontId="4" fillId="0" borderId="14" xfId="5" applyNumberFormat="1" applyFont="1" applyFill="1" applyBorder="1" applyAlignment="1">
      <alignment horizontal="center" vertical="center" wrapText="1"/>
    </xf>
    <xf numFmtId="3" fontId="4" fillId="0" borderId="4" xfId="5" applyNumberFormat="1" applyFont="1" applyFill="1" applyBorder="1" applyAlignment="1">
      <alignment horizontal="center" vertical="center" wrapText="1"/>
    </xf>
    <xf numFmtId="166" fontId="4" fillId="0" borderId="57" xfId="1" applyNumberFormat="1" applyFont="1" applyFill="1" applyBorder="1" applyAlignment="1">
      <alignment horizontal="center" vertical="center" wrapText="1"/>
    </xf>
    <xf numFmtId="166" fontId="4" fillId="0" borderId="12" xfId="1" applyNumberFormat="1" applyFont="1" applyFill="1" applyBorder="1" applyAlignment="1">
      <alignment horizontal="center" vertical="center" wrapText="1"/>
    </xf>
    <xf numFmtId="0" fontId="13" fillId="0" borderId="0" xfId="11" applyFont="1" applyAlignment="1">
      <alignment horizontal="center" vertical="center"/>
    </xf>
    <xf numFmtId="0" fontId="6" fillId="0" borderId="0" xfId="11" applyFont="1" applyAlignment="1">
      <alignment horizontal="center" vertical="center"/>
    </xf>
    <xf numFmtId="3" fontId="4" fillId="0" borderId="57" xfId="5" applyNumberFormat="1" applyFont="1" applyFill="1" applyBorder="1" applyAlignment="1">
      <alignment horizontal="center" vertical="center" wrapText="1"/>
    </xf>
    <xf numFmtId="3" fontId="4" fillId="0" borderId="12" xfId="5" applyNumberFormat="1" applyFont="1" applyFill="1" applyBorder="1" applyAlignment="1">
      <alignment horizontal="center" vertical="center" wrapText="1"/>
    </xf>
    <xf numFmtId="43" fontId="4" fillId="0" borderId="57" xfId="1" applyFont="1" applyFill="1" applyBorder="1" applyAlignment="1">
      <alignment horizontal="center" vertical="center" wrapText="1"/>
    </xf>
    <xf numFmtId="43" fontId="4" fillId="0" borderId="12" xfId="1" applyFont="1" applyFill="1" applyBorder="1" applyAlignment="1">
      <alignment horizontal="center" vertical="center" wrapText="1"/>
    </xf>
    <xf numFmtId="3" fontId="4" fillId="0" borderId="57" xfId="5" applyNumberFormat="1" applyFont="1" applyFill="1" applyBorder="1" applyAlignment="1">
      <alignment horizontal="center" vertical="center"/>
    </xf>
    <xf numFmtId="3" fontId="4" fillId="0" borderId="12" xfId="5" applyNumberFormat="1" applyFont="1" applyFill="1" applyBorder="1" applyAlignment="1">
      <alignment horizontal="center" vertical="center"/>
    </xf>
    <xf numFmtId="3" fontId="4" fillId="0" borderId="9" xfId="5" applyNumberFormat="1" applyFont="1" applyFill="1" applyBorder="1" applyAlignment="1">
      <alignment horizontal="center" vertical="center"/>
    </xf>
    <xf numFmtId="0" fontId="19" fillId="0" borderId="0" xfId="12" applyFont="1" applyAlignment="1">
      <alignment horizontal="center" vertical="center"/>
    </xf>
    <xf numFmtId="3" fontId="13" fillId="0" borderId="0" xfId="11" applyNumberFormat="1" applyFont="1" applyAlignment="1">
      <alignment horizontal="center" vertical="center"/>
    </xf>
    <xf numFmtId="0" fontId="61" fillId="0" borderId="0" xfId="11" applyFont="1" applyAlignment="1">
      <alignment horizontal="center" vertical="center"/>
    </xf>
    <xf numFmtId="0" fontId="80" fillId="0" borderId="0" xfId="11" applyFont="1" applyAlignment="1">
      <alignment horizontal="center" vertical="center"/>
    </xf>
    <xf numFmtId="3" fontId="67" fillId="0" borderId="6" xfId="5" applyNumberFormat="1" applyFont="1" applyFill="1" applyBorder="1" applyAlignment="1">
      <alignment horizontal="center" vertical="center" wrapText="1"/>
    </xf>
    <xf numFmtId="3" fontId="67" fillId="0" borderId="9" xfId="5" applyNumberFormat="1" applyFont="1" applyFill="1" applyBorder="1" applyAlignment="1">
      <alignment horizontal="center" vertical="center" wrapText="1"/>
    </xf>
    <xf numFmtId="3" fontId="67" fillId="0" borderId="12" xfId="5" applyNumberFormat="1" applyFont="1" applyFill="1" applyBorder="1" applyAlignment="1">
      <alignment horizontal="center" vertical="center" wrapText="1"/>
    </xf>
    <xf numFmtId="3" fontId="67" fillId="0" borderId="13" xfId="5" applyNumberFormat="1" applyFont="1" applyFill="1" applyBorder="1" applyAlignment="1">
      <alignment horizontal="center" vertical="center" wrapText="1"/>
    </xf>
    <xf numFmtId="3" fontId="67" fillId="0" borderId="4" xfId="5" applyNumberFormat="1" applyFont="1" applyFill="1" applyBorder="1" applyAlignment="1">
      <alignment horizontal="center" vertical="center" wrapText="1"/>
    </xf>
    <xf numFmtId="1" fontId="4" fillId="0" borderId="13" xfId="1" applyNumberFormat="1" applyFont="1" applyFill="1" applyBorder="1" applyAlignment="1">
      <alignment horizontal="center" vertical="center"/>
    </xf>
    <xf numFmtId="1" fontId="4" fillId="0" borderId="4" xfId="1" applyNumberFormat="1" applyFont="1" applyFill="1" applyBorder="1" applyAlignment="1">
      <alignment horizontal="center" vertical="center"/>
    </xf>
    <xf numFmtId="0" fontId="0" fillId="0" borderId="0" xfId="0" applyAlignment="1">
      <alignment horizontal="center" vertical="center"/>
    </xf>
    <xf numFmtId="0" fontId="62" fillId="0" borderId="0" xfId="0" applyFont="1" applyAlignment="1">
      <alignment horizontal="center" vertical="center"/>
    </xf>
    <xf numFmtId="0" fontId="61" fillId="0" borderId="0" xfId="0" applyFont="1" applyAlignment="1">
      <alignment horizontal="center" vertical="center"/>
    </xf>
    <xf numFmtId="0" fontId="78" fillId="0" borderId="0" xfId="0" applyFont="1" applyAlignment="1">
      <alignment horizontal="center" vertical="center"/>
    </xf>
    <xf numFmtId="0" fontId="79" fillId="0" borderId="0" xfId="0" applyFont="1" applyAlignment="1">
      <alignment horizontal="center" vertical="center"/>
    </xf>
    <xf numFmtId="0" fontId="62" fillId="0" borderId="13" xfId="0" applyFont="1" applyBorder="1" applyAlignment="1">
      <alignment horizontal="center" vertical="center"/>
    </xf>
    <xf numFmtId="0" fontId="62" fillId="0" borderId="4" xfId="0" applyFont="1" applyBorder="1" applyAlignment="1">
      <alignment horizontal="center" vertical="center"/>
    </xf>
    <xf numFmtId="3" fontId="83" fillId="0" borderId="13" xfId="5" applyNumberFormat="1" applyFont="1" applyFill="1" applyBorder="1" applyAlignment="1">
      <alignment horizontal="center" vertical="center"/>
    </xf>
    <xf numFmtId="3" fontId="83" fillId="0" borderId="14" xfId="5" applyNumberFormat="1" applyFont="1" applyFill="1" applyBorder="1" applyAlignment="1">
      <alignment horizontal="center" vertical="center"/>
    </xf>
    <xf numFmtId="3" fontId="83" fillId="0" borderId="4" xfId="5" applyNumberFormat="1" applyFont="1" applyFill="1" applyBorder="1" applyAlignment="1">
      <alignment horizontal="center" vertical="center"/>
    </xf>
    <xf numFmtId="0" fontId="131" fillId="0" borderId="0" xfId="0" applyFont="1" applyAlignment="1">
      <alignment horizontal="center"/>
    </xf>
    <xf numFmtId="0" fontId="0" fillId="0" borderId="0" xfId="0"/>
    <xf numFmtId="0" fontId="131" fillId="0" borderId="11" xfId="0" applyFont="1" applyBorder="1" applyAlignment="1">
      <alignment horizontal="left"/>
    </xf>
    <xf numFmtId="0" fontId="134" fillId="0" borderId="0" xfId="0" applyFont="1" applyAlignment="1">
      <alignment horizontal="center"/>
    </xf>
    <xf numFmtId="0" fontId="131" fillId="0" borderId="0" xfId="0" applyFont="1" applyAlignment="1">
      <alignment horizontal="left"/>
    </xf>
    <xf numFmtId="0" fontId="132" fillId="0" borderId="0" xfId="0" applyFont="1" applyAlignment="1">
      <alignment horizontal="center"/>
    </xf>
    <xf numFmtId="0" fontId="131" fillId="0" borderId="11" xfId="0" applyFont="1" applyBorder="1" applyAlignment="1">
      <alignment horizontal="center"/>
    </xf>
    <xf numFmtId="0" fontId="91" fillId="0" borderId="0" xfId="0" applyFont="1" applyAlignment="1" applyProtection="1">
      <alignment horizontal="center" vertical="center" wrapText="1"/>
      <protection locked="0"/>
    </xf>
    <xf numFmtId="0" fontId="61" fillId="0" borderId="0" xfId="0" applyFont="1" applyAlignment="1" applyProtection="1">
      <alignment horizontal="center" vertical="center" wrapText="1"/>
      <protection locked="0"/>
    </xf>
    <xf numFmtId="0" fontId="61" fillId="10" borderId="44" xfId="0" applyFont="1" applyFill="1" applyBorder="1" applyAlignment="1">
      <alignment horizontal="center" vertical="center" wrapText="1"/>
    </xf>
    <xf numFmtId="0" fontId="61" fillId="10" borderId="10" xfId="0" applyFont="1" applyFill="1" applyBorder="1" applyAlignment="1">
      <alignment horizontal="center" vertical="center" wrapText="1"/>
    </xf>
    <xf numFmtId="0" fontId="61" fillId="10" borderId="6" xfId="0" applyFont="1" applyFill="1" applyBorder="1" applyAlignment="1">
      <alignment horizontal="center" vertical="center" wrapText="1"/>
    </xf>
    <xf numFmtId="0" fontId="61" fillId="10" borderId="48" xfId="0" applyFont="1" applyFill="1" applyBorder="1" applyAlignment="1">
      <alignment horizontal="center" vertical="center" wrapText="1"/>
    </xf>
    <xf numFmtId="0" fontId="61" fillId="10" borderId="44" xfId="0" applyFont="1" applyFill="1" applyBorder="1" applyAlignment="1">
      <alignment horizontal="center" vertical="center"/>
    </xf>
    <xf numFmtId="0" fontId="61" fillId="10" borderId="10" xfId="0" applyFont="1" applyFill="1" applyBorder="1" applyAlignment="1">
      <alignment horizontal="center" vertical="center"/>
    </xf>
    <xf numFmtId="0" fontId="61" fillId="10" borderId="45" xfId="0" applyFont="1" applyFill="1" applyBorder="1" applyAlignment="1" applyProtection="1">
      <alignment horizontal="center" vertical="center" wrapText="1"/>
      <protection locked="0"/>
    </xf>
    <xf numFmtId="0" fontId="61" fillId="10" borderId="46" xfId="0" applyFont="1" applyFill="1" applyBorder="1" applyAlignment="1" applyProtection="1">
      <alignment horizontal="center" vertical="center" wrapText="1"/>
      <protection locked="0"/>
    </xf>
    <xf numFmtId="0" fontId="61" fillId="10" borderId="47" xfId="0" applyFont="1" applyFill="1" applyBorder="1" applyAlignment="1" applyProtection="1">
      <alignment horizontal="center" vertical="center" wrapText="1"/>
      <protection locked="0"/>
    </xf>
    <xf numFmtId="0" fontId="61" fillId="0" borderId="49" xfId="0" applyFont="1" applyBorder="1" applyAlignment="1">
      <alignment horizontal="center" vertical="center" wrapText="1"/>
    </xf>
    <xf numFmtId="0" fontId="104" fillId="11" borderId="44" xfId="0" applyFont="1" applyFill="1" applyBorder="1" applyAlignment="1">
      <alignment horizontal="center" vertical="center" wrapText="1"/>
    </xf>
    <xf numFmtId="0" fontId="61" fillId="10" borderId="44" xfId="0" applyFont="1" applyFill="1" applyBorder="1" applyAlignment="1" applyProtection="1">
      <alignment horizontal="center" vertical="center" wrapText="1"/>
      <protection locked="0"/>
    </xf>
    <xf numFmtId="3" fontId="4" fillId="2" borderId="13" xfId="5" applyNumberFormat="1" applyFont="1" applyFill="1" applyBorder="1" applyAlignment="1">
      <alignment horizontal="center" vertical="center"/>
    </xf>
    <xf numFmtId="3" fontId="4" fillId="2" borderId="14" xfId="5" applyNumberFormat="1" applyFont="1" applyFill="1" applyBorder="1" applyAlignment="1">
      <alignment horizontal="center" vertical="center"/>
    </xf>
    <xf numFmtId="3" fontId="13" fillId="2" borderId="0" xfId="11" applyNumberFormat="1" applyFont="1" applyFill="1" applyAlignment="1">
      <alignment horizontal="center" vertical="center"/>
    </xf>
    <xf numFmtId="0" fontId="17" fillId="2" borderId="0" xfId="11" applyFont="1" applyFill="1" applyAlignment="1">
      <alignment horizontal="center" vertical="center"/>
    </xf>
    <xf numFmtId="0" fontId="6" fillId="2" borderId="0" xfId="11" applyFont="1" applyFill="1" applyAlignment="1">
      <alignment horizontal="left" vertical="center"/>
    </xf>
    <xf numFmtId="0" fontId="39" fillId="2" borderId="0" xfId="12" applyFont="1" applyFill="1" applyAlignment="1">
      <alignment horizontal="center" vertical="center"/>
    </xf>
    <xf numFmtId="0" fontId="32" fillId="2" borderId="0" xfId="11" applyFont="1" applyFill="1" applyAlignment="1">
      <alignment horizontal="center" vertical="center"/>
    </xf>
    <xf numFmtId="3" fontId="4" fillId="2" borderId="6" xfId="5" applyNumberFormat="1" applyFont="1" applyFill="1" applyBorder="1" applyAlignment="1">
      <alignment horizontal="center" vertical="center" wrapText="1"/>
    </xf>
    <xf numFmtId="3" fontId="4" fillId="2" borderId="9" xfId="5" applyNumberFormat="1" applyFont="1" applyFill="1" applyBorder="1" applyAlignment="1">
      <alignment horizontal="center" vertical="center" wrapText="1"/>
    </xf>
    <xf numFmtId="3" fontId="4" fillId="2" borderId="13" xfId="5" applyNumberFormat="1" applyFont="1" applyFill="1" applyBorder="1" applyAlignment="1">
      <alignment horizontal="center" vertical="center" wrapText="1"/>
    </xf>
    <xf numFmtId="3" fontId="4" fillId="2" borderId="4" xfId="5" applyNumberFormat="1" applyFont="1" applyFill="1" applyBorder="1" applyAlignment="1">
      <alignment horizontal="center" vertical="center" wrapText="1"/>
    </xf>
    <xf numFmtId="0" fontId="4" fillId="2" borderId="1" xfId="11" applyFont="1" applyFill="1" applyBorder="1" applyAlignment="1">
      <alignment horizontal="center" vertical="center" wrapText="1"/>
    </xf>
    <xf numFmtId="0" fontId="91" fillId="0" borderId="0" xfId="0" applyFont="1" applyAlignment="1">
      <alignment vertical="top" wrapText="1"/>
    </xf>
    <xf numFmtId="0" fontId="106" fillId="0" borderId="0" xfId="0" applyFont="1" applyAlignment="1">
      <alignment horizontal="center" vertical="center" wrapText="1"/>
    </xf>
    <xf numFmtId="0" fontId="90" fillId="0" borderId="0" xfId="0" applyFont="1" applyAlignment="1">
      <alignment horizontal="center" vertical="center" wrapText="1"/>
    </xf>
    <xf numFmtId="0" fontId="107" fillId="0" borderId="0" xfId="0" applyFont="1" applyAlignment="1">
      <alignment horizontal="center" vertical="center" wrapText="1"/>
    </xf>
    <xf numFmtId="0" fontId="108" fillId="0" borderId="0" xfId="0" applyFont="1" applyAlignment="1">
      <alignment horizontal="center" vertical="center" wrapText="1"/>
    </xf>
    <xf numFmtId="0" fontId="80" fillId="0" borderId="0" xfId="0" applyFont="1" applyAlignment="1">
      <alignment horizontal="right" vertical="center" wrapText="1"/>
    </xf>
    <xf numFmtId="0" fontId="100" fillId="0" borderId="0" xfId="0" applyFont="1" applyAlignment="1">
      <alignment horizontal="left" vertical="center"/>
    </xf>
    <xf numFmtId="0" fontId="6" fillId="0" borderId="0" xfId="0" applyFont="1" applyAlignment="1">
      <alignment horizontal="center" vertical="center" wrapText="1"/>
    </xf>
    <xf numFmtId="0" fontId="109" fillId="0" borderId="0" xfId="0" applyFont="1" applyAlignment="1">
      <alignment horizontal="center" vertical="center"/>
    </xf>
    <xf numFmtId="0" fontId="91" fillId="0" borderId="0" xfId="0" quotePrefix="1" applyFont="1" applyAlignment="1">
      <alignment vertical="center" wrapText="1"/>
    </xf>
    <xf numFmtId="0" fontId="91" fillId="0" borderId="0" xfId="0" quotePrefix="1" applyFont="1" applyAlignment="1">
      <alignment horizontal="left" vertical="center"/>
    </xf>
    <xf numFmtId="0" fontId="91" fillId="0" borderId="0" xfId="0" quotePrefix="1" applyFont="1" applyAlignment="1">
      <alignment horizontal="left" vertical="center" wrapText="1"/>
    </xf>
    <xf numFmtId="0" fontId="67" fillId="0" borderId="13" xfId="0" quotePrefix="1" applyFont="1" applyBorder="1" applyAlignment="1">
      <alignment horizontal="left" vertical="center" wrapText="1"/>
    </xf>
    <xf numFmtId="0" fontId="67" fillId="0" borderId="14" xfId="0" quotePrefix="1" applyFont="1" applyBorder="1" applyAlignment="1">
      <alignment horizontal="left" vertical="center" wrapText="1"/>
    </xf>
    <xf numFmtId="0" fontId="67" fillId="0" borderId="4" xfId="0" quotePrefix="1" applyFont="1" applyBorder="1" applyAlignment="1">
      <alignment horizontal="left" vertical="center" wrapText="1"/>
    </xf>
    <xf numFmtId="0" fontId="67" fillId="0" borderId="1" xfId="0" applyFont="1" applyBorder="1" applyAlignment="1">
      <alignment horizontal="left" vertical="center"/>
    </xf>
    <xf numFmtId="0" fontId="67" fillId="0" borderId="13" xfId="0" applyFont="1" applyBorder="1" applyAlignment="1">
      <alignment horizontal="left" vertical="center"/>
    </xf>
    <xf numFmtId="0" fontId="67" fillId="0" borderId="14" xfId="0" applyFont="1" applyBorder="1" applyAlignment="1">
      <alignment horizontal="left" vertical="center"/>
    </xf>
    <xf numFmtId="0" fontId="67" fillId="0" borderId="4" xfId="0" applyFont="1" applyBorder="1" applyAlignment="1">
      <alignment horizontal="left" vertical="center"/>
    </xf>
    <xf numFmtId="0" fontId="39" fillId="2" borderId="0" xfId="0" applyFont="1" applyFill="1" applyAlignment="1">
      <alignment horizontal="left" vertical="center" wrapText="1"/>
    </xf>
    <xf numFmtId="0" fontId="80" fillId="0" borderId="0" xfId="0" applyFont="1" applyAlignment="1">
      <alignment horizontal="left" vertical="center" wrapText="1"/>
    </xf>
    <xf numFmtId="0" fontId="115" fillId="0" borderId="0" xfId="0" applyFont="1" applyAlignment="1">
      <alignment horizontal="left" vertical="center" wrapText="1"/>
    </xf>
    <xf numFmtId="0" fontId="116" fillId="0" borderId="0" xfId="0" applyFont="1" applyAlignment="1">
      <alignment horizontal="left" vertical="center"/>
    </xf>
    <xf numFmtId="0" fontId="91" fillId="0" borderId="0" xfId="0" applyFont="1" applyAlignment="1">
      <alignment horizontal="left" vertical="center"/>
    </xf>
    <xf numFmtId="0" fontId="8" fillId="0" borderId="0" xfId="14" applyFont="1" applyAlignment="1">
      <alignment horizontal="left"/>
    </xf>
    <xf numFmtId="0" fontId="91" fillId="0" borderId="0" xfId="0" applyFont="1" applyAlignment="1">
      <alignment horizontal="left" vertical="center" wrapText="1"/>
    </xf>
    <xf numFmtId="0" fontId="78" fillId="0" borderId="0" xfId="0" applyFont="1" applyAlignment="1">
      <alignment horizontal="center" vertical="center" wrapText="1"/>
    </xf>
    <xf numFmtId="0" fontId="117" fillId="0" borderId="0" xfId="0" applyFont="1" applyAlignment="1">
      <alignment horizontal="left" vertical="center" wrapText="1"/>
    </xf>
    <xf numFmtId="0" fontId="79" fillId="0" borderId="0" xfId="0" applyFont="1" applyAlignment="1">
      <alignment horizontal="center" vertical="center" wrapText="1"/>
    </xf>
    <xf numFmtId="0" fontId="57" fillId="0" borderId="0" xfId="16" applyAlignment="1">
      <alignment horizontal="center" vertical="center"/>
    </xf>
    <xf numFmtId="0" fontId="61" fillId="0" borderId="0" xfId="16" applyFont="1" applyAlignment="1">
      <alignment horizontal="center" vertical="center"/>
    </xf>
    <xf numFmtId="0" fontId="62" fillId="0" borderId="0" xfId="16" applyFont="1" applyAlignment="1">
      <alignment horizontal="center" vertical="center"/>
    </xf>
    <xf numFmtId="0" fontId="78" fillId="0" borderId="0" xfId="16" applyFont="1" applyAlignment="1">
      <alignment horizontal="center" vertical="center"/>
    </xf>
    <xf numFmtId="0" fontId="79" fillId="0" borderId="0" xfId="16" applyFont="1" applyAlignment="1">
      <alignment horizontal="center" vertical="center"/>
    </xf>
    <xf numFmtId="0" fontId="62" fillId="0" borderId="13" xfId="16" applyFont="1" applyBorder="1" applyAlignment="1">
      <alignment horizontal="center" vertical="center"/>
    </xf>
    <xf numFmtId="0" fontId="62" fillId="0" borderId="4" xfId="16" applyFont="1" applyBorder="1" applyAlignment="1">
      <alignment horizontal="center" vertical="center"/>
    </xf>
    <xf numFmtId="3" fontId="4" fillId="2" borderId="57" xfId="5" applyNumberFormat="1" applyFont="1" applyFill="1" applyBorder="1" applyAlignment="1">
      <alignment horizontal="center" vertical="center" wrapText="1"/>
    </xf>
    <xf numFmtId="0" fontId="80" fillId="0" borderId="0" xfId="0" quotePrefix="1" applyFont="1" applyAlignment="1">
      <alignment horizontal="left" vertical="center" wrapText="1"/>
    </xf>
    <xf numFmtId="0" fontId="139" fillId="0" borderId="0" xfId="0" applyFont="1" applyAlignment="1">
      <alignment horizontal="center"/>
    </xf>
    <xf numFmtId="0" fontId="90" fillId="3" borderId="23" xfId="0" applyFont="1" applyFill="1" applyBorder="1" applyAlignment="1">
      <alignment horizontal="center" vertical="center" wrapText="1"/>
    </xf>
    <xf numFmtId="0" fontId="90" fillId="3" borderId="21" xfId="0" applyFont="1" applyFill="1" applyBorder="1" applyAlignment="1">
      <alignment horizontal="center" vertical="center" wrapText="1"/>
    </xf>
    <xf numFmtId="0" fontId="90" fillId="0" borderId="24" xfId="0" applyFont="1" applyBorder="1" applyAlignment="1">
      <alignment horizontal="center" vertical="center" wrapText="1"/>
    </xf>
    <xf numFmtId="0" fontId="90" fillId="0" borderId="25" xfId="0" applyFont="1" applyBorder="1" applyAlignment="1">
      <alignment horizontal="center" vertical="center" wrapText="1"/>
    </xf>
    <xf numFmtId="0" fontId="90" fillId="3" borderId="23" xfId="0" applyFont="1" applyFill="1" applyBorder="1" applyAlignment="1">
      <alignment vertical="center" wrapText="1"/>
    </xf>
    <xf numFmtId="0" fontId="90" fillId="3" borderId="21" xfId="0" applyFont="1" applyFill="1" applyBorder="1" applyAlignment="1">
      <alignment vertical="center" wrapText="1"/>
    </xf>
    <xf numFmtId="0" fontId="90" fillId="3" borderId="24" xfId="0" applyFont="1" applyFill="1" applyBorder="1" applyAlignment="1">
      <alignment horizontal="center" vertical="center" wrapText="1"/>
    </xf>
    <xf numFmtId="0" fontId="90" fillId="3" borderId="25" xfId="0" applyFont="1" applyFill="1" applyBorder="1" applyAlignment="1">
      <alignment horizontal="center" vertical="center" wrapText="1"/>
    </xf>
    <xf numFmtId="0" fontId="61" fillId="3" borderId="23" xfId="0" applyFont="1" applyFill="1" applyBorder="1" applyAlignment="1">
      <alignment horizontal="center" vertical="center" wrapText="1"/>
    </xf>
    <xf numFmtId="0" fontId="61" fillId="3" borderId="21" xfId="0" applyFont="1" applyFill="1" applyBorder="1" applyAlignment="1">
      <alignment horizontal="center" vertical="center" wrapText="1"/>
    </xf>
    <xf numFmtId="0" fontId="62" fillId="3" borderId="23" xfId="0" applyFont="1" applyFill="1" applyBorder="1" applyAlignment="1">
      <alignment horizontal="center" vertical="center" wrapText="1"/>
    </xf>
    <xf numFmtId="0" fontId="62" fillId="3" borderId="21" xfId="0" applyFont="1" applyFill="1" applyBorder="1" applyAlignment="1">
      <alignment horizontal="center" vertical="center" wrapText="1"/>
    </xf>
    <xf numFmtId="0" fontId="4" fillId="0" borderId="0" xfId="0" applyFont="1" applyAlignment="1">
      <alignment horizontal="left"/>
    </xf>
    <xf numFmtId="0" fontId="30" fillId="0" borderId="0" xfId="0" applyFont="1" applyAlignment="1">
      <alignment horizontal="center"/>
    </xf>
    <xf numFmtId="0" fontId="4" fillId="0" borderId="0" xfId="0" applyFont="1" applyAlignment="1">
      <alignment horizontal="center"/>
    </xf>
    <xf numFmtId="0" fontId="4" fillId="0" borderId="11" xfId="0" applyFont="1" applyBorder="1" applyAlignment="1">
      <alignment horizontal="center"/>
    </xf>
    <xf numFmtId="0" fontId="4" fillId="0" borderId="11" xfId="0" applyFont="1" applyBorder="1" applyAlignment="1">
      <alignment horizontal="left"/>
    </xf>
    <xf numFmtId="0" fontId="32" fillId="0" borderId="0" xfId="0" applyFont="1" applyAlignment="1">
      <alignment horizontal="center"/>
    </xf>
    <xf numFmtId="0" fontId="0" fillId="4" borderId="0" xfId="0" applyFill="1" applyAlignment="1">
      <alignment horizontal="center" wrapText="1"/>
    </xf>
    <xf numFmtId="0" fontId="82" fillId="4" borderId="62" xfId="0" applyFont="1" applyFill="1" applyBorder="1" applyAlignment="1">
      <alignment vertical="center" wrapText="1"/>
    </xf>
  </cellXfs>
  <cellStyles count="24">
    <cellStyle name="Comma" xfId="1" builtinId="3"/>
    <cellStyle name="Comma 11" xfId="2"/>
    <cellStyle name="Comma 18" xfId="3"/>
    <cellStyle name="Comma 2" xfId="4"/>
    <cellStyle name="Comma 2 2 2" xfId="5"/>
    <cellStyle name="Comma 2 3" xfId="6"/>
    <cellStyle name="Comma 2 3 2" xfId="23"/>
    <cellStyle name="Comma 3" xfId="7"/>
    <cellStyle name="Comma 4" xfId="8"/>
    <cellStyle name="Comma 5 2 2" xfId="9"/>
    <cellStyle name="Normal" xfId="0" builtinId="0"/>
    <cellStyle name="Normal 11" xfId="10"/>
    <cellStyle name="Normal 2" xfId="11"/>
    <cellStyle name="Normal 2 2" xfId="12"/>
    <cellStyle name="Normal 2 2 3" xfId="13"/>
    <cellStyle name="Normal 2 3" xfId="14"/>
    <cellStyle name="Normal 21" xfId="15"/>
    <cellStyle name="Normal 3" xfId="16"/>
    <cellStyle name="Normal 3 2" xfId="17"/>
    <cellStyle name="Normal 4" xfId="18"/>
    <cellStyle name="Normal 5" xfId="19"/>
    <cellStyle name="Normal 5 3" xfId="20"/>
    <cellStyle name="Normal 6" xfId="21"/>
    <cellStyle name="Percent" xfId="22" builtinId="5"/>
  </cellStyles>
  <dxfs count="87">
    <dxf>
      <fill>
        <patternFill patternType="solid">
          <fgColor rgb="FFFF0000"/>
          <bgColor rgb="FFFFFFFF"/>
        </patternFill>
      </fill>
    </dxf>
    <dxf>
      <fill>
        <patternFill patternType="solid">
          <fgColor rgb="FFFF0000"/>
          <bgColor rgb="FFFFFFFF"/>
        </patternFill>
      </fill>
    </dxf>
    <dxf>
      <fill>
        <patternFill patternType="solid">
          <fgColor auto="1"/>
          <bgColor indexed="65"/>
        </patternFill>
      </fill>
    </dxf>
    <dxf>
      <font>
        <color rgb="FF9C0006"/>
      </font>
      <fill>
        <patternFill>
          <bgColor rgb="FFFFC7CE"/>
        </patternFill>
      </fill>
    </dxf>
    <dxf>
      <fill>
        <patternFill patternType="solid">
          <fgColor rgb="FFFF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FF"/>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0066"/>
      <color rgb="FF0066FF"/>
      <color rgb="FFFF00FF"/>
      <color rgb="FF008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3.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externalLink" Target="externalLinks/externalLink8.xml"/><Relationship Id="rId16" Type="http://schemas.openxmlformats.org/officeDocument/2006/relationships/worksheet" Target="worksheets/sheet16.xml"/><Relationship Id="rId107" Type="http://schemas.openxmlformats.org/officeDocument/2006/relationships/externalLink" Target="externalLinks/externalLink3.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externalLink" Target="externalLinks/externalLink19.xml"/><Relationship Id="rId128"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externalLink" Target="externalLinks/externalLink9.xml"/><Relationship Id="rId118" Type="http://schemas.openxmlformats.org/officeDocument/2006/relationships/externalLink" Target="externalLinks/externalLink14.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externalLink" Target="externalLinks/externalLink4.xml"/><Relationship Id="rId124" Type="http://schemas.openxmlformats.org/officeDocument/2006/relationships/externalLink" Target="externalLinks/externalLink20.xml"/><Relationship Id="rId129" Type="http://schemas.openxmlformats.org/officeDocument/2006/relationships/styles" Target="styles.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externalLink" Target="externalLinks/externalLink10.xml"/><Relationship Id="rId119" Type="http://schemas.openxmlformats.org/officeDocument/2006/relationships/externalLink" Target="externalLinks/externalLink15.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5.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externalLink" Target="externalLinks/externalLink16.xml"/><Relationship Id="rId125" Type="http://schemas.openxmlformats.org/officeDocument/2006/relationships/externalLink" Target="externalLinks/externalLink2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externalLink" Target="externalLinks/externalLink6.xml"/><Relationship Id="rId115" Type="http://schemas.openxmlformats.org/officeDocument/2006/relationships/externalLink" Target="externalLinks/externalLink11.xml"/><Relationship Id="rId131"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externalLink" Target="externalLinks/externalLink1.xml"/><Relationship Id="rId126" Type="http://schemas.openxmlformats.org/officeDocument/2006/relationships/externalLink" Target="externalLinks/externalLink2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externalLink" Target="externalLinks/externalLink17.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externalLink" Target="externalLinks/externalLink7.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externalLink" Target="externalLinks/externalLink2.xml"/><Relationship Id="rId127" Type="http://schemas.openxmlformats.org/officeDocument/2006/relationships/externalLink" Target="externalLinks/externalLink2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externalLink" Target="externalLinks/externalLink1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xdr:col>
      <xdr:colOff>541020</xdr:colOff>
      <xdr:row>1</xdr:row>
      <xdr:rowOff>0</xdr:rowOff>
    </xdr:from>
    <xdr:to>
      <xdr:col>2</xdr:col>
      <xdr:colOff>1673599</xdr:colOff>
      <xdr:row>1</xdr:row>
      <xdr:rowOff>60960</xdr:rowOff>
    </xdr:to>
    <xdr:sp macro="" textlink="">
      <xdr:nvSpPr>
        <xdr:cNvPr id="563264" name="AutoShape 5" descr="Káº¿t quáº£ hÃ¬nh áº£nh cho Trang vÃ ng logo">
          <a:extLst>
            <a:ext uri="{FF2B5EF4-FFF2-40B4-BE49-F238E27FC236}">
              <a16:creationId xmlns:a16="http://schemas.microsoft.com/office/drawing/2014/main" id="{00000000-0008-0000-0100-000040980800}"/>
            </a:ext>
          </a:extLst>
        </xdr:cNvPr>
        <xdr:cNvSpPr>
          <a:spLocks noChangeAspect="1" noChangeArrowheads="1"/>
        </xdr:cNvSpPr>
      </xdr:nvSpPr>
      <xdr:spPr bwMode="auto">
        <a:xfrm>
          <a:off x="1577340" y="266700"/>
          <a:ext cx="1173480" cy="609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541020</xdr:colOff>
      <xdr:row>1</xdr:row>
      <xdr:rowOff>0</xdr:rowOff>
    </xdr:from>
    <xdr:to>
      <xdr:col>2</xdr:col>
      <xdr:colOff>1673599</xdr:colOff>
      <xdr:row>1</xdr:row>
      <xdr:rowOff>45720</xdr:rowOff>
    </xdr:to>
    <xdr:sp macro="" textlink="">
      <xdr:nvSpPr>
        <xdr:cNvPr id="563266" name="AutoShape 5" descr="Káº¿t quáº£ hÃ¬nh áº£nh cho Trang vÃ ng logo">
          <a:extLst>
            <a:ext uri="{FF2B5EF4-FFF2-40B4-BE49-F238E27FC236}">
              <a16:creationId xmlns:a16="http://schemas.microsoft.com/office/drawing/2014/main" id="{00000000-0008-0000-0100-000042980800}"/>
            </a:ext>
          </a:extLst>
        </xdr:cNvPr>
        <xdr:cNvSpPr>
          <a:spLocks noChangeAspect="1" noChangeArrowheads="1"/>
        </xdr:cNvSpPr>
      </xdr:nvSpPr>
      <xdr:spPr bwMode="auto">
        <a:xfrm>
          <a:off x="1577340" y="266700"/>
          <a:ext cx="1173480" cy="45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541020</xdr:colOff>
      <xdr:row>1</xdr:row>
      <xdr:rowOff>0</xdr:rowOff>
    </xdr:from>
    <xdr:to>
      <xdr:col>2</xdr:col>
      <xdr:colOff>1673599</xdr:colOff>
      <xdr:row>1</xdr:row>
      <xdr:rowOff>45720</xdr:rowOff>
    </xdr:to>
    <xdr:sp macro="" textlink="">
      <xdr:nvSpPr>
        <xdr:cNvPr id="563267" name="AutoShape 5" descr="Káº¿t quáº£ hÃ¬nh áº£nh cho Trang vÃ ng logo">
          <a:extLst>
            <a:ext uri="{FF2B5EF4-FFF2-40B4-BE49-F238E27FC236}">
              <a16:creationId xmlns:a16="http://schemas.microsoft.com/office/drawing/2014/main" id="{00000000-0008-0000-0100-000043980800}"/>
            </a:ext>
          </a:extLst>
        </xdr:cNvPr>
        <xdr:cNvSpPr>
          <a:spLocks noChangeAspect="1" noChangeArrowheads="1"/>
        </xdr:cNvSpPr>
      </xdr:nvSpPr>
      <xdr:spPr bwMode="auto">
        <a:xfrm>
          <a:off x="1577340" y="266700"/>
          <a:ext cx="1173480" cy="45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541020</xdr:colOff>
      <xdr:row>0</xdr:row>
      <xdr:rowOff>0</xdr:rowOff>
    </xdr:from>
    <xdr:to>
      <xdr:col>6</xdr:col>
      <xdr:colOff>190500</xdr:colOff>
      <xdr:row>0</xdr:row>
      <xdr:rowOff>60960</xdr:rowOff>
    </xdr:to>
    <xdr:sp macro="" textlink="">
      <xdr:nvSpPr>
        <xdr:cNvPr id="564272" name="AutoShape 5" descr="Káº¿t quáº£ hÃ¬nh áº£nh cho Trang vÃ ng logo">
          <a:extLst>
            <a:ext uri="{FF2B5EF4-FFF2-40B4-BE49-F238E27FC236}">
              <a16:creationId xmlns:a16="http://schemas.microsoft.com/office/drawing/2014/main" id="{00000000-0008-0000-0200-0000309C0800}"/>
            </a:ext>
          </a:extLst>
        </xdr:cNvPr>
        <xdr:cNvSpPr>
          <a:spLocks noChangeAspect="1" noChangeArrowheads="1"/>
        </xdr:cNvSpPr>
      </xdr:nvSpPr>
      <xdr:spPr bwMode="auto">
        <a:xfrm>
          <a:off x="1607820" y="0"/>
          <a:ext cx="3467100" cy="609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541020</xdr:colOff>
      <xdr:row>0</xdr:row>
      <xdr:rowOff>0</xdr:rowOff>
    </xdr:from>
    <xdr:to>
      <xdr:col>6</xdr:col>
      <xdr:colOff>190500</xdr:colOff>
      <xdr:row>0</xdr:row>
      <xdr:rowOff>45720</xdr:rowOff>
    </xdr:to>
    <xdr:sp macro="" textlink="">
      <xdr:nvSpPr>
        <xdr:cNvPr id="564273" name="AutoShape 5" descr="Káº¿t quáº£ hÃ¬nh áº£nh cho Trang vÃ ng logo">
          <a:extLst>
            <a:ext uri="{FF2B5EF4-FFF2-40B4-BE49-F238E27FC236}">
              <a16:creationId xmlns:a16="http://schemas.microsoft.com/office/drawing/2014/main" id="{00000000-0008-0000-0200-0000319C0800}"/>
            </a:ext>
          </a:extLst>
        </xdr:cNvPr>
        <xdr:cNvSpPr>
          <a:spLocks noChangeAspect="1" noChangeArrowheads="1"/>
        </xdr:cNvSpPr>
      </xdr:nvSpPr>
      <xdr:spPr bwMode="auto">
        <a:xfrm>
          <a:off x="1607820" y="0"/>
          <a:ext cx="3467100" cy="45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541020</xdr:colOff>
      <xdr:row>0</xdr:row>
      <xdr:rowOff>0</xdr:rowOff>
    </xdr:from>
    <xdr:to>
      <xdr:col>6</xdr:col>
      <xdr:colOff>190500</xdr:colOff>
      <xdr:row>0</xdr:row>
      <xdr:rowOff>45720</xdr:rowOff>
    </xdr:to>
    <xdr:sp macro="" textlink="">
      <xdr:nvSpPr>
        <xdr:cNvPr id="564274" name="AutoShape 5" descr="Káº¿t quáº£ hÃ¬nh áº£nh cho Trang vÃ ng logo">
          <a:extLst>
            <a:ext uri="{FF2B5EF4-FFF2-40B4-BE49-F238E27FC236}">
              <a16:creationId xmlns:a16="http://schemas.microsoft.com/office/drawing/2014/main" id="{00000000-0008-0000-0200-0000329C0800}"/>
            </a:ext>
          </a:extLst>
        </xdr:cNvPr>
        <xdr:cNvSpPr>
          <a:spLocks noChangeAspect="1" noChangeArrowheads="1"/>
        </xdr:cNvSpPr>
      </xdr:nvSpPr>
      <xdr:spPr bwMode="auto">
        <a:xfrm>
          <a:off x="1607820" y="0"/>
          <a:ext cx="3467100" cy="45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352425</xdr:colOff>
      <xdr:row>4</xdr:row>
      <xdr:rowOff>9525</xdr:rowOff>
    </xdr:from>
    <xdr:to>
      <xdr:col>4</xdr:col>
      <xdr:colOff>38100</xdr:colOff>
      <xdr:row>4</xdr:row>
      <xdr:rowOff>9525</xdr:rowOff>
    </xdr:to>
    <xdr:cxnSp macro="">
      <xdr:nvCxnSpPr>
        <xdr:cNvPr id="2" name="Straight Connector 1">
          <a:extLst>
            <a:ext uri="{FF2B5EF4-FFF2-40B4-BE49-F238E27FC236}">
              <a16:creationId xmlns:a16="http://schemas.microsoft.com/office/drawing/2014/main" id="{00000000-0008-0000-0300-000003000000}"/>
            </a:ext>
          </a:extLst>
        </xdr:cNvPr>
        <xdr:cNvCxnSpPr/>
      </xdr:nvCxnSpPr>
      <xdr:spPr>
        <a:xfrm>
          <a:off x="2457450" y="847725"/>
          <a:ext cx="15430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158749</xdr:colOff>
      <xdr:row>2</xdr:row>
      <xdr:rowOff>0</xdr:rowOff>
    </xdr:from>
    <xdr:to>
      <xdr:col>12</xdr:col>
      <xdr:colOff>418464</xdr:colOff>
      <xdr:row>2</xdr:row>
      <xdr:rowOff>0</xdr:rowOff>
    </xdr:to>
    <xdr:cxnSp macro="">
      <xdr:nvCxnSpPr>
        <xdr:cNvPr id="3" name="Straight Connector 2">
          <a:extLst>
            <a:ext uri="{FF2B5EF4-FFF2-40B4-BE49-F238E27FC236}">
              <a16:creationId xmlns:a16="http://schemas.microsoft.com/office/drawing/2014/main" id="{00000000-0008-0000-0300-000005000000}"/>
            </a:ext>
          </a:extLst>
        </xdr:cNvPr>
        <xdr:cNvCxnSpPr/>
      </xdr:nvCxnSpPr>
      <xdr:spPr>
        <a:xfrm>
          <a:off x="8159749" y="419100"/>
          <a:ext cx="20599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523875</xdr:colOff>
      <xdr:row>0</xdr:row>
      <xdr:rowOff>0</xdr:rowOff>
    </xdr:from>
    <xdr:to>
      <xdr:col>3</xdr:col>
      <xdr:colOff>647700</xdr:colOff>
      <xdr:row>0</xdr:row>
      <xdr:rowOff>57150</xdr:rowOff>
    </xdr:to>
    <xdr:sp macro="" textlink="">
      <xdr:nvSpPr>
        <xdr:cNvPr id="2" name="AutoShape 5" descr="Káº¿t quáº£ hÃ¬nh áº£nh cho Trang vÃ ng logo">
          <a:extLst>
            <a:ext uri="{FF2B5EF4-FFF2-40B4-BE49-F238E27FC236}">
              <a16:creationId xmlns:a16="http://schemas.microsoft.com/office/drawing/2014/main" id="{00000000-0008-0000-0900-000002000000}"/>
            </a:ext>
          </a:extLst>
        </xdr:cNvPr>
        <xdr:cNvSpPr>
          <a:spLocks noChangeAspect="1" noChangeArrowheads="1"/>
        </xdr:cNvSpPr>
      </xdr:nvSpPr>
      <xdr:spPr bwMode="auto">
        <a:xfrm>
          <a:off x="1562100" y="0"/>
          <a:ext cx="2095500" cy="57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523875</xdr:colOff>
      <xdr:row>0</xdr:row>
      <xdr:rowOff>0</xdr:rowOff>
    </xdr:from>
    <xdr:to>
      <xdr:col>3</xdr:col>
      <xdr:colOff>647700</xdr:colOff>
      <xdr:row>0</xdr:row>
      <xdr:rowOff>47625</xdr:rowOff>
    </xdr:to>
    <xdr:sp macro="" textlink="">
      <xdr:nvSpPr>
        <xdr:cNvPr id="3" name="AutoShape 5" descr="Káº¿t quáº£ hÃ¬nh áº£nh cho Trang vÃ ng logo">
          <a:extLst>
            <a:ext uri="{FF2B5EF4-FFF2-40B4-BE49-F238E27FC236}">
              <a16:creationId xmlns:a16="http://schemas.microsoft.com/office/drawing/2014/main" id="{00000000-0008-0000-0900-000003000000}"/>
            </a:ext>
          </a:extLst>
        </xdr:cNvPr>
        <xdr:cNvSpPr>
          <a:spLocks noChangeAspect="1" noChangeArrowheads="1"/>
        </xdr:cNvSpPr>
      </xdr:nvSpPr>
      <xdr:spPr bwMode="auto">
        <a:xfrm>
          <a:off x="1562100" y="0"/>
          <a:ext cx="20955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523875</xdr:colOff>
      <xdr:row>0</xdr:row>
      <xdr:rowOff>0</xdr:rowOff>
    </xdr:from>
    <xdr:to>
      <xdr:col>3</xdr:col>
      <xdr:colOff>647700</xdr:colOff>
      <xdr:row>0</xdr:row>
      <xdr:rowOff>47625</xdr:rowOff>
    </xdr:to>
    <xdr:sp macro="" textlink="">
      <xdr:nvSpPr>
        <xdr:cNvPr id="4" name="AutoShape 5" descr="Káº¿t quáº£ hÃ¬nh áº£nh cho Trang vÃ ng logo">
          <a:extLst>
            <a:ext uri="{FF2B5EF4-FFF2-40B4-BE49-F238E27FC236}">
              <a16:creationId xmlns:a16="http://schemas.microsoft.com/office/drawing/2014/main" id="{00000000-0008-0000-0900-000004000000}"/>
            </a:ext>
          </a:extLst>
        </xdr:cNvPr>
        <xdr:cNvSpPr>
          <a:spLocks noChangeAspect="1" noChangeArrowheads="1"/>
        </xdr:cNvSpPr>
      </xdr:nvSpPr>
      <xdr:spPr bwMode="auto">
        <a:xfrm>
          <a:off x="1562100" y="0"/>
          <a:ext cx="20955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352425</xdr:colOff>
      <xdr:row>4</xdr:row>
      <xdr:rowOff>9525</xdr:rowOff>
    </xdr:from>
    <xdr:to>
      <xdr:col>4</xdr:col>
      <xdr:colOff>38100</xdr:colOff>
      <xdr:row>4</xdr:row>
      <xdr:rowOff>9525</xdr:rowOff>
    </xdr:to>
    <xdr:cxnSp macro="">
      <xdr:nvCxnSpPr>
        <xdr:cNvPr id="2" name="Straight Connector 1">
          <a:extLst>
            <a:ext uri="{FF2B5EF4-FFF2-40B4-BE49-F238E27FC236}">
              <a16:creationId xmlns:a16="http://schemas.microsoft.com/office/drawing/2014/main" id="{00000000-0008-0000-0300-000003000000}"/>
            </a:ext>
          </a:extLst>
        </xdr:cNvPr>
        <xdr:cNvCxnSpPr/>
      </xdr:nvCxnSpPr>
      <xdr:spPr>
        <a:xfrm>
          <a:off x="2457450" y="847725"/>
          <a:ext cx="15430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158749</xdr:colOff>
      <xdr:row>2</xdr:row>
      <xdr:rowOff>0</xdr:rowOff>
    </xdr:from>
    <xdr:to>
      <xdr:col>12</xdr:col>
      <xdr:colOff>418464</xdr:colOff>
      <xdr:row>2</xdr:row>
      <xdr:rowOff>0</xdr:rowOff>
    </xdr:to>
    <xdr:cxnSp macro="">
      <xdr:nvCxnSpPr>
        <xdr:cNvPr id="3" name="Straight Connector 2">
          <a:extLst>
            <a:ext uri="{FF2B5EF4-FFF2-40B4-BE49-F238E27FC236}">
              <a16:creationId xmlns:a16="http://schemas.microsoft.com/office/drawing/2014/main" id="{00000000-0008-0000-0300-000005000000}"/>
            </a:ext>
          </a:extLst>
        </xdr:cNvPr>
        <xdr:cNvCxnSpPr/>
      </xdr:nvCxnSpPr>
      <xdr:spPr>
        <a:xfrm>
          <a:off x="8159749" y="419100"/>
          <a:ext cx="20599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352425</xdr:colOff>
      <xdr:row>4</xdr:row>
      <xdr:rowOff>9525</xdr:rowOff>
    </xdr:from>
    <xdr:to>
      <xdr:col>4</xdr:col>
      <xdr:colOff>38100</xdr:colOff>
      <xdr:row>4</xdr:row>
      <xdr:rowOff>9525</xdr:rowOff>
    </xdr:to>
    <xdr:cxnSp macro="">
      <xdr:nvCxnSpPr>
        <xdr:cNvPr id="2" name="Straight Connector 1">
          <a:extLst>
            <a:ext uri="{FF2B5EF4-FFF2-40B4-BE49-F238E27FC236}">
              <a16:creationId xmlns:a16="http://schemas.microsoft.com/office/drawing/2014/main" id="{00000000-0008-0000-0B00-000002000000}"/>
            </a:ext>
          </a:extLst>
        </xdr:cNvPr>
        <xdr:cNvCxnSpPr/>
      </xdr:nvCxnSpPr>
      <xdr:spPr>
        <a:xfrm>
          <a:off x="2457450" y="847725"/>
          <a:ext cx="15430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158749</xdr:colOff>
      <xdr:row>2</xdr:row>
      <xdr:rowOff>0</xdr:rowOff>
    </xdr:from>
    <xdr:to>
      <xdr:col>12</xdr:col>
      <xdr:colOff>418464</xdr:colOff>
      <xdr:row>2</xdr:row>
      <xdr:rowOff>0</xdr:rowOff>
    </xdr:to>
    <xdr:cxnSp macro="">
      <xdr:nvCxnSpPr>
        <xdr:cNvPr id="3" name="Straight Connector 2">
          <a:extLst>
            <a:ext uri="{FF2B5EF4-FFF2-40B4-BE49-F238E27FC236}">
              <a16:creationId xmlns:a16="http://schemas.microsoft.com/office/drawing/2014/main" id="{00000000-0008-0000-0B00-000003000000}"/>
            </a:ext>
          </a:extLst>
        </xdr:cNvPr>
        <xdr:cNvCxnSpPr/>
      </xdr:nvCxnSpPr>
      <xdr:spPr>
        <a:xfrm>
          <a:off x="8159749" y="419100"/>
          <a:ext cx="20599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76200</xdr:colOff>
      <xdr:row>1</xdr:row>
      <xdr:rowOff>83820</xdr:rowOff>
    </xdr:from>
    <xdr:to>
      <xdr:col>1</xdr:col>
      <xdr:colOff>83820</xdr:colOff>
      <xdr:row>4</xdr:row>
      <xdr:rowOff>274320</xdr:rowOff>
    </xdr:to>
    <xdr:pic>
      <xdr:nvPicPr>
        <xdr:cNvPr id="2" name="Picture 1">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66700"/>
          <a:ext cx="632460" cy="815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601980</xdr:colOff>
      <xdr:row>3</xdr:row>
      <xdr:rowOff>205740</xdr:rowOff>
    </xdr:from>
    <xdr:to>
      <xdr:col>4</xdr:col>
      <xdr:colOff>38100</xdr:colOff>
      <xdr:row>3</xdr:row>
      <xdr:rowOff>205740</xdr:rowOff>
    </xdr:to>
    <xdr:sp macro="" textlink="">
      <xdr:nvSpPr>
        <xdr:cNvPr id="3" name="Straight Connector 2">
          <a:extLst>
            <a:ext uri="{FF2B5EF4-FFF2-40B4-BE49-F238E27FC236}">
              <a16:creationId xmlns:a16="http://schemas.microsoft.com/office/drawing/2014/main" id="{00000000-0008-0000-1200-000003000000}"/>
            </a:ext>
          </a:extLst>
        </xdr:cNvPr>
        <xdr:cNvSpPr>
          <a:spLocks noChangeShapeType="1"/>
        </xdr:cNvSpPr>
      </xdr:nvSpPr>
      <xdr:spPr bwMode="auto">
        <a:xfrm flipV="1">
          <a:off x="1226820" y="800100"/>
          <a:ext cx="1463040" cy="0"/>
        </a:xfrm>
        <a:prstGeom prst="line">
          <a:avLst/>
        </a:prstGeom>
        <a:noFill/>
        <a:ln w="6350">
          <a:solidFill>
            <a:srgbClr val="000000"/>
          </a:solidFill>
          <a:miter lim="800000"/>
          <a:headEnd/>
          <a:tailEnd/>
        </a:ln>
        <a:extLst>
          <a:ext uri="{909E8E84-426E-40DD-AFC4-6F175D3DCCD1}">
            <a14:hiddenFill xmlns:a14="http://schemas.microsoft.com/office/drawing/2010/main">
              <a:noFill/>
            </a14:hiddenFill>
          </a:ext>
        </a:extLst>
      </xdr:spPr>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428625</xdr:colOff>
      <xdr:row>196</xdr:row>
      <xdr:rowOff>933450</xdr:rowOff>
    </xdr:from>
    <xdr:to>
      <xdr:col>8</xdr:col>
      <xdr:colOff>428625</xdr:colOff>
      <xdr:row>196</xdr:row>
      <xdr:rowOff>933450</xdr:rowOff>
    </xdr:to>
    <xdr:sp macro="" textlink="">
      <xdr:nvSpPr>
        <xdr:cNvPr id="592897" name="Line 1">
          <a:extLst>
            <a:ext uri="{FF2B5EF4-FFF2-40B4-BE49-F238E27FC236}">
              <a16:creationId xmlns:a16="http://schemas.microsoft.com/office/drawing/2014/main" id="{00000000-0008-0000-2100-0000010C0900}"/>
            </a:ext>
          </a:extLst>
        </xdr:cNvPr>
        <xdr:cNvSpPr>
          <a:spLocks noChangeShapeType="1"/>
        </xdr:cNvSpPr>
      </xdr:nvSpPr>
      <xdr:spPr bwMode="auto">
        <a:xfrm>
          <a:off x="3476625" y="115338225"/>
          <a:ext cx="1828800" cy="0"/>
        </a:xfrm>
        <a:prstGeom prst="line">
          <a:avLst/>
        </a:prstGeom>
        <a:noFill/>
        <a:ln w="9360" cap="sq">
          <a:solidFill>
            <a:srgbClr val="000000"/>
          </a:solidFill>
          <a:miter lim="800000"/>
          <a:headEnd/>
          <a:tailEnd/>
        </a:ln>
        <a:extLst>
          <a:ext uri="{909E8E84-426E-40DD-AFC4-6F175D3DCCD1}">
            <a14:hiddenFill xmlns:a14="http://schemas.microsoft.com/office/drawing/2010/main">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428625</xdr:colOff>
      <xdr:row>73</xdr:row>
      <xdr:rowOff>933450</xdr:rowOff>
    </xdr:from>
    <xdr:to>
      <xdr:col>8</xdr:col>
      <xdr:colOff>428625</xdr:colOff>
      <xdr:row>73</xdr:row>
      <xdr:rowOff>933450</xdr:rowOff>
    </xdr:to>
    <xdr:sp macro="" textlink="">
      <xdr:nvSpPr>
        <xdr:cNvPr id="594945" name="Line 1">
          <a:extLst>
            <a:ext uri="{FF2B5EF4-FFF2-40B4-BE49-F238E27FC236}">
              <a16:creationId xmlns:a16="http://schemas.microsoft.com/office/drawing/2014/main" id="{00000000-0008-0000-2300-000001140900}"/>
            </a:ext>
          </a:extLst>
        </xdr:cNvPr>
        <xdr:cNvSpPr>
          <a:spLocks noChangeShapeType="1"/>
        </xdr:cNvSpPr>
      </xdr:nvSpPr>
      <xdr:spPr bwMode="auto">
        <a:xfrm>
          <a:off x="3476625" y="38004750"/>
          <a:ext cx="1828800" cy="0"/>
        </a:xfrm>
        <a:prstGeom prst="line">
          <a:avLst/>
        </a:prstGeom>
        <a:noFill/>
        <a:ln w="9360" cap="sq">
          <a:solidFill>
            <a:srgbClr val="000000"/>
          </a:solidFill>
          <a:miter lim="800000"/>
          <a:headEnd/>
          <a:tailEnd/>
        </a:ln>
        <a:extLst>
          <a:ext uri="{909E8E84-426E-40DD-AFC4-6F175D3DCCD1}">
            <a14:hiddenFill xmlns:a14="http://schemas.microsoft.com/office/drawing/2010/main">
              <a:no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104775</xdr:colOff>
      <xdr:row>42</xdr:row>
      <xdr:rowOff>247650</xdr:rowOff>
    </xdr:from>
    <xdr:to>
      <xdr:col>4</xdr:col>
      <xdr:colOff>104775</xdr:colOff>
      <xdr:row>42</xdr:row>
      <xdr:rowOff>247650</xdr:rowOff>
    </xdr:to>
    <xdr:sp macro="" textlink="">
      <xdr:nvSpPr>
        <xdr:cNvPr id="595977" name="Line 9">
          <a:extLst>
            <a:ext uri="{FF2B5EF4-FFF2-40B4-BE49-F238E27FC236}">
              <a16:creationId xmlns:a16="http://schemas.microsoft.com/office/drawing/2014/main" id="{00000000-0008-0000-2400-000009180900}"/>
            </a:ext>
          </a:extLst>
        </xdr:cNvPr>
        <xdr:cNvSpPr>
          <a:spLocks noChangeShapeType="1"/>
        </xdr:cNvSpPr>
      </xdr:nvSpPr>
      <xdr:spPr bwMode="auto">
        <a:xfrm>
          <a:off x="714375" y="27736800"/>
          <a:ext cx="1828800" cy="0"/>
        </a:xfrm>
        <a:prstGeom prst="line">
          <a:avLst/>
        </a:prstGeom>
        <a:noFill/>
        <a:ln w="9360" cap="sq">
          <a:solidFill>
            <a:srgbClr val="000000"/>
          </a:solidFill>
          <a:miter lim="800000"/>
          <a:headEnd/>
          <a:tailEnd/>
        </a:ln>
        <a:extLst>
          <a:ext uri="{909E8E84-426E-40DD-AFC4-6F175D3DCCD1}">
            <a14:hiddenFill xmlns:a14="http://schemas.microsoft.com/office/drawing/2010/main">
              <a:noFill/>
            </a14:hiddenFill>
          </a:ext>
        </a:extLst>
      </xdr:spPr>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76200</xdr:colOff>
      <xdr:row>1</xdr:row>
      <xdr:rowOff>83820</xdr:rowOff>
    </xdr:from>
    <xdr:to>
      <xdr:col>1</xdr:col>
      <xdr:colOff>83820</xdr:colOff>
      <xdr:row>4</xdr:row>
      <xdr:rowOff>274320</xdr:rowOff>
    </xdr:to>
    <xdr:pic>
      <xdr:nvPicPr>
        <xdr:cNvPr id="2" name="Picture 1">
          <a:extLst>
            <a:ext uri="{FF2B5EF4-FFF2-40B4-BE49-F238E27FC236}">
              <a16:creationId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266700"/>
          <a:ext cx="632460" cy="815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601980</xdr:colOff>
      <xdr:row>3</xdr:row>
      <xdr:rowOff>205740</xdr:rowOff>
    </xdr:from>
    <xdr:to>
      <xdr:col>4</xdr:col>
      <xdr:colOff>38100</xdr:colOff>
      <xdr:row>3</xdr:row>
      <xdr:rowOff>205740</xdr:rowOff>
    </xdr:to>
    <xdr:sp macro="" textlink="">
      <xdr:nvSpPr>
        <xdr:cNvPr id="3" name="Straight Connector 2">
          <a:extLst>
            <a:ext uri="{FF2B5EF4-FFF2-40B4-BE49-F238E27FC236}">
              <a16:creationId xmlns:a16="http://schemas.microsoft.com/office/drawing/2014/main" id="{00000000-0008-0000-2600-000003000000}"/>
            </a:ext>
          </a:extLst>
        </xdr:cNvPr>
        <xdr:cNvSpPr>
          <a:spLocks noChangeShapeType="1"/>
        </xdr:cNvSpPr>
      </xdr:nvSpPr>
      <xdr:spPr bwMode="auto">
        <a:xfrm flipV="1">
          <a:off x="1211580" y="800100"/>
          <a:ext cx="1440180" cy="0"/>
        </a:xfrm>
        <a:prstGeom prst="line">
          <a:avLst/>
        </a:prstGeom>
        <a:noFill/>
        <a:ln w="6350">
          <a:solidFill>
            <a:srgbClr val="000000"/>
          </a:solidFill>
          <a:miter lim="800000"/>
          <a:headEnd/>
          <a:tailEnd/>
        </a:ln>
        <a:extLst>
          <a:ext uri="{909E8E84-426E-40DD-AFC4-6F175D3DCCD1}">
            <a14:hiddenFill xmlns:a14="http://schemas.microsoft.com/office/drawing/2010/main">
              <a:no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428625</xdr:colOff>
      <xdr:row>65</xdr:row>
      <xdr:rowOff>933450</xdr:rowOff>
    </xdr:from>
    <xdr:to>
      <xdr:col>8</xdr:col>
      <xdr:colOff>428625</xdr:colOff>
      <xdr:row>65</xdr:row>
      <xdr:rowOff>933450</xdr:rowOff>
    </xdr:to>
    <xdr:sp macro="" textlink="">
      <xdr:nvSpPr>
        <xdr:cNvPr id="598017" name="Line 1">
          <a:extLst>
            <a:ext uri="{FF2B5EF4-FFF2-40B4-BE49-F238E27FC236}">
              <a16:creationId xmlns:a16="http://schemas.microsoft.com/office/drawing/2014/main" id="{00000000-0008-0000-2800-000001200900}"/>
            </a:ext>
          </a:extLst>
        </xdr:cNvPr>
        <xdr:cNvSpPr>
          <a:spLocks noChangeShapeType="1"/>
        </xdr:cNvSpPr>
      </xdr:nvSpPr>
      <xdr:spPr bwMode="auto">
        <a:xfrm>
          <a:off x="3476625" y="33251775"/>
          <a:ext cx="1828800" cy="0"/>
        </a:xfrm>
        <a:prstGeom prst="line">
          <a:avLst/>
        </a:prstGeom>
        <a:noFill/>
        <a:ln w="9360" cap="sq">
          <a:solidFill>
            <a:srgbClr val="000000"/>
          </a:solidFill>
          <a:miter lim="800000"/>
          <a:headEnd/>
          <a:tailEnd/>
        </a:ln>
        <a:extLst>
          <a:ext uri="{909E8E84-426E-40DD-AFC4-6F175D3DCCD1}">
            <a14:hiddenFill xmlns:a14="http://schemas.microsoft.com/office/drawing/2010/main">
              <a:no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xdr:from>
      <xdr:col>5</xdr:col>
      <xdr:colOff>428625</xdr:colOff>
      <xdr:row>143</xdr:row>
      <xdr:rowOff>933450</xdr:rowOff>
    </xdr:from>
    <xdr:to>
      <xdr:col>8</xdr:col>
      <xdr:colOff>428625</xdr:colOff>
      <xdr:row>143</xdr:row>
      <xdr:rowOff>933450</xdr:rowOff>
    </xdr:to>
    <xdr:sp macro="" textlink="">
      <xdr:nvSpPr>
        <xdr:cNvPr id="633857" name="Line 1">
          <a:extLst>
            <a:ext uri="{FF2B5EF4-FFF2-40B4-BE49-F238E27FC236}">
              <a16:creationId xmlns:a16="http://schemas.microsoft.com/office/drawing/2014/main" id="{00000000-0008-0000-3F00-000001AC0900}"/>
            </a:ext>
          </a:extLst>
        </xdr:cNvPr>
        <xdr:cNvSpPr>
          <a:spLocks noChangeShapeType="1"/>
        </xdr:cNvSpPr>
      </xdr:nvSpPr>
      <xdr:spPr bwMode="auto">
        <a:xfrm>
          <a:off x="3476625" y="89725500"/>
          <a:ext cx="1828800" cy="0"/>
        </a:xfrm>
        <a:prstGeom prst="line">
          <a:avLst/>
        </a:prstGeom>
        <a:noFill/>
        <a:ln w="9360" cap="sq">
          <a:solidFill>
            <a:srgbClr val="000000"/>
          </a:solidFill>
          <a:miter lim="800000"/>
          <a:headEnd/>
          <a:tailEnd/>
        </a:ln>
        <a:extLst>
          <a:ext uri="{909E8E84-426E-40DD-AFC4-6F175D3DCCD1}">
            <a14:hiddenFill xmlns:a14="http://schemas.microsoft.com/office/drawing/2010/main">
              <a:noFill/>
            </a14:hiddenFill>
          </a:ext>
        </a:extLst>
      </xdr:spPr>
    </xdr:sp>
    <xdr:clientData/>
  </xdr:twoCellAnchor>
</xdr:wsDr>
</file>

<file path=xl/drawings/drawing14.xml><?xml version="1.0" encoding="utf-8"?>
<xdr:wsDr xmlns:xdr="http://schemas.openxmlformats.org/drawingml/2006/spreadsheetDrawing" xmlns:a="http://schemas.openxmlformats.org/drawingml/2006/main">
  <xdr:twoCellAnchor>
    <xdr:from>
      <xdr:col>5</xdr:col>
      <xdr:colOff>428625</xdr:colOff>
      <xdr:row>65</xdr:row>
      <xdr:rowOff>933450</xdr:rowOff>
    </xdr:from>
    <xdr:to>
      <xdr:col>8</xdr:col>
      <xdr:colOff>428625</xdr:colOff>
      <xdr:row>65</xdr:row>
      <xdr:rowOff>933450</xdr:rowOff>
    </xdr:to>
    <xdr:sp macro="" textlink="">
      <xdr:nvSpPr>
        <xdr:cNvPr id="734211" name="Line 3">
          <a:extLst>
            <a:ext uri="{FF2B5EF4-FFF2-40B4-BE49-F238E27FC236}">
              <a16:creationId xmlns:a16="http://schemas.microsoft.com/office/drawing/2014/main" id="{00000000-0008-0000-5500-000003340B00}"/>
            </a:ext>
          </a:extLst>
        </xdr:cNvPr>
        <xdr:cNvSpPr>
          <a:spLocks noChangeShapeType="1"/>
        </xdr:cNvSpPr>
      </xdr:nvSpPr>
      <xdr:spPr bwMode="auto">
        <a:xfrm>
          <a:off x="3476625" y="32023050"/>
          <a:ext cx="1828800" cy="0"/>
        </a:xfrm>
        <a:prstGeom prst="line">
          <a:avLst/>
        </a:prstGeom>
        <a:noFill/>
        <a:ln w="9360" cap="sq">
          <a:solidFill>
            <a:srgbClr val="000000"/>
          </a:solidFill>
          <a:miter lim="800000"/>
          <a:headEnd/>
          <a:tailEnd/>
        </a:ln>
        <a:extLst>
          <a:ext uri="{909E8E84-426E-40DD-AFC4-6F175D3DCCD1}">
            <a14:hiddenFill xmlns:a14="http://schemas.microsoft.com/office/drawing/2010/main">
              <a:no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428625</xdr:colOff>
      <xdr:row>30</xdr:row>
      <xdr:rowOff>933450</xdr:rowOff>
    </xdr:from>
    <xdr:to>
      <xdr:col>8</xdr:col>
      <xdr:colOff>428625</xdr:colOff>
      <xdr:row>30</xdr:row>
      <xdr:rowOff>933450</xdr:rowOff>
    </xdr:to>
    <xdr:sp macro="" textlink="">
      <xdr:nvSpPr>
        <xdr:cNvPr id="735233" name="Line 1">
          <a:extLst>
            <a:ext uri="{FF2B5EF4-FFF2-40B4-BE49-F238E27FC236}">
              <a16:creationId xmlns:a16="http://schemas.microsoft.com/office/drawing/2014/main" id="{00000000-0008-0000-5600-000001380B00}"/>
            </a:ext>
          </a:extLst>
        </xdr:cNvPr>
        <xdr:cNvSpPr>
          <a:spLocks noChangeShapeType="1"/>
        </xdr:cNvSpPr>
      </xdr:nvSpPr>
      <xdr:spPr bwMode="auto">
        <a:xfrm>
          <a:off x="3476625" y="15554325"/>
          <a:ext cx="1828800" cy="0"/>
        </a:xfrm>
        <a:prstGeom prst="line">
          <a:avLst/>
        </a:prstGeom>
        <a:noFill/>
        <a:ln w="9360" cap="sq">
          <a:solidFill>
            <a:srgbClr val="000000"/>
          </a:solidFill>
          <a:miter lim="800000"/>
          <a:headEnd/>
          <a:tailEnd/>
        </a:ln>
        <a:extLst>
          <a:ext uri="{909E8E84-426E-40DD-AFC4-6F175D3DCCD1}">
            <a14:hiddenFill xmlns:a14="http://schemas.microsoft.com/office/drawing/2010/main">
              <a:noFill/>
            </a14:hiddenFill>
          </a:ext>
        </a:extLst>
      </xdr:spPr>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428625</xdr:colOff>
      <xdr:row>73</xdr:row>
      <xdr:rowOff>933450</xdr:rowOff>
    </xdr:from>
    <xdr:to>
      <xdr:col>8</xdr:col>
      <xdr:colOff>428625</xdr:colOff>
      <xdr:row>73</xdr:row>
      <xdr:rowOff>933450</xdr:rowOff>
    </xdr:to>
    <xdr:sp macro="" textlink="">
      <xdr:nvSpPr>
        <xdr:cNvPr id="737281" name="Line 1">
          <a:extLst>
            <a:ext uri="{FF2B5EF4-FFF2-40B4-BE49-F238E27FC236}">
              <a16:creationId xmlns:a16="http://schemas.microsoft.com/office/drawing/2014/main" id="{00000000-0008-0000-5800-000001400B00}"/>
            </a:ext>
          </a:extLst>
        </xdr:cNvPr>
        <xdr:cNvSpPr>
          <a:spLocks noChangeShapeType="1"/>
        </xdr:cNvSpPr>
      </xdr:nvSpPr>
      <xdr:spPr bwMode="auto">
        <a:xfrm>
          <a:off x="3476625" y="39852600"/>
          <a:ext cx="1828800" cy="0"/>
        </a:xfrm>
        <a:prstGeom prst="line">
          <a:avLst/>
        </a:prstGeom>
        <a:noFill/>
        <a:ln w="9360" cap="sq">
          <a:solidFill>
            <a:srgbClr val="000000"/>
          </a:solidFill>
          <a:miter lim="800000"/>
          <a:headEnd/>
          <a:tailEnd/>
        </a:ln>
        <a:extLst>
          <a:ext uri="{909E8E84-426E-40DD-AFC4-6F175D3DCCD1}">
            <a14:hiddenFill xmlns:a14="http://schemas.microsoft.com/office/drawing/2010/main">
              <a:noFill/>
            </a14:hiddenFill>
          </a:ext>
        </a:extLst>
      </xdr:spPr>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428625</xdr:colOff>
      <xdr:row>66</xdr:row>
      <xdr:rowOff>933450</xdr:rowOff>
    </xdr:from>
    <xdr:to>
      <xdr:col>8</xdr:col>
      <xdr:colOff>428625</xdr:colOff>
      <xdr:row>66</xdr:row>
      <xdr:rowOff>933450</xdr:rowOff>
    </xdr:to>
    <xdr:sp macro="" textlink="">
      <xdr:nvSpPr>
        <xdr:cNvPr id="652291" name="Line 3">
          <a:extLst>
            <a:ext uri="{FF2B5EF4-FFF2-40B4-BE49-F238E27FC236}">
              <a16:creationId xmlns:a16="http://schemas.microsoft.com/office/drawing/2014/main" id="{00000000-0008-0000-5900-000003F40900}"/>
            </a:ext>
          </a:extLst>
        </xdr:cNvPr>
        <xdr:cNvSpPr>
          <a:spLocks noChangeShapeType="1"/>
        </xdr:cNvSpPr>
      </xdr:nvSpPr>
      <xdr:spPr bwMode="auto">
        <a:xfrm>
          <a:off x="3476625" y="39519225"/>
          <a:ext cx="1828800" cy="0"/>
        </a:xfrm>
        <a:prstGeom prst="line">
          <a:avLst/>
        </a:prstGeom>
        <a:noFill/>
        <a:ln w="9360" cap="sq">
          <a:solidFill>
            <a:srgbClr val="000000"/>
          </a:solidFill>
          <a:miter lim="800000"/>
          <a:headEnd/>
          <a:tailEnd/>
        </a:ln>
        <a:extLst>
          <a:ext uri="{909E8E84-426E-40DD-AFC4-6F175D3DCCD1}">
            <a14:hiddenFill xmlns:a14="http://schemas.microsoft.com/office/drawing/2010/main">
              <a:noFill/>
            </a14:hiddenFill>
          </a:ext>
        </a:extLst>
      </xdr:spPr>
    </xdr:sp>
    <xdr:clientData/>
  </xdr:twoCellAnchor>
  <xdr:twoCellAnchor>
    <xdr:from>
      <xdr:col>5</xdr:col>
      <xdr:colOff>428625</xdr:colOff>
      <xdr:row>102</xdr:row>
      <xdr:rowOff>933450</xdr:rowOff>
    </xdr:from>
    <xdr:to>
      <xdr:col>8</xdr:col>
      <xdr:colOff>428625</xdr:colOff>
      <xdr:row>102</xdr:row>
      <xdr:rowOff>933450</xdr:rowOff>
    </xdr:to>
    <xdr:sp macro="" textlink="">
      <xdr:nvSpPr>
        <xdr:cNvPr id="652290" name="Line 2">
          <a:extLst>
            <a:ext uri="{FF2B5EF4-FFF2-40B4-BE49-F238E27FC236}">
              <a16:creationId xmlns:a16="http://schemas.microsoft.com/office/drawing/2014/main" id="{00000000-0008-0000-5900-000002F40900}"/>
            </a:ext>
          </a:extLst>
        </xdr:cNvPr>
        <xdr:cNvSpPr>
          <a:spLocks noChangeShapeType="1"/>
        </xdr:cNvSpPr>
      </xdr:nvSpPr>
      <xdr:spPr bwMode="auto">
        <a:xfrm>
          <a:off x="3476625" y="54625875"/>
          <a:ext cx="1828800" cy="0"/>
        </a:xfrm>
        <a:prstGeom prst="line">
          <a:avLst/>
        </a:prstGeom>
        <a:noFill/>
        <a:ln w="9360" cap="sq">
          <a:solidFill>
            <a:srgbClr val="000000"/>
          </a:solidFill>
          <a:miter lim="800000"/>
          <a:headEnd/>
          <a:tailEnd/>
        </a:ln>
        <a:extLst>
          <a:ext uri="{909E8E84-426E-40DD-AFC4-6F175D3DCCD1}">
            <a14:hiddenFill xmlns:a14="http://schemas.microsoft.com/office/drawing/2010/main">
              <a:noFill/>
            </a14:hiddenFill>
          </a:ext>
        </a:extLst>
      </xdr:spPr>
    </xdr:sp>
    <xdr:clientData/>
  </xdr:twoCellAnchor>
  <xdr:twoCellAnchor>
    <xdr:from>
      <xdr:col>5</xdr:col>
      <xdr:colOff>428625</xdr:colOff>
      <xdr:row>172</xdr:row>
      <xdr:rowOff>933450</xdr:rowOff>
    </xdr:from>
    <xdr:to>
      <xdr:col>8</xdr:col>
      <xdr:colOff>428625</xdr:colOff>
      <xdr:row>172</xdr:row>
      <xdr:rowOff>933450</xdr:rowOff>
    </xdr:to>
    <xdr:sp macro="" textlink="">
      <xdr:nvSpPr>
        <xdr:cNvPr id="652289" name="Line 1">
          <a:extLst>
            <a:ext uri="{FF2B5EF4-FFF2-40B4-BE49-F238E27FC236}">
              <a16:creationId xmlns:a16="http://schemas.microsoft.com/office/drawing/2014/main" id="{00000000-0008-0000-5900-000001F40900}"/>
            </a:ext>
          </a:extLst>
        </xdr:cNvPr>
        <xdr:cNvSpPr>
          <a:spLocks noChangeShapeType="1"/>
        </xdr:cNvSpPr>
      </xdr:nvSpPr>
      <xdr:spPr bwMode="auto">
        <a:xfrm>
          <a:off x="3476625" y="88239600"/>
          <a:ext cx="1828800" cy="0"/>
        </a:xfrm>
        <a:prstGeom prst="line">
          <a:avLst/>
        </a:prstGeom>
        <a:noFill/>
        <a:ln w="9360" cap="sq">
          <a:solidFill>
            <a:srgbClr val="000000"/>
          </a:solidFill>
          <a:miter lim="800000"/>
          <a:headEnd/>
          <a:tailEnd/>
        </a:ln>
        <a:extLst>
          <a:ext uri="{909E8E84-426E-40DD-AFC4-6F175D3DCCD1}">
            <a14:hiddenFill xmlns:a14="http://schemas.microsoft.com/office/drawing/2010/main">
              <a:noFill/>
            </a14:hiddenFill>
          </a:ext>
        </a:extLst>
      </xdr:spPr>
    </xdr:sp>
    <xdr:clientData/>
  </xdr:twoCellAnchor>
</xdr:wsDr>
</file>

<file path=xl/drawings/drawing18.xml><?xml version="1.0" encoding="utf-8"?>
<xdr:wsDr xmlns:xdr="http://schemas.openxmlformats.org/drawingml/2006/spreadsheetDrawing" xmlns:a="http://schemas.openxmlformats.org/drawingml/2006/main">
  <xdr:twoCellAnchor>
    <xdr:from>
      <xdr:col>5</xdr:col>
      <xdr:colOff>428625</xdr:colOff>
      <xdr:row>65</xdr:row>
      <xdr:rowOff>933450</xdr:rowOff>
    </xdr:from>
    <xdr:to>
      <xdr:col>8</xdr:col>
      <xdr:colOff>428625</xdr:colOff>
      <xdr:row>65</xdr:row>
      <xdr:rowOff>933450</xdr:rowOff>
    </xdr:to>
    <xdr:sp macro="" textlink="">
      <xdr:nvSpPr>
        <xdr:cNvPr id="653314" name="Line 2">
          <a:extLst>
            <a:ext uri="{FF2B5EF4-FFF2-40B4-BE49-F238E27FC236}">
              <a16:creationId xmlns:a16="http://schemas.microsoft.com/office/drawing/2014/main" id="{00000000-0008-0000-5A00-000002F80900}"/>
            </a:ext>
          </a:extLst>
        </xdr:cNvPr>
        <xdr:cNvSpPr>
          <a:spLocks noChangeShapeType="1"/>
        </xdr:cNvSpPr>
      </xdr:nvSpPr>
      <xdr:spPr bwMode="auto">
        <a:xfrm>
          <a:off x="3476625" y="29432250"/>
          <a:ext cx="1828800" cy="0"/>
        </a:xfrm>
        <a:prstGeom prst="line">
          <a:avLst/>
        </a:prstGeom>
        <a:noFill/>
        <a:ln w="9360" cap="sq">
          <a:solidFill>
            <a:srgbClr val="000000"/>
          </a:solidFill>
          <a:miter lim="800000"/>
          <a:headEnd/>
          <a:tailEnd/>
        </a:ln>
        <a:extLst>
          <a:ext uri="{909E8E84-426E-40DD-AFC4-6F175D3DCCD1}">
            <a14:hiddenFill xmlns:a14="http://schemas.microsoft.com/office/drawing/2010/main">
              <a:noFill/>
            </a14:hiddenFill>
          </a:ext>
        </a:extLst>
      </xdr:spPr>
    </xdr:sp>
    <xdr:clientData/>
  </xdr:twoCellAnchor>
  <xdr:twoCellAnchor>
    <xdr:from>
      <xdr:col>5</xdr:col>
      <xdr:colOff>428625</xdr:colOff>
      <xdr:row>102</xdr:row>
      <xdr:rowOff>933450</xdr:rowOff>
    </xdr:from>
    <xdr:to>
      <xdr:col>8</xdr:col>
      <xdr:colOff>428625</xdr:colOff>
      <xdr:row>102</xdr:row>
      <xdr:rowOff>933450</xdr:rowOff>
    </xdr:to>
    <xdr:sp macro="" textlink="">
      <xdr:nvSpPr>
        <xdr:cNvPr id="653313" name="Line 1">
          <a:extLst>
            <a:ext uri="{FF2B5EF4-FFF2-40B4-BE49-F238E27FC236}">
              <a16:creationId xmlns:a16="http://schemas.microsoft.com/office/drawing/2014/main" id="{00000000-0008-0000-5A00-000001F80900}"/>
            </a:ext>
          </a:extLst>
        </xdr:cNvPr>
        <xdr:cNvSpPr>
          <a:spLocks noChangeShapeType="1"/>
        </xdr:cNvSpPr>
      </xdr:nvSpPr>
      <xdr:spPr bwMode="auto">
        <a:xfrm>
          <a:off x="3476625" y="40805100"/>
          <a:ext cx="1828800" cy="0"/>
        </a:xfrm>
        <a:prstGeom prst="line">
          <a:avLst/>
        </a:prstGeom>
        <a:noFill/>
        <a:ln w="9360" cap="sq">
          <a:solidFill>
            <a:srgbClr val="000000"/>
          </a:solidFill>
          <a:miter lim="800000"/>
          <a:headEnd/>
          <a:tailEnd/>
        </a:ln>
        <a:extLst>
          <a:ext uri="{909E8E84-426E-40DD-AFC4-6F175D3DCCD1}">
            <a14:hiddenFill xmlns:a14="http://schemas.microsoft.com/office/drawing/2010/main">
              <a:noFill/>
            </a14:hiddenFill>
          </a:ext>
        </a:extLst>
      </xdr:spPr>
    </xdr:sp>
    <xdr:clientData/>
  </xdr:twoCellAnchor>
</xdr:wsDr>
</file>

<file path=xl/drawings/drawing19.xml><?xml version="1.0" encoding="utf-8"?>
<xdr:wsDr xmlns:xdr="http://schemas.openxmlformats.org/drawingml/2006/spreadsheetDrawing" xmlns:a="http://schemas.openxmlformats.org/drawingml/2006/main">
  <xdr:twoCellAnchor>
    <xdr:from>
      <xdr:col>5</xdr:col>
      <xdr:colOff>428625</xdr:colOff>
      <xdr:row>66</xdr:row>
      <xdr:rowOff>933450</xdr:rowOff>
    </xdr:from>
    <xdr:to>
      <xdr:col>8</xdr:col>
      <xdr:colOff>428625</xdr:colOff>
      <xdr:row>66</xdr:row>
      <xdr:rowOff>933450</xdr:rowOff>
    </xdr:to>
    <xdr:sp macro="" textlink="">
      <xdr:nvSpPr>
        <xdr:cNvPr id="654338" name="Line 2">
          <a:extLst>
            <a:ext uri="{FF2B5EF4-FFF2-40B4-BE49-F238E27FC236}">
              <a16:creationId xmlns:a16="http://schemas.microsoft.com/office/drawing/2014/main" id="{00000000-0008-0000-5B00-000002FC0900}"/>
            </a:ext>
          </a:extLst>
        </xdr:cNvPr>
        <xdr:cNvSpPr>
          <a:spLocks noChangeShapeType="1"/>
        </xdr:cNvSpPr>
      </xdr:nvSpPr>
      <xdr:spPr bwMode="auto">
        <a:xfrm>
          <a:off x="3476625" y="33899475"/>
          <a:ext cx="1828800" cy="0"/>
        </a:xfrm>
        <a:prstGeom prst="line">
          <a:avLst/>
        </a:prstGeom>
        <a:noFill/>
        <a:ln w="9360" cap="sq">
          <a:solidFill>
            <a:srgbClr val="000000"/>
          </a:solidFill>
          <a:miter lim="800000"/>
          <a:headEnd/>
          <a:tailEnd/>
        </a:ln>
        <a:extLst>
          <a:ext uri="{909E8E84-426E-40DD-AFC4-6F175D3DCCD1}">
            <a14:hiddenFill xmlns:a14="http://schemas.microsoft.com/office/drawing/2010/main">
              <a:noFill/>
            </a14:hiddenFill>
          </a:ext>
        </a:extLst>
      </xdr:spPr>
    </xdr:sp>
    <xdr:clientData/>
  </xdr:twoCellAnchor>
  <xdr:twoCellAnchor>
    <xdr:from>
      <xdr:col>5</xdr:col>
      <xdr:colOff>428625</xdr:colOff>
      <xdr:row>103</xdr:row>
      <xdr:rowOff>933450</xdr:rowOff>
    </xdr:from>
    <xdr:to>
      <xdr:col>8</xdr:col>
      <xdr:colOff>428625</xdr:colOff>
      <xdr:row>103</xdr:row>
      <xdr:rowOff>933450</xdr:rowOff>
    </xdr:to>
    <xdr:sp macro="" textlink="">
      <xdr:nvSpPr>
        <xdr:cNvPr id="654337" name="Line 1">
          <a:extLst>
            <a:ext uri="{FF2B5EF4-FFF2-40B4-BE49-F238E27FC236}">
              <a16:creationId xmlns:a16="http://schemas.microsoft.com/office/drawing/2014/main" id="{00000000-0008-0000-5B00-000001FC0900}"/>
            </a:ext>
          </a:extLst>
        </xdr:cNvPr>
        <xdr:cNvSpPr>
          <a:spLocks noChangeShapeType="1"/>
        </xdr:cNvSpPr>
      </xdr:nvSpPr>
      <xdr:spPr bwMode="auto">
        <a:xfrm>
          <a:off x="3476625" y="45272325"/>
          <a:ext cx="1828800" cy="0"/>
        </a:xfrm>
        <a:prstGeom prst="line">
          <a:avLst/>
        </a:prstGeom>
        <a:noFill/>
        <a:ln w="9360" cap="sq">
          <a:solidFill>
            <a:srgbClr val="000000"/>
          </a:solidFill>
          <a:miter lim="800000"/>
          <a:headEnd/>
          <a:tailEnd/>
        </a:ln>
        <a:extLst>
          <a:ext uri="{909E8E84-426E-40DD-AFC4-6F175D3DCCD1}">
            <a14:hiddenFill xmlns:a14="http://schemas.microsoft.com/office/drawing/2010/main">
              <a:noFill/>
            </a14:hiddenFill>
          </a:ext>
        </a:extLst>
      </xdr:spPr>
    </xdr: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142875</xdr:colOff>
      <xdr:row>31</xdr:row>
      <xdr:rowOff>47625</xdr:rowOff>
    </xdr:from>
    <xdr:to>
      <xdr:col>2</xdr:col>
      <xdr:colOff>371475</xdr:colOff>
      <xdr:row>31</xdr:row>
      <xdr:rowOff>47625</xdr:rowOff>
    </xdr:to>
    <xdr:sp macro="" textlink="">
      <xdr:nvSpPr>
        <xdr:cNvPr id="670722" name="Straight Connector 2">
          <a:extLst>
            <a:ext uri="{FF2B5EF4-FFF2-40B4-BE49-F238E27FC236}">
              <a16:creationId xmlns:a16="http://schemas.microsoft.com/office/drawing/2014/main" id="{00000000-0008-0000-6600-0000023C0A00}"/>
            </a:ext>
          </a:extLst>
        </xdr:cNvPr>
        <xdr:cNvSpPr>
          <a:spLocks noChangeShapeType="1"/>
        </xdr:cNvSpPr>
      </xdr:nvSpPr>
      <xdr:spPr bwMode="auto">
        <a:xfrm>
          <a:off x="752475" y="22917150"/>
          <a:ext cx="838200" cy="0"/>
        </a:xfrm>
        <a:prstGeom prst="line">
          <a:avLst/>
        </a:prstGeom>
        <a:noFill/>
        <a:ln w="9360">
          <a:solidFill>
            <a:srgbClr val="000000"/>
          </a:solidFill>
          <a:miter lim="800000"/>
          <a:headEnd/>
          <a:tailEnd/>
        </a:ln>
        <a:extLst>
          <a:ext uri="{909E8E84-426E-40DD-AFC4-6F175D3DCCD1}">
            <a14:hiddenFill xmlns:a14="http://schemas.microsoft.com/office/drawing/2010/main">
              <a:noFill/>
            </a14:hiddenFill>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Downloads/Bang%20luong%20thang%2008.2020_V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ien%20luong/2019/Bang%20luong%20thang%2001.2019_V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EIC/Documents/Zalo%20Received%20Files/Bang%20luong%20cong%20tac%20vien%20T03.2021_V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EIC/Documents/Zalo%20Received%20Files/2021-BANG%20LUONG%20CTV%20THUE%20LAI/T2-Bang%20luong%20cong%20tac%20vien%20T02.2021_V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Minh%20Tuan/Documents/Zalo%20Received%20Files/file:/C:/Tien%20luong/2017/Bang%20luong%20thang%2005.2017_V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S3408/Standard/RP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ien%20luong/2019/Bang%20luong%20thang%2005.2019_V3.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0-2019-KHTC%20DN-%20HI&#7872;N/P04%20CH&#7906;%20L&#193;CH/L&#431;&#416;NG%20-%20HOA%20H&#7890;NG/THU&#202;%20THU/062020_Quyet%20toan%20hoa%20hong%20thu%20cuoc%20052020-ok.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0-2019-KHTC%20DN-%20HI&#7872;N/P04%20CH&#7906;%20L&#193;CH/L&#431;&#416;NG%20-%20HOA%20H&#7890;NG/THU&#202;%20THU/072020_p04_hoa%20h&#7891;ng%20thu%20c&#432;&#7899;c%20th&#225;ng%208.202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Admin/Documents/Zalo%20Received%20Files/2024_Danh%20sach%20CTV%20tang%20muc%20dong%20bao%20hiem%2001.09.2024%20l&#7847;n%20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Admin/Downloads/FileMauImportNhansu.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ADMIN123/Documents/Zalo%20Received%20Files/Phan%20phoi%20khen%20thuong%20tap%20trung%202024_CV230_V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Administrator/Documents/Zalo%20Received%20Files/T&#7841;m%20&#7913;ng%20TTKD%20B&#7871;n%20Tre%2001.2025.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Administrator/Downloads/B&#7870;N%20TRE%20-%20&#272;&#7888;I%20SO&#193;T%20TH&#193;NG%2001.2025-g&#7889;c%20-%20Copy%20(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Admin/Downloads/Bang%20luong%20cong%20tac%20vien%20T05.2022_V1.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okyvina/05.4.23/KD%20B&#7871;n%20Tre/H&#242;a%20B&#7870;N%20TRE%20-%20&#272;&#7888;I%20SO&#193;T%20TH&#193;NG%2011.2023.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Admin/Documents/Zalo%20Received%20Files/T8-2022-%20S&#7888;%20LI&#7878;U%20B&#7870;N%20TRE.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TR&#7846;N%20TH&#7882;%20TH&#218;Y/DANH%20S&#193;CH%20&#272;&#416;N%20V&#7882;%20H&#272;L&#272;%202022/TTKD%20-%20B&#7870;N%20TRE-%20R&#7890;I/th&#225;ng%203/T4-2022-SO%20LIEU%20BEN%20TRE%20ch&#7889;t-%20THUY.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D&#7919;%20li&#7879;u%20Desktop%2021-08/Private/Thu&#234;%20l&#7841;i%20lao%20&#273;&#7897;ng/D&#7919;%20li&#7879;u%20chung/Thu&#7871;%20TNCN/Private/Thu&#7871;%20TNCN%202021/Thu&#7871;%202021_21.7.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TR&#7846;N%20TH&#7882;%20TH&#218;Y/DANH%20S&#193;CH%20&#272;&#416;N%20V&#7882;%20H&#272;L&#272;%202022/TTKD%20-%20B&#7870;N%20TRE-%20R&#7890;I/THU&#7870;/DANH%20S&#193;CH%20GI&#7842;M%20TR&#7914;%20GIA%20C&#7842;NH.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N&#258;M%202024/T&#193;CH%20M&#195;%20SPDV%20L&#431;&#416;NG%20CTV/T&#225;ch%20l&#432;&#417;ng%20&#273;&#417;n%20gi&#225;%20T5.2024%20CTV.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N&#258;M%202024/T&#193;CH%20M&#195;%20SPDV%20L&#431;&#416;NG%20CTV/L&#432;&#417;ng%20P1P3%20theo%20t&#7927;%20l&#7879;%20doanh%20thu%20n&#259;m%202025.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N&#258;M%202024/T&#193;CH%20M&#195;%20SPDV%20L&#431;&#416;NG%20CTV/2025_T1.Tong%20hop%20tinh%20luo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ông tin"/>
      <sheetName val="Điểm P3-Ngày công"/>
      <sheetName val="Tạm ứng"/>
      <sheetName val="Xử lý số liệu_Cá nhân"/>
      <sheetName val="Xử lý số liệu_Tập thể"/>
      <sheetName val="Nhập số liệu"/>
      <sheetName val="Hệ số sản lượng"/>
      <sheetName val="Cong bo luong don gia"/>
      <sheetName val="Lương P1P3"/>
      <sheetName val="Lương nghỉ phép"/>
      <sheetName val="Lương đơn giá"/>
      <sheetName val="Tỷ lệ hoàn thành"/>
      <sheetName val="Lương khuyến khích"/>
      <sheetName val="So sánh"/>
      <sheetName val="Bang luong"/>
      <sheetName val="Thống kê"/>
      <sheetName val="1. Đơn giá"/>
      <sheetName val="Tin nhắn"/>
      <sheetName val="Khen thưởng"/>
      <sheetName val="Thong bao"/>
      <sheetName val="Theo dõi quỹ lương"/>
      <sheetName val="Bảo hiểm"/>
    </sheetNames>
    <sheetDataSet>
      <sheetData sheetId="0" refreshError="1">
        <row r="3">
          <cell r="B3">
            <v>730000</v>
          </cell>
        </row>
        <row r="4">
          <cell r="B4">
            <v>31063.83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2">
          <cell r="D2">
            <v>4420000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ập liệu"/>
      <sheetName val="Nhập KQ"/>
      <sheetName val="DG PTTB"/>
      <sheetName val="Đơn giá lương"/>
      <sheetName val="Thông tin chung"/>
      <sheetName val="Thực tăng"/>
      <sheetName val="Lương PTTB"/>
      <sheetName val="Lương QLTB"/>
      <sheetName val="Thuong DCTH"/>
      <sheetName val="Hiện hữu"/>
      <sheetName val="Cong bo Tbo thực tăng"/>
      <sheetName val="TBO PTTB"/>
      <sheetName val="TBO DCTH"/>
      <sheetName val="Bang luong"/>
      <sheetName val="Thu nhap"/>
      <sheetName val="Bao hiem"/>
      <sheetName val="Tam ứng"/>
      <sheetName val="Quy luong doanh thu"/>
      <sheetName val="Khen thuong"/>
      <sheetName val="Quỹ lương"/>
      <sheetName val="Dthu 2017"/>
      <sheetName val="Dthu duy tri"/>
      <sheetName val="Quỹ lương tổ"/>
      <sheetName val="Cong bo Dthu"/>
      <sheetName val="Thông báo"/>
      <sheetName val="Doanh thu CNTT"/>
      <sheetName val="KDTM"/>
      <sheetName val="Theo dõi luong"/>
      <sheetName val="Dthu thuc hien"/>
    </sheetNames>
    <sheetDataSet>
      <sheetData sheetId="0">
        <row r="4">
          <cell r="S4">
            <v>19</v>
          </cell>
        </row>
      </sheetData>
      <sheetData sheetId="1">
        <row r="2">
          <cell r="A2" t="str">
            <v>1000</v>
          </cell>
        </row>
      </sheetData>
      <sheetData sheetId="2">
        <row r="3">
          <cell r="F3">
            <v>60000</v>
          </cell>
        </row>
        <row r="4">
          <cell r="F4">
            <v>6000</v>
          </cell>
        </row>
        <row r="5">
          <cell r="F5">
            <v>12000</v>
          </cell>
        </row>
      </sheetData>
      <sheetData sheetId="3"/>
      <sheetData sheetId="4"/>
      <sheetData sheetId="5">
        <row r="5">
          <cell r="B5" t="str">
            <v>Sồ cột</v>
          </cell>
        </row>
      </sheetData>
      <sheetData sheetId="6">
        <row r="6">
          <cell r="A6" t="str">
            <v>1000</v>
          </cell>
        </row>
      </sheetData>
      <sheetData sheetId="7">
        <row r="5">
          <cell r="A5" t="str">
            <v>1000</v>
          </cell>
        </row>
      </sheetData>
      <sheetData sheetId="8"/>
      <sheetData sheetId="9">
        <row r="6">
          <cell r="A6" t="str">
            <v>1028</v>
          </cell>
        </row>
      </sheetData>
      <sheetData sheetId="10"/>
      <sheetData sheetId="11"/>
      <sheetData sheetId="12"/>
      <sheetData sheetId="13">
        <row r="3">
          <cell r="B3" t="str">
            <v>75018</v>
          </cell>
        </row>
      </sheetData>
      <sheetData sheetId="14">
        <row r="7">
          <cell r="A7" t="str">
            <v>75018</v>
          </cell>
        </row>
      </sheetData>
      <sheetData sheetId="15">
        <row r="3">
          <cell r="B3" t="str">
            <v>75018</v>
          </cell>
        </row>
      </sheetData>
      <sheetData sheetId="16"/>
      <sheetData sheetId="17">
        <row r="5">
          <cell r="A5" t="str">
            <v>1000</v>
          </cell>
        </row>
      </sheetData>
      <sheetData sheetId="18"/>
      <sheetData sheetId="19"/>
      <sheetData sheetId="20"/>
      <sheetData sheetId="21"/>
      <sheetData sheetId="22"/>
      <sheetData sheetId="23"/>
      <sheetData sheetId="24"/>
      <sheetData sheetId="25"/>
      <sheetData sheetId="26">
        <row r="3">
          <cell r="A3" t="str">
            <v>1022</v>
          </cell>
        </row>
      </sheetData>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ông tin chung"/>
      <sheetName val="Danh sách CTV"/>
      <sheetName val="P3-Ngày công"/>
      <sheetName val="Bảng lương"/>
      <sheetName val="Bảng lương P1P3"/>
      <sheetName val="Thông báo"/>
      <sheetName val="Lương sản lượng"/>
      <sheetName val="H.số sản lượng"/>
      <sheetName val="Luong P1P3"/>
      <sheetName val="Thuế TNCN"/>
      <sheetName val="Tạm ứng"/>
      <sheetName val="Thu nhập khác"/>
      <sheetName val="Thuế tạm thu"/>
      <sheetName val="Công bố"/>
      <sheetName val="Chat luong"/>
      <sheetName val="Hóa đơn cước"/>
      <sheetName val="Bậc 2"/>
      <sheetName val="THP_Ket qua thu cuoc"/>
    </sheetNames>
    <sheetDataSet>
      <sheetData sheetId="0">
        <row r="5">
          <cell r="B5">
            <v>60000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ông tin chung"/>
      <sheetName val="Danh sách CTV"/>
      <sheetName val="Bảng lương"/>
      <sheetName val="Bảng lương P1P3"/>
      <sheetName val="Bảng lương sản lượng"/>
      <sheetName val="Thông báo"/>
      <sheetName val="P3-Ngày công"/>
      <sheetName val="Sheet1"/>
      <sheetName val="Lương sản lượng"/>
      <sheetName val="Luong P1P3"/>
      <sheetName val="Thuế TNCN"/>
      <sheetName val="Tạm ứng"/>
      <sheetName val="Thu nhập khác"/>
      <sheetName val="Công bố"/>
      <sheetName val="Chat luong"/>
      <sheetName val="Hóa đơn cước"/>
      <sheetName val="Bậc 2"/>
      <sheetName val="THP_Ket qua thu cuoc"/>
      <sheetName val="H.số sản lượng"/>
      <sheetName val="Nhắn tin"/>
      <sheetName val="Thuế tạm thu"/>
    </sheetNames>
    <sheetDataSet>
      <sheetData sheetId="0" refreshError="1">
        <row r="7">
          <cell r="B7" t="str">
            <v>02/2021</v>
          </cell>
        </row>
        <row r="8">
          <cell r="B8">
            <v>16.5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ập liệu"/>
      <sheetName val="Nhập KQ"/>
      <sheetName val="DG PTTB"/>
      <sheetName val="Đơn giá lương"/>
      <sheetName val="Thông tin chung"/>
      <sheetName val="Bang luong"/>
      <sheetName val="Thu nhap"/>
      <sheetName val="Bao hiem"/>
      <sheetName val="Khen thuong"/>
      <sheetName val="Quy luong PTTB"/>
      <sheetName val="Quy luong doanh thu"/>
      <sheetName val="Quỹ lương tổ"/>
      <sheetName val="Thông báo"/>
      <sheetName val="TBO PTTB"/>
      <sheetName val="KDTM"/>
      <sheetName val="Theo dõi luong"/>
    </sheetNames>
    <sheetDataSet>
      <sheetData sheetId="0">
        <row r="4">
          <cell r="A4" t="str">
            <v>75018</v>
          </cell>
          <cell r="B4">
            <v>1000</v>
          </cell>
          <cell r="C4" t="str">
            <v>1001</v>
          </cell>
          <cell r="D4" t="str">
            <v>Cao Xuân</v>
          </cell>
          <cell r="E4" t="str">
            <v>Đoàn</v>
          </cell>
          <cell r="H4">
            <v>23</v>
          </cell>
          <cell r="J4">
            <v>23</v>
          </cell>
          <cell r="K4">
            <v>0</v>
          </cell>
          <cell r="L4">
            <v>0</v>
          </cell>
          <cell r="M4">
            <v>0</v>
          </cell>
          <cell r="N4">
            <v>0</v>
          </cell>
          <cell r="O4">
            <v>0</v>
          </cell>
          <cell r="P4">
            <v>730000</v>
          </cell>
          <cell r="Q4">
            <v>1</v>
          </cell>
        </row>
        <row r="5">
          <cell r="A5" t="str">
            <v>75092</v>
          </cell>
          <cell r="B5">
            <v>1000</v>
          </cell>
          <cell r="C5" t="str">
            <v>1001</v>
          </cell>
          <cell r="D5" t="str">
            <v>Trịnh Ngọc</v>
          </cell>
          <cell r="E5" t="str">
            <v>Hồng</v>
          </cell>
          <cell r="H5">
            <v>23</v>
          </cell>
          <cell r="J5">
            <v>23</v>
          </cell>
          <cell r="K5">
            <v>0</v>
          </cell>
          <cell r="L5">
            <v>0</v>
          </cell>
          <cell r="M5">
            <v>0</v>
          </cell>
          <cell r="N5">
            <v>0</v>
          </cell>
          <cell r="O5">
            <v>0</v>
          </cell>
          <cell r="P5">
            <v>730000</v>
          </cell>
          <cell r="Q5">
            <v>2</v>
          </cell>
        </row>
        <row r="6">
          <cell r="A6" t="str">
            <v>75287</v>
          </cell>
          <cell r="B6">
            <v>1000</v>
          </cell>
          <cell r="C6" t="str">
            <v>1001</v>
          </cell>
          <cell r="D6" t="str">
            <v>Phạm Tấn</v>
          </cell>
          <cell r="E6" t="str">
            <v>Tài</v>
          </cell>
          <cell r="H6">
            <v>23</v>
          </cell>
          <cell r="J6">
            <v>23</v>
          </cell>
          <cell r="K6">
            <v>0</v>
          </cell>
          <cell r="L6">
            <v>0</v>
          </cell>
          <cell r="M6">
            <v>0</v>
          </cell>
          <cell r="N6">
            <v>0</v>
          </cell>
          <cell r="O6">
            <v>0</v>
          </cell>
          <cell r="P6">
            <v>730000</v>
          </cell>
          <cell r="Q6">
            <v>3</v>
          </cell>
        </row>
        <row r="7">
          <cell r="A7" t="str">
            <v>75131</v>
          </cell>
          <cell r="B7">
            <v>1000</v>
          </cell>
          <cell r="C7" t="str">
            <v>1016</v>
          </cell>
          <cell r="D7" t="str">
            <v>Trần Minh</v>
          </cell>
          <cell r="E7" t="str">
            <v>Tuấn</v>
          </cell>
          <cell r="H7">
            <v>23</v>
          </cell>
          <cell r="J7">
            <v>23</v>
          </cell>
          <cell r="K7">
            <v>0</v>
          </cell>
          <cell r="L7">
            <v>0</v>
          </cell>
          <cell r="M7">
            <v>0</v>
          </cell>
          <cell r="N7">
            <v>0</v>
          </cell>
          <cell r="O7">
            <v>0</v>
          </cell>
          <cell r="P7">
            <v>730000</v>
          </cell>
          <cell r="Q7">
            <v>1</v>
          </cell>
        </row>
        <row r="8">
          <cell r="A8" t="str">
            <v>75318</v>
          </cell>
          <cell r="B8">
            <v>1000</v>
          </cell>
          <cell r="C8" t="str">
            <v>1016</v>
          </cell>
          <cell r="D8" t="str">
            <v>Đặng Thế</v>
          </cell>
          <cell r="E8" t="str">
            <v>Lữ</v>
          </cell>
          <cell r="H8">
            <v>23</v>
          </cell>
          <cell r="J8">
            <v>23</v>
          </cell>
          <cell r="K8">
            <v>0</v>
          </cell>
          <cell r="L8">
            <v>0</v>
          </cell>
          <cell r="M8">
            <v>0</v>
          </cell>
          <cell r="N8">
            <v>0</v>
          </cell>
          <cell r="O8">
            <v>0</v>
          </cell>
          <cell r="P8">
            <v>730000</v>
          </cell>
          <cell r="Q8">
            <v>2</v>
          </cell>
        </row>
        <row r="9">
          <cell r="A9" t="str">
            <v>75033</v>
          </cell>
          <cell r="B9">
            <v>1000</v>
          </cell>
          <cell r="C9" t="str">
            <v>1016</v>
          </cell>
          <cell r="D9" t="str">
            <v>Trương Hoàng Ái</v>
          </cell>
          <cell r="E9" t="str">
            <v>Nhân</v>
          </cell>
          <cell r="G9">
            <v>1</v>
          </cell>
          <cell r="H9">
            <v>22</v>
          </cell>
          <cell r="I9">
            <v>1</v>
          </cell>
          <cell r="J9">
            <v>23</v>
          </cell>
          <cell r="K9">
            <v>0</v>
          </cell>
          <cell r="L9">
            <v>0</v>
          </cell>
          <cell r="M9">
            <v>0</v>
          </cell>
          <cell r="N9">
            <v>0</v>
          </cell>
          <cell r="O9">
            <v>0</v>
          </cell>
          <cell r="P9">
            <v>698258</v>
          </cell>
          <cell r="Q9">
            <v>3</v>
          </cell>
        </row>
        <row r="10">
          <cell r="A10" t="str">
            <v>75006</v>
          </cell>
          <cell r="B10">
            <v>1000</v>
          </cell>
          <cell r="C10" t="str">
            <v>1016</v>
          </cell>
          <cell r="D10" t="str">
            <v>Trần Thị Bích</v>
          </cell>
          <cell r="E10" t="str">
            <v>Thủy</v>
          </cell>
          <cell r="G10">
            <v>1</v>
          </cell>
          <cell r="H10">
            <v>22</v>
          </cell>
          <cell r="I10">
            <v>1</v>
          </cell>
          <cell r="J10">
            <v>23</v>
          </cell>
          <cell r="K10">
            <v>0</v>
          </cell>
          <cell r="L10">
            <v>0</v>
          </cell>
          <cell r="M10">
            <v>0</v>
          </cell>
          <cell r="N10">
            <v>0</v>
          </cell>
          <cell r="O10">
            <v>0</v>
          </cell>
          <cell r="P10">
            <v>698258</v>
          </cell>
          <cell r="Q10">
            <v>4</v>
          </cell>
        </row>
        <row r="11">
          <cell r="A11" t="str">
            <v>75087</v>
          </cell>
          <cell r="B11">
            <v>1000</v>
          </cell>
          <cell r="C11" t="str">
            <v>1016</v>
          </cell>
          <cell r="D11" t="str">
            <v>Phan Thị Kim</v>
          </cell>
          <cell r="E11" t="str">
            <v>Thoa</v>
          </cell>
          <cell r="G11">
            <v>1</v>
          </cell>
          <cell r="H11">
            <v>23</v>
          </cell>
          <cell r="J11">
            <v>23</v>
          </cell>
          <cell r="K11">
            <v>0</v>
          </cell>
          <cell r="L11">
            <v>0</v>
          </cell>
          <cell r="M11">
            <v>0</v>
          </cell>
          <cell r="N11">
            <v>0</v>
          </cell>
          <cell r="O11">
            <v>0</v>
          </cell>
          <cell r="P11">
            <v>730000</v>
          </cell>
          <cell r="Q11">
            <v>5</v>
          </cell>
        </row>
        <row r="12">
          <cell r="A12" t="str">
            <v>75406</v>
          </cell>
          <cell r="B12">
            <v>1000</v>
          </cell>
          <cell r="C12" t="str">
            <v>1016</v>
          </cell>
          <cell r="D12" t="str">
            <v>Huỳnh Thủy</v>
          </cell>
          <cell r="E12" t="str">
            <v>Tiên</v>
          </cell>
          <cell r="G12">
            <v>1</v>
          </cell>
          <cell r="H12">
            <v>22</v>
          </cell>
          <cell r="I12">
            <v>1</v>
          </cell>
          <cell r="J12">
            <v>23</v>
          </cell>
          <cell r="K12">
            <v>0</v>
          </cell>
          <cell r="L12">
            <v>0</v>
          </cell>
          <cell r="M12">
            <v>0</v>
          </cell>
          <cell r="N12">
            <v>0</v>
          </cell>
          <cell r="O12">
            <v>0</v>
          </cell>
          <cell r="P12">
            <v>698258</v>
          </cell>
          <cell r="Q12">
            <v>6</v>
          </cell>
        </row>
        <row r="13">
          <cell r="A13" t="str">
            <v>75316</v>
          </cell>
          <cell r="B13">
            <v>1000</v>
          </cell>
          <cell r="C13" t="str">
            <v>1016</v>
          </cell>
          <cell r="D13" t="str">
            <v>Trần Tấn</v>
          </cell>
          <cell r="E13" t="str">
            <v>Tài</v>
          </cell>
          <cell r="H13">
            <v>23</v>
          </cell>
          <cell r="J13">
            <v>23</v>
          </cell>
          <cell r="K13">
            <v>0</v>
          </cell>
          <cell r="L13">
            <v>0</v>
          </cell>
          <cell r="M13">
            <v>0</v>
          </cell>
          <cell r="N13">
            <v>0</v>
          </cell>
          <cell r="O13">
            <v>0</v>
          </cell>
          <cell r="P13">
            <v>730000</v>
          </cell>
          <cell r="Q13">
            <v>7</v>
          </cell>
        </row>
        <row r="14">
          <cell r="A14" t="str">
            <v>75090</v>
          </cell>
          <cell r="B14">
            <v>1000</v>
          </cell>
          <cell r="C14" t="str">
            <v>1016</v>
          </cell>
          <cell r="D14" t="str">
            <v>Trần Nghĩa</v>
          </cell>
          <cell r="E14" t="str">
            <v>Phước</v>
          </cell>
          <cell r="H14">
            <v>23</v>
          </cell>
          <cell r="J14">
            <v>23</v>
          </cell>
          <cell r="K14">
            <v>0</v>
          </cell>
          <cell r="L14">
            <v>0</v>
          </cell>
          <cell r="M14">
            <v>0</v>
          </cell>
          <cell r="N14">
            <v>0</v>
          </cell>
          <cell r="O14">
            <v>0</v>
          </cell>
          <cell r="P14">
            <v>730000</v>
          </cell>
          <cell r="Q14">
            <v>8</v>
          </cell>
        </row>
        <row r="15">
          <cell r="A15" t="str">
            <v>75107</v>
          </cell>
          <cell r="B15">
            <v>1000</v>
          </cell>
          <cell r="C15" t="str">
            <v>1016</v>
          </cell>
          <cell r="D15" t="str">
            <v>Đặng Minh</v>
          </cell>
          <cell r="E15" t="str">
            <v>Trí</v>
          </cell>
          <cell r="H15">
            <v>23</v>
          </cell>
          <cell r="J15">
            <v>23</v>
          </cell>
          <cell r="K15">
            <v>0</v>
          </cell>
          <cell r="L15">
            <v>0</v>
          </cell>
          <cell r="M15">
            <v>0</v>
          </cell>
          <cell r="N15">
            <v>0</v>
          </cell>
          <cell r="O15">
            <v>0</v>
          </cell>
          <cell r="P15">
            <v>730000</v>
          </cell>
          <cell r="Q15">
            <v>9</v>
          </cell>
        </row>
        <row r="16">
          <cell r="A16" t="str">
            <v>75026</v>
          </cell>
          <cell r="B16">
            <v>1000</v>
          </cell>
          <cell r="C16" t="str">
            <v>1017</v>
          </cell>
          <cell r="D16" t="str">
            <v>Nguyễn Hoàng</v>
          </cell>
          <cell r="E16" t="str">
            <v>Minh</v>
          </cell>
          <cell r="H16">
            <v>23</v>
          </cell>
          <cell r="J16">
            <v>23</v>
          </cell>
          <cell r="K16">
            <v>0</v>
          </cell>
          <cell r="L16">
            <v>0</v>
          </cell>
          <cell r="M16">
            <v>0</v>
          </cell>
          <cell r="N16">
            <v>0</v>
          </cell>
          <cell r="O16">
            <v>0</v>
          </cell>
          <cell r="P16">
            <v>730000</v>
          </cell>
          <cell r="Q16">
            <v>1</v>
          </cell>
        </row>
        <row r="17">
          <cell r="A17" t="str">
            <v>75013</v>
          </cell>
          <cell r="B17">
            <v>1000</v>
          </cell>
          <cell r="C17" t="str">
            <v>1017</v>
          </cell>
          <cell r="D17" t="str">
            <v>Ngô Văn Hoàng</v>
          </cell>
          <cell r="E17" t="str">
            <v>Việt</v>
          </cell>
          <cell r="H17">
            <v>17.5</v>
          </cell>
          <cell r="I17">
            <v>7.5</v>
          </cell>
          <cell r="J17">
            <v>25</v>
          </cell>
          <cell r="K17">
            <v>0</v>
          </cell>
          <cell r="L17">
            <v>0</v>
          </cell>
          <cell r="M17">
            <v>0</v>
          </cell>
          <cell r="N17">
            <v>0</v>
          </cell>
          <cell r="O17">
            <v>0</v>
          </cell>
          <cell r="P17">
            <v>555433</v>
          </cell>
          <cell r="Q17">
            <v>2</v>
          </cell>
        </row>
        <row r="18">
          <cell r="A18" t="str">
            <v>75046</v>
          </cell>
          <cell r="B18">
            <v>1000</v>
          </cell>
          <cell r="C18" t="str">
            <v>1020</v>
          </cell>
          <cell r="D18" t="str">
            <v>Trịnh Thị Thanh</v>
          </cell>
          <cell r="E18" t="str">
            <v>Hồng</v>
          </cell>
          <cell r="G18">
            <v>1</v>
          </cell>
          <cell r="H18">
            <v>23</v>
          </cell>
          <cell r="J18">
            <v>23</v>
          </cell>
          <cell r="K18">
            <v>0</v>
          </cell>
          <cell r="L18">
            <v>0</v>
          </cell>
          <cell r="M18">
            <v>0</v>
          </cell>
          <cell r="N18">
            <v>0</v>
          </cell>
          <cell r="O18">
            <v>0</v>
          </cell>
          <cell r="P18">
            <v>730000</v>
          </cell>
          <cell r="Q18">
            <v>3</v>
          </cell>
        </row>
        <row r="19">
          <cell r="A19" t="str">
            <v>75040</v>
          </cell>
          <cell r="B19">
            <v>1000</v>
          </cell>
          <cell r="C19" t="str">
            <v>1017</v>
          </cell>
          <cell r="D19" t="str">
            <v>Lê Thị</v>
          </cell>
          <cell r="E19" t="str">
            <v>Diễm</v>
          </cell>
          <cell r="G19">
            <v>1.03</v>
          </cell>
          <cell r="H19">
            <v>23</v>
          </cell>
          <cell r="J19">
            <v>23</v>
          </cell>
          <cell r="K19">
            <v>0</v>
          </cell>
          <cell r="L19">
            <v>0</v>
          </cell>
          <cell r="M19">
            <v>0</v>
          </cell>
          <cell r="N19">
            <v>0</v>
          </cell>
          <cell r="O19">
            <v>0</v>
          </cell>
          <cell r="P19">
            <v>730000</v>
          </cell>
          <cell r="Q19">
            <v>4</v>
          </cell>
        </row>
        <row r="20">
          <cell r="A20" t="str">
            <v>75300</v>
          </cell>
          <cell r="B20">
            <v>1000</v>
          </cell>
          <cell r="C20" t="str">
            <v>1017</v>
          </cell>
          <cell r="D20" t="str">
            <v>Tạ Thanh</v>
          </cell>
          <cell r="E20" t="str">
            <v>Lâm</v>
          </cell>
          <cell r="G20">
            <v>1.02</v>
          </cell>
          <cell r="H20">
            <v>23</v>
          </cell>
          <cell r="J20">
            <v>23</v>
          </cell>
          <cell r="K20">
            <v>0</v>
          </cell>
          <cell r="L20">
            <v>0</v>
          </cell>
          <cell r="M20">
            <v>0</v>
          </cell>
          <cell r="N20">
            <v>0</v>
          </cell>
          <cell r="O20">
            <v>0</v>
          </cell>
          <cell r="P20">
            <v>730000</v>
          </cell>
          <cell r="Q20">
            <v>5</v>
          </cell>
        </row>
        <row r="21">
          <cell r="A21" t="str">
            <v>75302</v>
          </cell>
          <cell r="B21">
            <v>1000</v>
          </cell>
          <cell r="C21" t="str">
            <v>1017</v>
          </cell>
          <cell r="D21" t="str">
            <v>Huỳnh Văn</v>
          </cell>
          <cell r="E21" t="str">
            <v>Nhân</v>
          </cell>
          <cell r="G21">
            <v>1.05</v>
          </cell>
          <cell r="H21">
            <v>23</v>
          </cell>
          <cell r="J21">
            <v>23</v>
          </cell>
          <cell r="K21">
            <v>0</v>
          </cell>
          <cell r="L21">
            <v>0</v>
          </cell>
          <cell r="M21">
            <v>0</v>
          </cell>
          <cell r="N21">
            <v>0</v>
          </cell>
          <cell r="O21">
            <v>0</v>
          </cell>
          <cell r="P21">
            <v>730000</v>
          </cell>
          <cell r="Q21">
            <v>6</v>
          </cell>
        </row>
        <row r="22">
          <cell r="A22" t="str">
            <v>75379</v>
          </cell>
          <cell r="B22">
            <v>1000</v>
          </cell>
          <cell r="C22" t="str">
            <v>1017</v>
          </cell>
          <cell r="D22" t="str">
            <v>Lê Minh</v>
          </cell>
          <cell r="E22" t="str">
            <v>Bằng</v>
          </cell>
          <cell r="G22">
            <v>1.1000000000000001</v>
          </cell>
          <cell r="H22">
            <v>23</v>
          </cell>
          <cell r="J22">
            <v>23</v>
          </cell>
          <cell r="K22">
            <v>0</v>
          </cell>
          <cell r="L22">
            <v>0</v>
          </cell>
          <cell r="M22">
            <v>0</v>
          </cell>
          <cell r="N22">
            <v>0</v>
          </cell>
          <cell r="O22">
            <v>0</v>
          </cell>
          <cell r="P22">
            <v>730000</v>
          </cell>
          <cell r="Q22">
            <v>7</v>
          </cell>
        </row>
        <row r="23">
          <cell r="A23" t="str">
            <v>75291</v>
          </cell>
          <cell r="B23">
            <v>1000</v>
          </cell>
          <cell r="C23" t="str">
            <v>1017</v>
          </cell>
          <cell r="D23" t="str">
            <v>Nguyễn Thúy</v>
          </cell>
          <cell r="E23" t="str">
            <v>Bình</v>
          </cell>
          <cell r="G23">
            <v>1</v>
          </cell>
          <cell r="H23">
            <v>23</v>
          </cell>
          <cell r="J23">
            <v>23</v>
          </cell>
          <cell r="K23">
            <v>0</v>
          </cell>
          <cell r="L23">
            <v>0</v>
          </cell>
          <cell r="M23">
            <v>0</v>
          </cell>
          <cell r="N23">
            <v>0</v>
          </cell>
          <cell r="O23">
            <v>0</v>
          </cell>
          <cell r="P23">
            <v>730000</v>
          </cell>
          <cell r="Q23">
            <v>8</v>
          </cell>
        </row>
        <row r="24">
          <cell r="A24" t="str">
            <v>75411</v>
          </cell>
          <cell r="B24">
            <v>1000</v>
          </cell>
          <cell r="C24" t="str">
            <v>1017</v>
          </cell>
          <cell r="D24" t="str">
            <v>Nguyễn Thị</v>
          </cell>
          <cell r="E24" t="str">
            <v>Thi</v>
          </cell>
          <cell r="J24">
            <v>0</v>
          </cell>
          <cell r="K24">
            <v>0</v>
          </cell>
          <cell r="L24">
            <v>0</v>
          </cell>
          <cell r="M24">
            <v>0</v>
          </cell>
          <cell r="N24">
            <v>0</v>
          </cell>
          <cell r="O24">
            <v>0</v>
          </cell>
          <cell r="P24">
            <v>0</v>
          </cell>
          <cell r="Q24">
            <v>9</v>
          </cell>
        </row>
        <row r="25">
          <cell r="A25" t="str">
            <v>75085</v>
          </cell>
          <cell r="B25">
            <v>1000</v>
          </cell>
          <cell r="C25" t="str">
            <v>1017</v>
          </cell>
          <cell r="D25" t="str">
            <v>Phạm Hoàng</v>
          </cell>
          <cell r="E25" t="str">
            <v>Vũ</v>
          </cell>
          <cell r="J25">
            <v>0</v>
          </cell>
          <cell r="K25">
            <v>0</v>
          </cell>
          <cell r="L25">
            <v>0</v>
          </cell>
          <cell r="M25">
            <v>0</v>
          </cell>
          <cell r="N25">
            <v>0</v>
          </cell>
          <cell r="O25">
            <v>0</v>
          </cell>
          <cell r="P25">
            <v>0</v>
          </cell>
          <cell r="Q25">
            <v>10</v>
          </cell>
        </row>
        <row r="26">
          <cell r="A26" t="str">
            <v>75023</v>
          </cell>
          <cell r="B26">
            <v>1000</v>
          </cell>
          <cell r="C26" t="str">
            <v>1018</v>
          </cell>
          <cell r="D26" t="str">
            <v>Lê Thị Như</v>
          </cell>
          <cell r="E26" t="str">
            <v>Huỳnh</v>
          </cell>
          <cell r="H26">
            <v>23</v>
          </cell>
          <cell r="J26">
            <v>23</v>
          </cell>
          <cell r="K26">
            <v>0</v>
          </cell>
          <cell r="L26">
            <v>0</v>
          </cell>
          <cell r="M26">
            <v>0</v>
          </cell>
          <cell r="N26">
            <v>0</v>
          </cell>
          <cell r="O26">
            <v>0</v>
          </cell>
          <cell r="P26">
            <v>730000</v>
          </cell>
          <cell r="Q26">
            <v>1</v>
          </cell>
        </row>
        <row r="27">
          <cell r="A27" t="str">
            <v>75301</v>
          </cell>
          <cell r="B27">
            <v>1000</v>
          </cell>
          <cell r="C27" t="str">
            <v>1018</v>
          </cell>
          <cell r="D27" t="str">
            <v>Nguyễn Thị</v>
          </cell>
          <cell r="E27" t="str">
            <v>Thấm</v>
          </cell>
          <cell r="H27">
            <v>23</v>
          </cell>
          <cell r="J27">
            <v>23</v>
          </cell>
          <cell r="K27">
            <v>0</v>
          </cell>
          <cell r="L27">
            <v>0</v>
          </cell>
          <cell r="M27">
            <v>0</v>
          </cell>
          <cell r="N27">
            <v>0</v>
          </cell>
          <cell r="O27">
            <v>0</v>
          </cell>
          <cell r="P27">
            <v>730000</v>
          </cell>
          <cell r="Q27">
            <v>2</v>
          </cell>
        </row>
        <row r="28">
          <cell r="A28" t="str">
            <v>75405</v>
          </cell>
          <cell r="B28">
            <v>1000</v>
          </cell>
          <cell r="C28" t="str">
            <v>1018</v>
          </cell>
          <cell r="D28" t="str">
            <v>Nguyễn Lê Ngọc</v>
          </cell>
          <cell r="E28" t="str">
            <v>Anh</v>
          </cell>
          <cell r="G28">
            <v>1</v>
          </cell>
          <cell r="H28">
            <v>23</v>
          </cell>
          <cell r="J28">
            <v>23</v>
          </cell>
          <cell r="K28">
            <v>0</v>
          </cell>
          <cell r="L28">
            <v>0</v>
          </cell>
          <cell r="M28">
            <v>0</v>
          </cell>
          <cell r="N28">
            <v>0</v>
          </cell>
          <cell r="O28">
            <v>0</v>
          </cell>
          <cell r="P28">
            <v>730000</v>
          </cell>
          <cell r="Q28">
            <v>3</v>
          </cell>
        </row>
        <row r="29">
          <cell r="A29" t="str">
            <v>75333</v>
          </cell>
          <cell r="B29">
            <v>1000</v>
          </cell>
          <cell r="C29" t="str">
            <v>1018</v>
          </cell>
          <cell r="D29" t="str">
            <v>Nguyễn Thị Thu</v>
          </cell>
          <cell r="E29" t="str">
            <v>Thúy</v>
          </cell>
          <cell r="G29">
            <v>1</v>
          </cell>
          <cell r="H29">
            <v>23</v>
          </cell>
          <cell r="J29">
            <v>23</v>
          </cell>
          <cell r="K29">
            <v>0</v>
          </cell>
          <cell r="L29">
            <v>0</v>
          </cell>
          <cell r="M29">
            <v>0</v>
          </cell>
          <cell r="N29">
            <v>0</v>
          </cell>
          <cell r="O29">
            <v>0</v>
          </cell>
          <cell r="P29">
            <v>730000</v>
          </cell>
          <cell r="Q29">
            <v>4</v>
          </cell>
        </row>
        <row r="30">
          <cell r="A30" t="str">
            <v>75239</v>
          </cell>
          <cell r="B30">
            <v>1000</v>
          </cell>
          <cell r="C30" t="str">
            <v>1018</v>
          </cell>
          <cell r="D30" t="str">
            <v>Huỳnh Thị</v>
          </cell>
          <cell r="E30" t="str">
            <v>Ngọc</v>
          </cell>
          <cell r="J30">
            <v>0</v>
          </cell>
          <cell r="K30">
            <v>0</v>
          </cell>
          <cell r="L30">
            <v>0</v>
          </cell>
          <cell r="M30">
            <v>0</v>
          </cell>
          <cell r="N30">
            <v>0</v>
          </cell>
          <cell r="O30">
            <v>0</v>
          </cell>
          <cell r="P30">
            <v>0</v>
          </cell>
          <cell r="Q30">
            <v>5</v>
          </cell>
        </row>
        <row r="31">
          <cell r="A31" t="str">
            <v>75025</v>
          </cell>
          <cell r="B31">
            <v>1000</v>
          </cell>
          <cell r="C31" t="str">
            <v>1018</v>
          </cell>
          <cell r="D31" t="str">
            <v>Bùi Lan</v>
          </cell>
          <cell r="E31" t="str">
            <v>Phương</v>
          </cell>
          <cell r="G31">
            <v>1</v>
          </cell>
          <cell r="H31">
            <v>23</v>
          </cell>
          <cell r="J31">
            <v>23</v>
          </cell>
          <cell r="K31">
            <v>0</v>
          </cell>
          <cell r="L31">
            <v>0</v>
          </cell>
          <cell r="M31">
            <v>0</v>
          </cell>
          <cell r="N31">
            <v>0</v>
          </cell>
          <cell r="O31">
            <v>0</v>
          </cell>
          <cell r="P31">
            <v>730000</v>
          </cell>
          <cell r="Q31">
            <v>6</v>
          </cell>
        </row>
        <row r="32">
          <cell r="A32" t="str">
            <v>75022</v>
          </cell>
          <cell r="B32">
            <v>1000</v>
          </cell>
          <cell r="C32" t="str">
            <v>1018</v>
          </cell>
          <cell r="D32" t="str">
            <v>Từ Vy</v>
          </cell>
          <cell r="E32" t="str">
            <v>Hà</v>
          </cell>
          <cell r="G32">
            <v>1</v>
          </cell>
          <cell r="H32">
            <v>23</v>
          </cell>
          <cell r="J32">
            <v>23</v>
          </cell>
          <cell r="K32">
            <v>0</v>
          </cell>
          <cell r="L32">
            <v>0</v>
          </cell>
          <cell r="M32">
            <v>0</v>
          </cell>
          <cell r="N32">
            <v>0</v>
          </cell>
          <cell r="O32">
            <v>0</v>
          </cell>
          <cell r="P32">
            <v>730000</v>
          </cell>
          <cell r="Q32">
            <v>7</v>
          </cell>
        </row>
        <row r="33">
          <cell r="A33" t="str">
            <v>75293</v>
          </cell>
          <cell r="B33">
            <v>1000</v>
          </cell>
          <cell r="C33" t="str">
            <v>1019</v>
          </cell>
          <cell r="D33" t="str">
            <v>Đỗ Thị Ngọc</v>
          </cell>
          <cell r="E33" t="str">
            <v>Mỹ</v>
          </cell>
          <cell r="H33">
            <v>23</v>
          </cell>
          <cell r="J33">
            <v>23</v>
          </cell>
          <cell r="K33">
            <v>0</v>
          </cell>
          <cell r="L33">
            <v>0</v>
          </cell>
          <cell r="M33">
            <v>0</v>
          </cell>
          <cell r="N33">
            <v>0</v>
          </cell>
          <cell r="O33">
            <v>0</v>
          </cell>
          <cell r="P33">
            <v>730000</v>
          </cell>
          <cell r="Q33">
            <v>1</v>
          </cell>
        </row>
        <row r="34">
          <cell r="A34" t="str">
            <v>75292</v>
          </cell>
          <cell r="B34">
            <v>1000</v>
          </cell>
          <cell r="C34" t="str">
            <v>1019</v>
          </cell>
          <cell r="D34" t="str">
            <v>Đặng Thị Hiếu</v>
          </cell>
          <cell r="E34" t="str">
            <v>Dân</v>
          </cell>
          <cell r="G34">
            <v>0.89200000000000002</v>
          </cell>
          <cell r="H34">
            <v>23</v>
          </cell>
          <cell r="J34">
            <v>23</v>
          </cell>
          <cell r="K34">
            <v>0</v>
          </cell>
          <cell r="L34">
            <v>0</v>
          </cell>
          <cell r="M34">
            <v>0</v>
          </cell>
          <cell r="N34">
            <v>0</v>
          </cell>
          <cell r="O34">
            <v>0</v>
          </cell>
          <cell r="P34">
            <v>730000</v>
          </cell>
          <cell r="Q34">
            <v>2</v>
          </cell>
        </row>
        <row r="35">
          <cell r="A35" t="str">
            <v>75317</v>
          </cell>
          <cell r="B35">
            <v>1000</v>
          </cell>
          <cell r="C35" t="str">
            <v>1019</v>
          </cell>
          <cell r="D35" t="str">
            <v>Nguyễn Thị Yến</v>
          </cell>
          <cell r="E35" t="str">
            <v>Trinh</v>
          </cell>
          <cell r="G35">
            <v>0.93</v>
          </cell>
          <cell r="H35">
            <v>23</v>
          </cell>
          <cell r="J35">
            <v>23</v>
          </cell>
          <cell r="K35">
            <v>0</v>
          </cell>
          <cell r="L35">
            <v>0</v>
          </cell>
          <cell r="M35">
            <v>0</v>
          </cell>
          <cell r="N35">
            <v>0</v>
          </cell>
          <cell r="O35">
            <v>0</v>
          </cell>
          <cell r="P35">
            <v>730000</v>
          </cell>
          <cell r="Q35">
            <v>3</v>
          </cell>
        </row>
        <row r="36">
          <cell r="A36" t="str">
            <v>75298</v>
          </cell>
          <cell r="B36">
            <v>1000</v>
          </cell>
          <cell r="C36" t="str">
            <v>1019</v>
          </cell>
          <cell r="D36" t="str">
            <v>Phạm Thị Thanh</v>
          </cell>
          <cell r="E36" t="str">
            <v>Tâm</v>
          </cell>
          <cell r="G36">
            <v>0.96</v>
          </cell>
          <cell r="H36">
            <v>23</v>
          </cell>
          <cell r="J36">
            <v>23</v>
          </cell>
          <cell r="K36">
            <v>0</v>
          </cell>
          <cell r="L36">
            <v>0</v>
          </cell>
          <cell r="M36">
            <v>0</v>
          </cell>
          <cell r="N36">
            <v>0</v>
          </cell>
          <cell r="O36">
            <v>0</v>
          </cell>
          <cell r="P36">
            <v>730000</v>
          </cell>
          <cell r="Q36">
            <v>4</v>
          </cell>
        </row>
        <row r="37">
          <cell r="A37" t="str">
            <v>75096</v>
          </cell>
          <cell r="B37">
            <v>1000</v>
          </cell>
          <cell r="C37" t="str">
            <v>1019</v>
          </cell>
          <cell r="D37" t="str">
            <v>Trần Thị Xuân</v>
          </cell>
          <cell r="E37" t="str">
            <v>Nghĩa</v>
          </cell>
          <cell r="G37">
            <v>0.83</v>
          </cell>
          <cell r="H37">
            <v>23</v>
          </cell>
          <cell r="J37">
            <v>23</v>
          </cell>
          <cell r="K37">
            <v>0</v>
          </cell>
          <cell r="L37">
            <v>0</v>
          </cell>
          <cell r="M37">
            <v>0</v>
          </cell>
          <cell r="N37">
            <v>0</v>
          </cell>
          <cell r="O37">
            <v>0</v>
          </cell>
          <cell r="P37">
            <v>730000</v>
          </cell>
          <cell r="Q37">
            <v>5</v>
          </cell>
        </row>
        <row r="38">
          <cell r="A38" t="str">
            <v>75295</v>
          </cell>
          <cell r="B38">
            <v>1000</v>
          </cell>
          <cell r="C38" t="str">
            <v>1019</v>
          </cell>
          <cell r="D38" t="str">
            <v>Nguyễn Thị Đằng</v>
          </cell>
          <cell r="E38" t="str">
            <v>Giao</v>
          </cell>
          <cell r="G38">
            <v>0.85</v>
          </cell>
          <cell r="H38">
            <v>23</v>
          </cell>
          <cell r="J38">
            <v>23</v>
          </cell>
          <cell r="K38">
            <v>0</v>
          </cell>
          <cell r="L38">
            <v>0</v>
          </cell>
          <cell r="M38">
            <v>0</v>
          </cell>
          <cell r="N38">
            <v>0</v>
          </cell>
          <cell r="O38">
            <v>0</v>
          </cell>
          <cell r="P38">
            <v>730000</v>
          </cell>
          <cell r="Q38">
            <v>6</v>
          </cell>
        </row>
        <row r="39">
          <cell r="A39" t="str">
            <v>75296</v>
          </cell>
          <cell r="B39">
            <v>1000</v>
          </cell>
          <cell r="C39" t="str">
            <v>1019</v>
          </cell>
          <cell r="D39" t="str">
            <v>Mai Thị</v>
          </cell>
          <cell r="E39" t="str">
            <v>Ngọc</v>
          </cell>
          <cell r="G39">
            <v>0.84</v>
          </cell>
          <cell r="H39">
            <v>23</v>
          </cell>
          <cell r="J39">
            <v>23</v>
          </cell>
          <cell r="K39">
            <v>0</v>
          </cell>
          <cell r="L39">
            <v>0</v>
          </cell>
          <cell r="M39">
            <v>0</v>
          </cell>
          <cell r="N39">
            <v>0</v>
          </cell>
          <cell r="O39">
            <v>0</v>
          </cell>
          <cell r="P39">
            <v>730000</v>
          </cell>
          <cell r="Q39">
            <v>6</v>
          </cell>
        </row>
        <row r="40">
          <cell r="A40" t="str">
            <v>75084</v>
          </cell>
          <cell r="B40">
            <v>1000</v>
          </cell>
          <cell r="C40" t="str">
            <v>1020</v>
          </cell>
          <cell r="D40" t="str">
            <v>Huỳnh Hữu</v>
          </cell>
          <cell r="E40" t="str">
            <v>Phước</v>
          </cell>
          <cell r="H40">
            <v>23</v>
          </cell>
          <cell r="J40">
            <v>23</v>
          </cell>
          <cell r="K40">
            <v>0</v>
          </cell>
          <cell r="L40">
            <v>0</v>
          </cell>
          <cell r="M40">
            <v>0</v>
          </cell>
          <cell r="N40">
            <v>0</v>
          </cell>
          <cell r="O40">
            <v>0</v>
          </cell>
          <cell r="P40">
            <v>730000</v>
          </cell>
          <cell r="Q40">
            <v>1</v>
          </cell>
        </row>
        <row r="41">
          <cell r="A41" t="str">
            <v>75297</v>
          </cell>
          <cell r="B41">
            <v>1000</v>
          </cell>
          <cell r="C41" t="str">
            <v>1020</v>
          </cell>
          <cell r="D41" t="str">
            <v>Nguyễn Văn</v>
          </cell>
          <cell r="E41" t="str">
            <v>Phúc</v>
          </cell>
          <cell r="G41">
            <v>1.07</v>
          </cell>
          <cell r="H41">
            <v>23</v>
          </cell>
          <cell r="J41">
            <v>23</v>
          </cell>
          <cell r="K41">
            <v>0</v>
          </cell>
          <cell r="L41">
            <v>0</v>
          </cell>
          <cell r="M41">
            <v>0</v>
          </cell>
          <cell r="N41">
            <v>0</v>
          </cell>
          <cell r="O41">
            <v>0</v>
          </cell>
          <cell r="P41">
            <v>730000</v>
          </cell>
          <cell r="Q41">
            <v>2</v>
          </cell>
        </row>
        <row r="42">
          <cell r="A42" t="str">
            <v>75403</v>
          </cell>
          <cell r="B42">
            <v>1000</v>
          </cell>
          <cell r="C42" t="str">
            <v>1020</v>
          </cell>
          <cell r="D42" t="str">
            <v>Lê Thị Thỳ</v>
          </cell>
          <cell r="E42" t="str">
            <v>Trang</v>
          </cell>
          <cell r="G42">
            <v>1.22</v>
          </cell>
          <cell r="H42">
            <v>23</v>
          </cell>
          <cell r="J42">
            <v>23</v>
          </cell>
          <cell r="K42">
            <v>0</v>
          </cell>
          <cell r="L42">
            <v>0</v>
          </cell>
          <cell r="M42">
            <v>0</v>
          </cell>
          <cell r="N42">
            <v>0</v>
          </cell>
          <cell r="O42">
            <v>0</v>
          </cell>
          <cell r="P42">
            <v>730000</v>
          </cell>
          <cell r="Q42">
            <v>3</v>
          </cell>
        </row>
        <row r="43">
          <cell r="A43" t="str">
            <v>75303</v>
          </cell>
          <cell r="B43">
            <v>1000</v>
          </cell>
          <cell r="C43" t="str">
            <v>1020</v>
          </cell>
          <cell r="D43" t="str">
            <v>Phan Trung</v>
          </cell>
          <cell r="E43" t="str">
            <v>Thành</v>
          </cell>
          <cell r="G43">
            <v>1.08</v>
          </cell>
          <cell r="H43">
            <v>23</v>
          </cell>
          <cell r="J43">
            <v>23</v>
          </cell>
          <cell r="K43">
            <v>0</v>
          </cell>
          <cell r="L43">
            <v>0</v>
          </cell>
          <cell r="M43">
            <v>0</v>
          </cell>
          <cell r="N43">
            <v>0</v>
          </cell>
          <cell r="O43">
            <v>0</v>
          </cell>
          <cell r="P43">
            <v>730000</v>
          </cell>
          <cell r="Q43">
            <v>4</v>
          </cell>
        </row>
        <row r="44">
          <cell r="A44" t="str">
            <v>75041</v>
          </cell>
          <cell r="B44">
            <v>1000</v>
          </cell>
          <cell r="C44" t="str">
            <v>1020</v>
          </cell>
          <cell r="D44" t="str">
            <v>Trần Thị</v>
          </cell>
          <cell r="E44" t="str">
            <v>Thức</v>
          </cell>
          <cell r="G44">
            <v>1.19</v>
          </cell>
          <cell r="H44">
            <v>23</v>
          </cell>
          <cell r="J44">
            <v>23</v>
          </cell>
          <cell r="K44">
            <v>0</v>
          </cell>
          <cell r="L44">
            <v>0</v>
          </cell>
          <cell r="M44">
            <v>0</v>
          </cell>
          <cell r="N44">
            <v>0</v>
          </cell>
          <cell r="O44">
            <v>0</v>
          </cell>
          <cell r="P44">
            <v>730000</v>
          </cell>
          <cell r="Q44">
            <v>5</v>
          </cell>
        </row>
        <row r="45">
          <cell r="A45" t="str">
            <v>75407</v>
          </cell>
          <cell r="B45">
            <v>1000</v>
          </cell>
          <cell r="C45" t="str">
            <v>1020</v>
          </cell>
          <cell r="D45" t="str">
            <v>Huỳnh Thị Lan</v>
          </cell>
          <cell r="E45" t="str">
            <v>Hương</v>
          </cell>
          <cell r="G45">
            <v>0.85</v>
          </cell>
          <cell r="H45">
            <v>16.5</v>
          </cell>
          <cell r="I45">
            <v>6.5</v>
          </cell>
          <cell r="J45">
            <v>23</v>
          </cell>
          <cell r="K45">
            <v>0</v>
          </cell>
          <cell r="L45">
            <v>0</v>
          </cell>
          <cell r="M45">
            <v>0</v>
          </cell>
          <cell r="N45">
            <v>0</v>
          </cell>
          <cell r="O45">
            <v>0</v>
          </cell>
          <cell r="P45">
            <v>523694</v>
          </cell>
          <cell r="Q45">
            <v>6</v>
          </cell>
        </row>
        <row r="46">
          <cell r="A46" t="str">
            <v>75327</v>
          </cell>
          <cell r="B46" t="str">
            <v>1022</v>
          </cell>
          <cell r="C46" t="str">
            <v>102201</v>
          </cell>
          <cell r="D46" t="str">
            <v>Nguyễn Hữu</v>
          </cell>
          <cell r="E46" t="str">
            <v>Chí</v>
          </cell>
          <cell r="H46">
            <v>23</v>
          </cell>
          <cell r="J46">
            <v>23</v>
          </cell>
          <cell r="K46">
            <v>0</v>
          </cell>
          <cell r="L46">
            <v>0</v>
          </cell>
          <cell r="M46">
            <v>0</v>
          </cell>
          <cell r="N46">
            <v>0</v>
          </cell>
          <cell r="O46">
            <v>0</v>
          </cell>
          <cell r="P46">
            <v>730000</v>
          </cell>
          <cell r="Q46">
            <v>1</v>
          </cell>
        </row>
        <row r="47">
          <cell r="A47" t="str">
            <v>75294</v>
          </cell>
          <cell r="B47" t="str">
            <v>1022</v>
          </cell>
          <cell r="C47" t="str">
            <v>102201</v>
          </cell>
          <cell r="D47" t="str">
            <v>Hồ Thị Ánh</v>
          </cell>
          <cell r="E47" t="str">
            <v>Nguyệt</v>
          </cell>
          <cell r="H47">
            <v>23</v>
          </cell>
          <cell r="J47">
            <v>23</v>
          </cell>
          <cell r="K47">
            <v>0</v>
          </cell>
          <cell r="L47">
            <v>0</v>
          </cell>
          <cell r="M47">
            <v>0</v>
          </cell>
          <cell r="N47">
            <v>0</v>
          </cell>
          <cell r="O47">
            <v>0</v>
          </cell>
          <cell r="P47">
            <v>730000</v>
          </cell>
          <cell r="Q47">
            <v>3</v>
          </cell>
        </row>
        <row r="48">
          <cell r="A48" t="str">
            <v>75108</v>
          </cell>
          <cell r="B48" t="str">
            <v>1022</v>
          </cell>
          <cell r="C48" t="str">
            <v>102201</v>
          </cell>
          <cell r="D48" t="str">
            <v>Nguyễn Văn</v>
          </cell>
          <cell r="E48" t="str">
            <v>Cường</v>
          </cell>
          <cell r="J48">
            <v>0</v>
          </cell>
          <cell r="K48">
            <v>0</v>
          </cell>
          <cell r="L48">
            <v>0</v>
          </cell>
          <cell r="M48">
            <v>0</v>
          </cell>
          <cell r="N48">
            <v>0</v>
          </cell>
          <cell r="O48">
            <v>0</v>
          </cell>
          <cell r="P48">
            <v>0</v>
          </cell>
          <cell r="Q48">
            <v>5</v>
          </cell>
        </row>
        <row r="49">
          <cell r="A49" t="str">
            <v>75306</v>
          </cell>
          <cell r="B49" t="str">
            <v>1022</v>
          </cell>
          <cell r="C49" t="str">
            <v>102202</v>
          </cell>
          <cell r="D49" t="str">
            <v>Đặng Kim</v>
          </cell>
          <cell r="E49" t="str">
            <v>Đồng</v>
          </cell>
          <cell r="G49">
            <v>0.7</v>
          </cell>
          <cell r="H49">
            <v>23</v>
          </cell>
          <cell r="J49">
            <v>23</v>
          </cell>
          <cell r="K49">
            <v>26.35</v>
          </cell>
          <cell r="L49">
            <v>0</v>
          </cell>
          <cell r="M49">
            <v>6</v>
          </cell>
          <cell r="N49">
            <v>768342.39999999991</v>
          </cell>
          <cell r="O49">
            <v>329289.60000000009</v>
          </cell>
          <cell r="P49">
            <v>730000</v>
          </cell>
          <cell r="Q49">
            <v>6</v>
          </cell>
        </row>
        <row r="50">
          <cell r="A50" t="str">
            <v>75290</v>
          </cell>
          <cell r="B50" t="str">
            <v>1022</v>
          </cell>
          <cell r="C50" t="str">
            <v>102201</v>
          </cell>
          <cell r="D50" t="str">
            <v>Trần Thành</v>
          </cell>
          <cell r="E50" t="str">
            <v>Tâm</v>
          </cell>
          <cell r="G50">
            <v>1.1599999999999999</v>
          </cell>
          <cell r="H50">
            <v>23</v>
          </cell>
          <cell r="J50">
            <v>23</v>
          </cell>
          <cell r="K50">
            <v>23</v>
          </cell>
          <cell r="L50">
            <v>29</v>
          </cell>
          <cell r="M50">
            <v>52</v>
          </cell>
          <cell r="N50">
            <v>1382505</v>
          </cell>
          <cell r="O50">
            <v>0</v>
          </cell>
          <cell r="P50">
            <v>730000</v>
          </cell>
          <cell r="Q50">
            <v>7</v>
          </cell>
        </row>
        <row r="51">
          <cell r="A51" t="str">
            <v>75121</v>
          </cell>
          <cell r="B51" t="str">
            <v>1026</v>
          </cell>
          <cell r="C51" t="str">
            <v>102602</v>
          </cell>
          <cell r="D51" t="str">
            <v>Thái Viết</v>
          </cell>
          <cell r="E51" t="str">
            <v>Thảo</v>
          </cell>
          <cell r="G51">
            <v>0.95</v>
          </cell>
          <cell r="H51">
            <v>23</v>
          </cell>
          <cell r="J51">
            <v>23</v>
          </cell>
          <cell r="K51">
            <v>96.8</v>
          </cell>
          <cell r="L51">
            <v>1</v>
          </cell>
          <cell r="M51">
            <v>3</v>
          </cell>
          <cell r="N51">
            <v>3701888.75</v>
          </cell>
          <cell r="O51">
            <v>194836.25</v>
          </cell>
          <cell r="P51">
            <v>730000</v>
          </cell>
          <cell r="Q51">
            <v>8</v>
          </cell>
        </row>
        <row r="52">
          <cell r="A52" t="str">
            <v>75337</v>
          </cell>
          <cell r="B52" t="str">
            <v>1022</v>
          </cell>
          <cell r="C52" t="str">
            <v>102201</v>
          </cell>
          <cell r="D52" t="str">
            <v>Nguyễn Ngọc</v>
          </cell>
          <cell r="E52" t="str">
            <v>Triều</v>
          </cell>
          <cell r="F52">
            <v>-0.01</v>
          </cell>
          <cell r="G52">
            <v>1.1399999999999999</v>
          </cell>
          <cell r="H52">
            <v>23</v>
          </cell>
          <cell r="J52">
            <v>23</v>
          </cell>
          <cell r="K52">
            <v>24</v>
          </cell>
          <cell r="L52">
            <v>17</v>
          </cell>
          <cell r="M52">
            <v>43</v>
          </cell>
          <cell r="N52">
            <v>1322149</v>
          </cell>
          <cell r="O52">
            <v>0</v>
          </cell>
          <cell r="P52">
            <v>730000</v>
          </cell>
          <cell r="Q52">
            <v>9</v>
          </cell>
        </row>
        <row r="53">
          <cell r="A53" t="str">
            <v>75399</v>
          </cell>
          <cell r="B53" t="str">
            <v>1022</v>
          </cell>
          <cell r="C53" t="str">
            <v>102202</v>
          </cell>
          <cell r="D53" t="str">
            <v>Đoàn Chí</v>
          </cell>
          <cell r="E53" t="str">
            <v>Công</v>
          </cell>
          <cell r="F53">
            <v>-0.01</v>
          </cell>
          <cell r="G53">
            <v>0.93</v>
          </cell>
          <cell r="H53">
            <v>23</v>
          </cell>
          <cell r="J53">
            <v>23</v>
          </cell>
          <cell r="K53">
            <v>53.9</v>
          </cell>
          <cell r="L53">
            <v>3</v>
          </cell>
          <cell r="M53">
            <v>18</v>
          </cell>
          <cell r="N53">
            <v>2134929.39</v>
          </cell>
          <cell r="O53">
            <v>160693.60999999987</v>
          </cell>
          <cell r="P53">
            <v>730000</v>
          </cell>
          <cell r="Q53">
            <v>10</v>
          </cell>
        </row>
        <row r="54">
          <cell r="A54" t="str">
            <v>75307</v>
          </cell>
          <cell r="B54" t="str">
            <v>1022</v>
          </cell>
          <cell r="C54" t="str">
            <v>102201</v>
          </cell>
          <cell r="D54" t="str">
            <v>Lê Khắc</v>
          </cell>
          <cell r="E54" t="str">
            <v>Tiến</v>
          </cell>
          <cell r="G54">
            <v>1.05</v>
          </cell>
          <cell r="H54">
            <v>23</v>
          </cell>
          <cell r="J54">
            <v>23</v>
          </cell>
          <cell r="K54">
            <v>15.5</v>
          </cell>
          <cell r="L54">
            <v>9</v>
          </cell>
          <cell r="M54">
            <v>24</v>
          </cell>
          <cell r="N54">
            <v>820709</v>
          </cell>
          <cell r="O54">
            <v>0</v>
          </cell>
          <cell r="P54">
            <v>730000</v>
          </cell>
          <cell r="Q54">
            <v>11</v>
          </cell>
        </row>
        <row r="55">
          <cell r="A55" t="str">
            <v>75206</v>
          </cell>
          <cell r="B55" t="str">
            <v>1022</v>
          </cell>
          <cell r="C55" t="str">
            <v>102202</v>
          </cell>
          <cell r="D55" t="str">
            <v>Nguyễn Hoàng</v>
          </cell>
          <cell r="E55" t="str">
            <v>Bảo</v>
          </cell>
          <cell r="H55">
            <v>23</v>
          </cell>
          <cell r="J55">
            <v>23</v>
          </cell>
          <cell r="K55">
            <v>0</v>
          </cell>
          <cell r="L55">
            <v>0</v>
          </cell>
          <cell r="M55">
            <v>0</v>
          </cell>
          <cell r="N55">
            <v>0</v>
          </cell>
          <cell r="O55">
            <v>0</v>
          </cell>
          <cell r="P55">
            <v>730000</v>
          </cell>
          <cell r="Q55">
            <v>1</v>
          </cell>
        </row>
        <row r="56">
          <cell r="A56" t="str">
            <v>75086</v>
          </cell>
          <cell r="B56" t="str">
            <v>1022</v>
          </cell>
          <cell r="C56" t="str">
            <v>102202</v>
          </cell>
          <cell r="D56" t="str">
            <v>Nguyễn Thị</v>
          </cell>
          <cell r="E56" t="str">
            <v>Huỳnh</v>
          </cell>
          <cell r="H56">
            <v>23</v>
          </cell>
          <cell r="J56">
            <v>23</v>
          </cell>
          <cell r="K56">
            <v>0</v>
          </cell>
          <cell r="L56">
            <v>0</v>
          </cell>
          <cell r="M56">
            <v>0</v>
          </cell>
          <cell r="N56">
            <v>0</v>
          </cell>
          <cell r="O56">
            <v>0</v>
          </cell>
          <cell r="P56">
            <v>730000</v>
          </cell>
          <cell r="Q56">
            <v>2</v>
          </cell>
        </row>
        <row r="57">
          <cell r="A57" t="str">
            <v>75049</v>
          </cell>
          <cell r="B57" t="str">
            <v>1022</v>
          </cell>
          <cell r="C57" t="str">
            <v>102202</v>
          </cell>
          <cell r="D57" t="str">
            <v>Tưởng Mộng</v>
          </cell>
          <cell r="E57" t="str">
            <v>Thùy</v>
          </cell>
          <cell r="H57">
            <v>23</v>
          </cell>
          <cell r="J57">
            <v>23</v>
          </cell>
          <cell r="K57">
            <v>0</v>
          </cell>
          <cell r="L57">
            <v>0</v>
          </cell>
          <cell r="M57">
            <v>0</v>
          </cell>
          <cell r="N57">
            <v>0</v>
          </cell>
          <cell r="O57">
            <v>0</v>
          </cell>
          <cell r="P57">
            <v>730000</v>
          </cell>
          <cell r="Q57">
            <v>4</v>
          </cell>
        </row>
        <row r="58">
          <cell r="A58" t="str">
            <v>75286</v>
          </cell>
          <cell r="B58" t="str">
            <v>1022</v>
          </cell>
          <cell r="C58" t="str">
            <v>102202</v>
          </cell>
          <cell r="D58" t="str">
            <v>Nguyễn Thanh</v>
          </cell>
          <cell r="E58" t="str">
            <v>Hải</v>
          </cell>
          <cell r="G58">
            <v>0.82</v>
          </cell>
          <cell r="H58">
            <v>23</v>
          </cell>
          <cell r="J58">
            <v>23</v>
          </cell>
          <cell r="K58">
            <v>32.049999999999997</v>
          </cell>
          <cell r="L58">
            <v>3</v>
          </cell>
          <cell r="M58">
            <v>27</v>
          </cell>
          <cell r="N58">
            <v>1219398.22</v>
          </cell>
          <cell r="O58">
            <v>267672.78000000003</v>
          </cell>
          <cell r="P58">
            <v>730000</v>
          </cell>
          <cell r="Q58">
            <v>5</v>
          </cell>
        </row>
        <row r="59">
          <cell r="A59" t="str">
            <v>75367</v>
          </cell>
          <cell r="B59" t="str">
            <v>1022</v>
          </cell>
          <cell r="C59" t="str">
            <v>102202</v>
          </cell>
          <cell r="D59" t="str">
            <v>Lâm Vĩnh</v>
          </cell>
          <cell r="E59" t="str">
            <v>Phước</v>
          </cell>
          <cell r="F59">
            <v>-0.01</v>
          </cell>
          <cell r="G59">
            <v>1.0900000000000001</v>
          </cell>
          <cell r="H59">
            <v>23</v>
          </cell>
          <cell r="J59">
            <v>23</v>
          </cell>
          <cell r="K59">
            <v>0</v>
          </cell>
          <cell r="L59">
            <v>0</v>
          </cell>
          <cell r="M59">
            <v>0</v>
          </cell>
          <cell r="N59">
            <v>0</v>
          </cell>
          <cell r="O59">
            <v>0</v>
          </cell>
          <cell r="P59">
            <v>730000</v>
          </cell>
          <cell r="Q59">
            <v>6</v>
          </cell>
        </row>
        <row r="60">
          <cell r="A60" t="str">
            <v>75308</v>
          </cell>
          <cell r="B60" t="str">
            <v>1022</v>
          </cell>
          <cell r="C60" t="str">
            <v>102202</v>
          </cell>
          <cell r="D60" t="str">
            <v>Phạm Văn</v>
          </cell>
          <cell r="E60" t="str">
            <v>Thanh</v>
          </cell>
          <cell r="G60">
            <v>0.74</v>
          </cell>
          <cell r="H60">
            <v>23</v>
          </cell>
          <cell r="J60">
            <v>23</v>
          </cell>
          <cell r="K60">
            <v>19.350000000000001</v>
          </cell>
          <cell r="L60">
            <v>1</v>
          </cell>
          <cell r="M60">
            <v>32</v>
          </cell>
          <cell r="N60">
            <v>747113.62</v>
          </cell>
          <cell r="O60">
            <v>262499.38</v>
          </cell>
          <cell r="P60">
            <v>730000</v>
          </cell>
          <cell r="Q60">
            <v>7</v>
          </cell>
        </row>
        <row r="61">
          <cell r="A61" t="str">
            <v>75111</v>
          </cell>
          <cell r="B61" t="str">
            <v>1026</v>
          </cell>
          <cell r="C61" t="str">
            <v>102601</v>
          </cell>
          <cell r="D61" t="str">
            <v>Trần Thanh</v>
          </cell>
          <cell r="E61" t="str">
            <v>Nhàn</v>
          </cell>
          <cell r="G61">
            <v>1.0900000000000001</v>
          </cell>
          <cell r="H61">
            <v>23</v>
          </cell>
          <cell r="J61">
            <v>23</v>
          </cell>
          <cell r="K61">
            <v>28.8</v>
          </cell>
          <cell r="L61">
            <v>16</v>
          </cell>
          <cell r="M61">
            <v>111</v>
          </cell>
          <cell r="N61">
            <v>2005736</v>
          </cell>
          <cell r="O61">
            <v>0</v>
          </cell>
          <cell r="P61">
            <v>730000</v>
          </cell>
          <cell r="Q61">
            <v>8</v>
          </cell>
        </row>
        <row r="62">
          <cell r="A62" t="str">
            <v>75401</v>
          </cell>
          <cell r="B62" t="str">
            <v>1022</v>
          </cell>
          <cell r="C62" t="str">
            <v>102202</v>
          </cell>
          <cell r="D62" t="str">
            <v>Nguyễn Thị Mộng</v>
          </cell>
          <cell r="E62" t="str">
            <v>Nghi</v>
          </cell>
          <cell r="F62">
            <v>-0.01</v>
          </cell>
          <cell r="G62">
            <v>1</v>
          </cell>
          <cell r="H62">
            <v>23</v>
          </cell>
          <cell r="J62">
            <v>23</v>
          </cell>
          <cell r="K62">
            <v>0</v>
          </cell>
          <cell r="L62">
            <v>0</v>
          </cell>
          <cell r="M62">
            <v>0</v>
          </cell>
          <cell r="N62">
            <v>0</v>
          </cell>
          <cell r="O62">
            <v>0</v>
          </cell>
          <cell r="P62">
            <v>730000</v>
          </cell>
          <cell r="Q62">
            <v>9</v>
          </cell>
        </row>
        <row r="63">
          <cell r="A63" t="str">
            <v>75404</v>
          </cell>
          <cell r="B63" t="str">
            <v>1022</v>
          </cell>
          <cell r="C63" t="str">
            <v>102202</v>
          </cell>
          <cell r="D63" t="str">
            <v>Lê Phạm Bích</v>
          </cell>
          <cell r="E63" t="str">
            <v>Quyên</v>
          </cell>
          <cell r="J63">
            <v>0</v>
          </cell>
          <cell r="K63">
            <v>0</v>
          </cell>
          <cell r="L63">
            <v>0</v>
          </cell>
          <cell r="M63">
            <v>0</v>
          </cell>
          <cell r="N63">
            <v>0</v>
          </cell>
          <cell r="O63">
            <v>0</v>
          </cell>
          <cell r="P63">
            <v>0</v>
          </cell>
          <cell r="Q63">
            <v>10</v>
          </cell>
        </row>
        <row r="64">
          <cell r="A64" t="str">
            <v>75313</v>
          </cell>
          <cell r="B64" t="str">
            <v>1022</v>
          </cell>
          <cell r="C64" t="str">
            <v>102202</v>
          </cell>
          <cell r="D64" t="str">
            <v>Nguyễn Vương Phương</v>
          </cell>
          <cell r="E64" t="str">
            <v>Tâm</v>
          </cell>
          <cell r="F64">
            <v>-0.01</v>
          </cell>
          <cell r="G64">
            <v>0.88700000000000001</v>
          </cell>
          <cell r="H64">
            <v>23</v>
          </cell>
          <cell r="J64">
            <v>23</v>
          </cell>
          <cell r="K64">
            <v>25.4</v>
          </cell>
          <cell r="L64">
            <v>1</v>
          </cell>
          <cell r="M64">
            <v>28</v>
          </cell>
          <cell r="N64">
            <v>1084379.675</v>
          </cell>
          <cell r="O64">
            <v>138145.32499999995</v>
          </cell>
          <cell r="P64">
            <v>730000</v>
          </cell>
          <cell r="Q64">
            <v>11</v>
          </cell>
        </row>
        <row r="65">
          <cell r="A65" t="str">
            <v>75305</v>
          </cell>
          <cell r="B65" t="str">
            <v>1022</v>
          </cell>
          <cell r="C65" t="str">
            <v>102202</v>
          </cell>
          <cell r="D65" t="str">
            <v>Nguyễn Văn</v>
          </cell>
          <cell r="E65" t="str">
            <v>Đông</v>
          </cell>
          <cell r="G65">
            <v>0.78</v>
          </cell>
          <cell r="H65">
            <v>23</v>
          </cell>
          <cell r="J65">
            <v>23</v>
          </cell>
          <cell r="K65">
            <v>33.25</v>
          </cell>
          <cell r="L65">
            <v>0</v>
          </cell>
          <cell r="M65">
            <v>0</v>
          </cell>
          <cell r="N65">
            <v>1037400</v>
          </cell>
          <cell r="O65">
            <v>292600</v>
          </cell>
          <cell r="P65">
            <v>730000</v>
          </cell>
          <cell r="Q65">
            <v>12</v>
          </cell>
        </row>
        <row r="66">
          <cell r="A66" t="str">
            <v>75110</v>
          </cell>
          <cell r="B66" t="str">
            <v>1022</v>
          </cell>
          <cell r="C66" t="str">
            <v>102202</v>
          </cell>
          <cell r="D66" t="str">
            <v>Nguyễn Vũ</v>
          </cell>
          <cell r="E66" t="str">
            <v>Phương</v>
          </cell>
          <cell r="F66">
            <v>-0.03</v>
          </cell>
          <cell r="G66">
            <v>0.83</v>
          </cell>
          <cell r="H66">
            <v>23</v>
          </cell>
          <cell r="J66">
            <v>23</v>
          </cell>
          <cell r="K66">
            <v>44.15</v>
          </cell>
          <cell r="L66">
            <v>1</v>
          </cell>
          <cell r="M66">
            <v>32</v>
          </cell>
          <cell r="N66">
            <v>1661338.7899999998</v>
          </cell>
          <cell r="O66">
            <v>340274.2100000002</v>
          </cell>
          <cell r="P66">
            <v>730000</v>
          </cell>
          <cell r="Q66">
            <v>13</v>
          </cell>
        </row>
        <row r="67">
          <cell r="A67" t="str">
            <v>75312</v>
          </cell>
          <cell r="B67" t="str">
            <v>1023</v>
          </cell>
          <cell r="C67" t="str">
            <v>102302</v>
          </cell>
          <cell r="D67" t="str">
            <v>Mai Hoàng</v>
          </cell>
          <cell r="E67" t="str">
            <v>Thuận</v>
          </cell>
          <cell r="G67">
            <v>0.97</v>
          </cell>
          <cell r="H67">
            <v>23</v>
          </cell>
          <cell r="J67">
            <v>23</v>
          </cell>
          <cell r="K67">
            <v>39.85</v>
          </cell>
          <cell r="L67">
            <v>0</v>
          </cell>
          <cell r="M67">
            <v>0</v>
          </cell>
          <cell r="N67">
            <v>1546180</v>
          </cell>
          <cell r="O67">
            <v>47820</v>
          </cell>
          <cell r="P67">
            <v>730000</v>
          </cell>
          <cell r="Q67">
            <v>15</v>
          </cell>
        </row>
        <row r="68">
          <cell r="A68" t="str">
            <v>75314</v>
          </cell>
          <cell r="B68" t="str">
            <v>1023</v>
          </cell>
          <cell r="C68" t="str">
            <v>102301</v>
          </cell>
          <cell r="D68" t="str">
            <v>Trần Thanh</v>
          </cell>
          <cell r="E68" t="str">
            <v>Tú</v>
          </cell>
          <cell r="F68">
            <v>-0.05</v>
          </cell>
          <cell r="G68">
            <v>0.98</v>
          </cell>
          <cell r="H68">
            <v>23</v>
          </cell>
          <cell r="J68">
            <v>23</v>
          </cell>
          <cell r="K68">
            <v>42.15</v>
          </cell>
          <cell r="L68">
            <v>0</v>
          </cell>
          <cell r="M68">
            <v>0</v>
          </cell>
          <cell r="N68">
            <v>1652280</v>
          </cell>
          <cell r="O68">
            <v>33720</v>
          </cell>
          <cell r="P68">
            <v>730000</v>
          </cell>
          <cell r="Q68">
            <v>16</v>
          </cell>
        </row>
        <row r="69">
          <cell r="A69" t="str">
            <v>75141</v>
          </cell>
          <cell r="B69" t="str">
            <v>1022</v>
          </cell>
          <cell r="C69" t="str">
            <v>102202</v>
          </cell>
          <cell r="D69" t="str">
            <v>Đỗ Văn</v>
          </cell>
          <cell r="E69" t="str">
            <v>Quyền</v>
          </cell>
          <cell r="G69">
            <v>1.1200000000000001</v>
          </cell>
          <cell r="H69">
            <v>23</v>
          </cell>
          <cell r="J69">
            <v>23</v>
          </cell>
          <cell r="K69">
            <v>45.1</v>
          </cell>
          <cell r="L69">
            <v>0</v>
          </cell>
          <cell r="M69">
            <v>16</v>
          </cell>
          <cell r="N69">
            <v>1920352</v>
          </cell>
          <cell r="O69">
            <v>0</v>
          </cell>
          <cell r="P69">
            <v>730000</v>
          </cell>
          <cell r="Q69">
            <v>17</v>
          </cell>
        </row>
        <row r="70">
          <cell r="A70" t="str">
            <v>75335</v>
          </cell>
          <cell r="B70" t="str">
            <v>1023</v>
          </cell>
          <cell r="C70" t="str">
            <v>102301</v>
          </cell>
          <cell r="D70" t="str">
            <v>Nguyễn Việt</v>
          </cell>
          <cell r="E70" t="str">
            <v>Thương</v>
          </cell>
          <cell r="H70">
            <v>23</v>
          </cell>
          <cell r="J70">
            <v>23</v>
          </cell>
          <cell r="K70">
            <v>0</v>
          </cell>
          <cell r="L70">
            <v>0</v>
          </cell>
          <cell r="M70">
            <v>0</v>
          </cell>
          <cell r="N70">
            <v>0</v>
          </cell>
          <cell r="O70">
            <v>0</v>
          </cell>
          <cell r="P70">
            <v>730000</v>
          </cell>
          <cell r="Q70">
            <v>1</v>
          </cell>
        </row>
        <row r="71">
          <cell r="A71" t="str">
            <v>75332</v>
          </cell>
          <cell r="B71" t="str">
            <v>1023</v>
          </cell>
          <cell r="C71" t="str">
            <v>102301</v>
          </cell>
          <cell r="D71" t="str">
            <v>Trịnh Văn</v>
          </cell>
          <cell r="E71" t="str">
            <v>Nguyên</v>
          </cell>
          <cell r="F71">
            <v>0.03</v>
          </cell>
          <cell r="H71">
            <v>23</v>
          </cell>
          <cell r="J71">
            <v>23</v>
          </cell>
          <cell r="K71">
            <v>0</v>
          </cell>
          <cell r="L71">
            <v>0</v>
          </cell>
          <cell r="M71">
            <v>0</v>
          </cell>
          <cell r="N71">
            <v>0</v>
          </cell>
          <cell r="O71">
            <v>0</v>
          </cell>
          <cell r="P71">
            <v>730000</v>
          </cell>
          <cell r="Q71">
            <v>2</v>
          </cell>
        </row>
        <row r="72">
          <cell r="A72" t="str">
            <v>75322</v>
          </cell>
          <cell r="B72" t="str">
            <v>1023</v>
          </cell>
          <cell r="C72" t="str">
            <v>102301</v>
          </cell>
          <cell r="D72" t="str">
            <v>Nguyễn Thanh</v>
          </cell>
          <cell r="E72" t="str">
            <v>Tùng</v>
          </cell>
          <cell r="G72">
            <v>1.1200000000000001</v>
          </cell>
          <cell r="H72">
            <v>23</v>
          </cell>
          <cell r="J72">
            <v>23</v>
          </cell>
          <cell r="K72">
            <v>0</v>
          </cell>
          <cell r="L72">
            <v>0</v>
          </cell>
          <cell r="M72">
            <v>0</v>
          </cell>
          <cell r="N72">
            <v>0</v>
          </cell>
          <cell r="O72">
            <v>0</v>
          </cell>
          <cell r="P72">
            <v>730000</v>
          </cell>
          <cell r="Q72">
            <v>3</v>
          </cell>
        </row>
        <row r="73">
          <cell r="A73" t="str">
            <v>75329</v>
          </cell>
          <cell r="B73" t="str">
            <v>1023</v>
          </cell>
          <cell r="C73" t="str">
            <v>102301</v>
          </cell>
          <cell r="D73" t="str">
            <v>Lê Văn Bảo</v>
          </cell>
          <cell r="E73" t="str">
            <v>Anh</v>
          </cell>
          <cell r="G73">
            <v>0.93</v>
          </cell>
          <cell r="H73">
            <v>23</v>
          </cell>
          <cell r="J73">
            <v>23</v>
          </cell>
          <cell r="K73">
            <v>21</v>
          </cell>
          <cell r="L73">
            <v>15</v>
          </cell>
          <cell r="M73">
            <v>47</v>
          </cell>
          <cell r="N73">
            <v>1139639.6700000002</v>
          </cell>
          <cell r="O73">
            <v>85779.329999999842</v>
          </cell>
          <cell r="P73">
            <v>730000</v>
          </cell>
          <cell r="Q73">
            <v>4</v>
          </cell>
        </row>
        <row r="74">
          <cell r="A74" t="str">
            <v>75331</v>
          </cell>
          <cell r="B74" t="str">
            <v>1023</v>
          </cell>
          <cell r="C74" t="str">
            <v>102301</v>
          </cell>
          <cell r="D74" t="str">
            <v>Đỗ Minh</v>
          </cell>
          <cell r="E74" t="str">
            <v>Đạt</v>
          </cell>
          <cell r="G74">
            <v>1.04</v>
          </cell>
          <cell r="H74">
            <v>23</v>
          </cell>
          <cell r="J74">
            <v>23</v>
          </cell>
          <cell r="K74">
            <v>19</v>
          </cell>
          <cell r="L74">
            <v>7</v>
          </cell>
          <cell r="M74">
            <v>67</v>
          </cell>
          <cell r="N74">
            <v>1267587</v>
          </cell>
          <cell r="O74">
            <v>0</v>
          </cell>
          <cell r="P74">
            <v>730000</v>
          </cell>
          <cell r="Q74">
            <v>5</v>
          </cell>
        </row>
        <row r="75">
          <cell r="A75" t="str">
            <v>75328</v>
          </cell>
          <cell r="B75" t="str">
            <v>1023</v>
          </cell>
          <cell r="C75" t="str">
            <v>102301</v>
          </cell>
          <cell r="D75" t="str">
            <v>Phan Thành</v>
          </cell>
          <cell r="E75" t="str">
            <v>Đạt</v>
          </cell>
          <cell r="G75">
            <v>1.05</v>
          </cell>
          <cell r="H75">
            <v>23</v>
          </cell>
          <cell r="J75">
            <v>23</v>
          </cell>
          <cell r="K75">
            <v>18</v>
          </cell>
          <cell r="L75">
            <v>13</v>
          </cell>
          <cell r="M75">
            <v>41</v>
          </cell>
          <cell r="N75">
            <v>1055969</v>
          </cell>
          <cell r="O75">
            <v>0</v>
          </cell>
          <cell r="P75">
            <v>730000</v>
          </cell>
          <cell r="Q75">
            <v>6</v>
          </cell>
        </row>
        <row r="76">
          <cell r="A76" t="str">
            <v>75320</v>
          </cell>
          <cell r="B76" t="str">
            <v>1023</v>
          </cell>
          <cell r="C76" t="str">
            <v>102301</v>
          </cell>
          <cell r="D76" t="str">
            <v>Võ Hoàng</v>
          </cell>
          <cell r="E76" t="str">
            <v>Thương</v>
          </cell>
          <cell r="G76">
            <v>0.95</v>
          </cell>
          <cell r="H76">
            <v>23</v>
          </cell>
          <cell r="J76">
            <v>23</v>
          </cell>
          <cell r="K76">
            <v>17</v>
          </cell>
          <cell r="L76">
            <v>30</v>
          </cell>
          <cell r="M76">
            <v>47</v>
          </cell>
          <cell r="N76">
            <v>1053601.3</v>
          </cell>
          <cell r="O76">
            <v>55452.699999999953</v>
          </cell>
          <cell r="P76">
            <v>730000</v>
          </cell>
          <cell r="Q76">
            <v>8</v>
          </cell>
        </row>
        <row r="77">
          <cell r="A77" t="str">
            <v>75325</v>
          </cell>
          <cell r="B77" t="str">
            <v>1023</v>
          </cell>
          <cell r="C77" t="str">
            <v>102302</v>
          </cell>
          <cell r="D77" t="str">
            <v>Dương Thị Thu</v>
          </cell>
          <cell r="E77" t="str">
            <v>Hà</v>
          </cell>
          <cell r="H77">
            <v>23</v>
          </cell>
          <cell r="J77">
            <v>23</v>
          </cell>
          <cell r="K77">
            <v>0</v>
          </cell>
          <cell r="L77">
            <v>0</v>
          </cell>
          <cell r="M77">
            <v>0</v>
          </cell>
          <cell r="N77">
            <v>0</v>
          </cell>
          <cell r="O77">
            <v>0</v>
          </cell>
          <cell r="P77">
            <v>730000</v>
          </cell>
          <cell r="Q77">
            <v>1</v>
          </cell>
        </row>
        <row r="78">
          <cell r="A78" t="str">
            <v>75330</v>
          </cell>
          <cell r="B78" t="str">
            <v>1023</v>
          </cell>
          <cell r="C78" t="str">
            <v>102302</v>
          </cell>
          <cell r="D78" t="str">
            <v>Lê Thanh</v>
          </cell>
          <cell r="E78" t="str">
            <v>Tú</v>
          </cell>
          <cell r="H78">
            <v>23</v>
          </cell>
          <cell r="J78">
            <v>23</v>
          </cell>
          <cell r="K78">
            <v>0</v>
          </cell>
          <cell r="L78">
            <v>1</v>
          </cell>
          <cell r="M78">
            <v>5</v>
          </cell>
          <cell r="N78">
            <v>0</v>
          </cell>
          <cell r="O78">
            <v>39269</v>
          </cell>
          <cell r="P78">
            <v>730000</v>
          </cell>
          <cell r="Q78">
            <v>2</v>
          </cell>
        </row>
        <row r="79">
          <cell r="A79" t="str">
            <v>75321</v>
          </cell>
          <cell r="B79">
            <v>1000</v>
          </cell>
          <cell r="C79" t="str">
            <v>1017</v>
          </cell>
          <cell r="D79" t="str">
            <v>Đào Văn</v>
          </cell>
          <cell r="E79" t="str">
            <v>Tuân</v>
          </cell>
          <cell r="G79">
            <v>1.02</v>
          </cell>
          <cell r="H79">
            <v>23</v>
          </cell>
          <cell r="J79">
            <v>23</v>
          </cell>
          <cell r="K79">
            <v>0</v>
          </cell>
          <cell r="L79">
            <v>0</v>
          </cell>
          <cell r="M79">
            <v>0</v>
          </cell>
          <cell r="N79">
            <v>0</v>
          </cell>
          <cell r="O79">
            <v>0</v>
          </cell>
          <cell r="P79">
            <v>730000</v>
          </cell>
          <cell r="Q79">
            <v>3</v>
          </cell>
        </row>
        <row r="80">
          <cell r="A80" t="str">
            <v>75375</v>
          </cell>
          <cell r="B80" t="str">
            <v>1023</v>
          </cell>
          <cell r="C80" t="str">
            <v>102302</v>
          </cell>
          <cell r="D80" t="str">
            <v>Trịnh Minh</v>
          </cell>
          <cell r="E80" t="str">
            <v>Dương</v>
          </cell>
          <cell r="G80">
            <v>1</v>
          </cell>
          <cell r="H80">
            <v>23</v>
          </cell>
          <cell r="J80">
            <v>23</v>
          </cell>
          <cell r="K80">
            <v>61.1</v>
          </cell>
          <cell r="L80">
            <v>2</v>
          </cell>
          <cell r="M80">
            <v>2</v>
          </cell>
          <cell r="N80">
            <v>2464362</v>
          </cell>
          <cell r="O80">
            <v>0</v>
          </cell>
          <cell r="P80">
            <v>730000</v>
          </cell>
          <cell r="Q80">
            <v>4</v>
          </cell>
        </row>
        <row r="81">
          <cell r="A81" t="str">
            <v>75324</v>
          </cell>
          <cell r="B81" t="str">
            <v>1023</v>
          </cell>
          <cell r="C81" t="str">
            <v>102302</v>
          </cell>
          <cell r="D81" t="str">
            <v>Nguyễn Thị Diễm</v>
          </cell>
          <cell r="E81" t="str">
            <v>Hương</v>
          </cell>
          <cell r="G81">
            <v>1.0900000000000001</v>
          </cell>
          <cell r="H81">
            <v>23</v>
          </cell>
          <cell r="J81">
            <v>23</v>
          </cell>
          <cell r="K81">
            <v>0</v>
          </cell>
          <cell r="L81">
            <v>0</v>
          </cell>
          <cell r="M81">
            <v>0</v>
          </cell>
          <cell r="N81">
            <v>0</v>
          </cell>
          <cell r="O81">
            <v>0</v>
          </cell>
          <cell r="P81">
            <v>730000</v>
          </cell>
          <cell r="Q81">
            <v>5</v>
          </cell>
        </row>
        <row r="82">
          <cell r="A82" t="str">
            <v>75326</v>
          </cell>
          <cell r="B82" t="str">
            <v>1023</v>
          </cell>
          <cell r="C82" t="str">
            <v>102302</v>
          </cell>
          <cell r="D82" t="str">
            <v>Trần Văn</v>
          </cell>
          <cell r="E82" t="str">
            <v>Khải</v>
          </cell>
          <cell r="G82">
            <v>1.08</v>
          </cell>
          <cell r="H82">
            <v>23</v>
          </cell>
          <cell r="J82">
            <v>23</v>
          </cell>
          <cell r="K82">
            <v>107.7</v>
          </cell>
          <cell r="L82">
            <v>0</v>
          </cell>
          <cell r="M82">
            <v>0</v>
          </cell>
          <cell r="N82">
            <v>4308000</v>
          </cell>
          <cell r="O82">
            <v>0</v>
          </cell>
          <cell r="P82">
            <v>730000</v>
          </cell>
          <cell r="Q82">
            <v>6</v>
          </cell>
        </row>
        <row r="83">
          <cell r="A83" t="str">
            <v>75319</v>
          </cell>
          <cell r="B83" t="str">
            <v>1023</v>
          </cell>
          <cell r="C83" t="str">
            <v>102302</v>
          </cell>
          <cell r="D83" t="str">
            <v>Phan Trường</v>
          </cell>
          <cell r="E83" t="str">
            <v>Sơn</v>
          </cell>
          <cell r="G83">
            <v>0.82</v>
          </cell>
          <cell r="H83">
            <v>23</v>
          </cell>
          <cell r="J83">
            <v>23</v>
          </cell>
          <cell r="K83">
            <v>34.549999999999997</v>
          </cell>
          <cell r="L83">
            <v>0</v>
          </cell>
          <cell r="M83">
            <v>1</v>
          </cell>
          <cell r="N83">
            <v>1139203.04</v>
          </cell>
          <cell r="O83">
            <v>250068.95999999996</v>
          </cell>
          <cell r="P83">
            <v>730000</v>
          </cell>
          <cell r="Q83">
            <v>7</v>
          </cell>
        </row>
        <row r="84">
          <cell r="A84" t="str">
            <v>75144</v>
          </cell>
          <cell r="B84" t="str">
            <v>1023</v>
          </cell>
          <cell r="C84" t="str">
            <v>102302</v>
          </cell>
          <cell r="D84" t="str">
            <v>Nguyễn Văn Bé</v>
          </cell>
          <cell r="E84" t="str">
            <v>Tám</v>
          </cell>
          <cell r="G84">
            <v>0.96</v>
          </cell>
          <cell r="H84">
            <v>23</v>
          </cell>
          <cell r="J84">
            <v>23</v>
          </cell>
          <cell r="K84">
            <v>72.5</v>
          </cell>
          <cell r="L84">
            <v>1</v>
          </cell>
          <cell r="M84">
            <v>2</v>
          </cell>
          <cell r="N84">
            <v>2800754.88</v>
          </cell>
          <cell r="O84">
            <v>116698.12000000011</v>
          </cell>
          <cell r="P84">
            <v>730000</v>
          </cell>
          <cell r="Q84">
            <v>8</v>
          </cell>
        </row>
        <row r="85">
          <cell r="A85" t="str">
            <v>75309</v>
          </cell>
          <cell r="B85" t="str">
            <v>1024</v>
          </cell>
          <cell r="C85" t="str">
            <v>102401</v>
          </cell>
          <cell r="D85" t="str">
            <v>Phạm Xuân</v>
          </cell>
          <cell r="E85" t="str">
            <v>Tuấn</v>
          </cell>
          <cell r="H85">
            <v>23</v>
          </cell>
          <cell r="J85">
            <v>23</v>
          </cell>
          <cell r="K85">
            <v>0</v>
          </cell>
          <cell r="L85">
            <v>0</v>
          </cell>
          <cell r="M85">
            <v>0</v>
          </cell>
          <cell r="N85">
            <v>0</v>
          </cell>
          <cell r="O85">
            <v>0</v>
          </cell>
          <cell r="P85">
            <v>730000</v>
          </cell>
          <cell r="Q85">
            <v>1</v>
          </cell>
        </row>
        <row r="86">
          <cell r="A86" t="str">
            <v>75178</v>
          </cell>
          <cell r="B86" t="str">
            <v>1024</v>
          </cell>
          <cell r="C86" t="str">
            <v>102401</v>
          </cell>
          <cell r="D86" t="str">
            <v>Hà Ngọc</v>
          </cell>
          <cell r="E86" t="str">
            <v>Giàu</v>
          </cell>
          <cell r="H86">
            <v>23</v>
          </cell>
          <cell r="J86">
            <v>23</v>
          </cell>
          <cell r="K86">
            <v>0</v>
          </cell>
          <cell r="L86">
            <v>0</v>
          </cell>
          <cell r="M86">
            <v>0</v>
          </cell>
          <cell r="N86">
            <v>0</v>
          </cell>
          <cell r="O86">
            <v>0</v>
          </cell>
          <cell r="P86">
            <v>730000</v>
          </cell>
          <cell r="Q86">
            <v>2</v>
          </cell>
        </row>
        <row r="87">
          <cell r="A87" t="str">
            <v>75341</v>
          </cell>
          <cell r="B87" t="str">
            <v>1024</v>
          </cell>
          <cell r="C87" t="str">
            <v>102402</v>
          </cell>
          <cell r="D87" t="str">
            <v>Lê Chí</v>
          </cell>
          <cell r="E87" t="str">
            <v>Răng</v>
          </cell>
          <cell r="G87">
            <v>1.0900000000000001</v>
          </cell>
          <cell r="H87">
            <v>23</v>
          </cell>
          <cell r="J87">
            <v>23</v>
          </cell>
          <cell r="K87">
            <v>0</v>
          </cell>
          <cell r="L87">
            <v>0</v>
          </cell>
          <cell r="M87">
            <v>0</v>
          </cell>
          <cell r="N87">
            <v>0</v>
          </cell>
          <cell r="O87">
            <v>0</v>
          </cell>
          <cell r="P87">
            <v>730000</v>
          </cell>
          <cell r="Q87">
            <v>3</v>
          </cell>
        </row>
        <row r="88">
          <cell r="A88" t="str">
            <v>75338</v>
          </cell>
          <cell r="B88" t="str">
            <v>1024</v>
          </cell>
          <cell r="C88" t="str">
            <v>102401</v>
          </cell>
          <cell r="D88" t="str">
            <v>Nguyễn Văn Bé</v>
          </cell>
          <cell r="E88" t="str">
            <v>Út</v>
          </cell>
          <cell r="G88">
            <v>1.06</v>
          </cell>
          <cell r="H88">
            <v>23</v>
          </cell>
          <cell r="J88">
            <v>23</v>
          </cell>
          <cell r="K88">
            <v>28</v>
          </cell>
          <cell r="L88">
            <v>10</v>
          </cell>
          <cell r="M88">
            <v>139</v>
          </cell>
          <cell r="N88">
            <v>2159898</v>
          </cell>
          <cell r="O88">
            <v>0</v>
          </cell>
          <cell r="P88">
            <v>730000</v>
          </cell>
          <cell r="Q88">
            <v>4</v>
          </cell>
        </row>
        <row r="89">
          <cell r="A89" t="str">
            <v>75173</v>
          </cell>
          <cell r="B89" t="str">
            <v>1024</v>
          </cell>
          <cell r="C89" t="str">
            <v>102401</v>
          </cell>
          <cell r="D89" t="str">
            <v>Đặng Hoàng</v>
          </cell>
          <cell r="E89" t="str">
            <v>Thiện</v>
          </cell>
          <cell r="G89">
            <v>1.04</v>
          </cell>
          <cell r="H89">
            <v>23</v>
          </cell>
          <cell r="J89">
            <v>23</v>
          </cell>
          <cell r="K89">
            <v>23</v>
          </cell>
          <cell r="L89">
            <v>14</v>
          </cell>
          <cell r="M89">
            <v>121</v>
          </cell>
          <cell r="N89">
            <v>1840638</v>
          </cell>
          <cell r="O89">
            <v>0</v>
          </cell>
          <cell r="P89">
            <v>730000</v>
          </cell>
          <cell r="Q89">
            <v>5</v>
          </cell>
        </row>
        <row r="90">
          <cell r="A90" t="str">
            <v>75340</v>
          </cell>
          <cell r="B90" t="str">
            <v>1024</v>
          </cell>
          <cell r="C90" t="str">
            <v>102402</v>
          </cell>
          <cell r="D90" t="str">
            <v>Nguyễn Văn</v>
          </cell>
          <cell r="E90" t="str">
            <v>Bình</v>
          </cell>
          <cell r="G90">
            <v>0.71</v>
          </cell>
          <cell r="H90">
            <v>17</v>
          </cell>
          <cell r="J90">
            <v>17</v>
          </cell>
          <cell r="K90">
            <v>-2.25</v>
          </cell>
          <cell r="L90">
            <v>0</v>
          </cell>
          <cell r="M90">
            <v>0</v>
          </cell>
          <cell r="N90">
            <v>-63900</v>
          </cell>
          <cell r="O90">
            <v>-26100</v>
          </cell>
          <cell r="P90">
            <v>539563</v>
          </cell>
          <cell r="Q90">
            <v>6</v>
          </cell>
        </row>
        <row r="91">
          <cell r="A91" t="str">
            <v>75336</v>
          </cell>
          <cell r="B91" t="str">
            <v>1024</v>
          </cell>
          <cell r="C91" t="str">
            <v>102401</v>
          </cell>
          <cell r="D91" t="str">
            <v>Trần Văn</v>
          </cell>
          <cell r="E91" t="str">
            <v>Thảnh</v>
          </cell>
          <cell r="G91">
            <v>1.1499999999999999</v>
          </cell>
          <cell r="H91">
            <v>23</v>
          </cell>
          <cell r="J91">
            <v>23</v>
          </cell>
          <cell r="K91">
            <v>0</v>
          </cell>
          <cell r="L91">
            <v>0</v>
          </cell>
          <cell r="M91">
            <v>0</v>
          </cell>
          <cell r="N91">
            <v>0</v>
          </cell>
          <cell r="O91">
            <v>0</v>
          </cell>
          <cell r="P91">
            <v>730000</v>
          </cell>
          <cell r="Q91">
            <v>2</v>
          </cell>
        </row>
        <row r="92">
          <cell r="A92" t="str">
            <v>75343</v>
          </cell>
          <cell r="B92" t="str">
            <v>1024</v>
          </cell>
          <cell r="C92" t="str">
            <v>102402</v>
          </cell>
          <cell r="D92" t="str">
            <v>Nguyễn Văn Bé</v>
          </cell>
          <cell r="E92" t="str">
            <v>Mười</v>
          </cell>
          <cell r="G92">
            <v>0.8</v>
          </cell>
          <cell r="H92">
            <v>23</v>
          </cell>
          <cell r="J92">
            <v>23</v>
          </cell>
          <cell r="K92">
            <v>3.25</v>
          </cell>
          <cell r="L92">
            <v>0</v>
          </cell>
          <cell r="M92">
            <v>0</v>
          </cell>
          <cell r="N92">
            <v>104000</v>
          </cell>
          <cell r="O92">
            <v>26000</v>
          </cell>
          <cell r="P92">
            <v>730000</v>
          </cell>
          <cell r="Q92">
            <v>3</v>
          </cell>
        </row>
        <row r="93">
          <cell r="A93" t="str">
            <v>75339</v>
          </cell>
          <cell r="B93" t="str">
            <v>1024</v>
          </cell>
          <cell r="C93" t="str">
            <v>102402</v>
          </cell>
          <cell r="D93" t="str">
            <v>Nguyễn Thanh</v>
          </cell>
          <cell r="E93" t="str">
            <v>Hòa</v>
          </cell>
          <cell r="G93">
            <v>0.96</v>
          </cell>
          <cell r="H93">
            <v>23</v>
          </cell>
          <cell r="J93">
            <v>23</v>
          </cell>
          <cell r="K93">
            <v>78.75</v>
          </cell>
          <cell r="L93">
            <v>0</v>
          </cell>
          <cell r="M93">
            <v>1</v>
          </cell>
          <cell r="N93">
            <v>3030981.12</v>
          </cell>
          <cell r="O93">
            <v>126290.87999999989</v>
          </cell>
          <cell r="P93">
            <v>730000</v>
          </cell>
          <cell r="Q93">
            <v>4</v>
          </cell>
        </row>
        <row r="94">
          <cell r="A94" t="str">
            <v>75342</v>
          </cell>
          <cell r="B94" t="str">
            <v>1024</v>
          </cell>
          <cell r="C94" t="str">
            <v>102402</v>
          </cell>
          <cell r="D94" t="str">
            <v>Huỳnh Minh</v>
          </cell>
          <cell r="E94" t="str">
            <v>Tâm</v>
          </cell>
          <cell r="H94">
            <v>23</v>
          </cell>
          <cell r="J94">
            <v>23</v>
          </cell>
          <cell r="K94">
            <v>0</v>
          </cell>
          <cell r="L94">
            <v>0</v>
          </cell>
          <cell r="M94">
            <v>0</v>
          </cell>
          <cell r="N94">
            <v>0</v>
          </cell>
          <cell r="O94">
            <v>0</v>
          </cell>
          <cell r="P94">
            <v>730000</v>
          </cell>
          <cell r="Q94">
            <v>5</v>
          </cell>
        </row>
        <row r="95">
          <cell r="A95" t="str">
            <v>75344</v>
          </cell>
          <cell r="B95" t="str">
            <v>1025</v>
          </cell>
          <cell r="C95" t="str">
            <v>102501</v>
          </cell>
          <cell r="D95" t="str">
            <v>Bùi Văn</v>
          </cell>
          <cell r="E95" t="str">
            <v>Nu</v>
          </cell>
          <cell r="H95">
            <v>23</v>
          </cell>
          <cell r="J95">
            <v>23</v>
          </cell>
          <cell r="K95">
            <v>0</v>
          </cell>
          <cell r="L95">
            <v>0</v>
          </cell>
          <cell r="M95">
            <v>0</v>
          </cell>
          <cell r="N95">
            <v>0</v>
          </cell>
          <cell r="O95">
            <v>0</v>
          </cell>
          <cell r="P95">
            <v>730000</v>
          </cell>
          <cell r="Q95">
            <v>1</v>
          </cell>
        </row>
        <row r="96">
          <cell r="A96" t="str">
            <v>75180</v>
          </cell>
          <cell r="B96" t="str">
            <v>1025</v>
          </cell>
          <cell r="C96" t="str">
            <v>102501</v>
          </cell>
          <cell r="D96" t="str">
            <v>Lê Trần Thị Trúc</v>
          </cell>
          <cell r="E96" t="str">
            <v>Phương</v>
          </cell>
          <cell r="H96">
            <v>23</v>
          </cell>
          <cell r="J96">
            <v>23</v>
          </cell>
          <cell r="K96">
            <v>0</v>
          </cell>
          <cell r="L96">
            <v>0</v>
          </cell>
          <cell r="M96">
            <v>0</v>
          </cell>
          <cell r="N96">
            <v>0</v>
          </cell>
          <cell r="O96">
            <v>0</v>
          </cell>
          <cell r="P96">
            <v>730000</v>
          </cell>
          <cell r="Q96">
            <v>2</v>
          </cell>
        </row>
        <row r="97">
          <cell r="A97" t="str">
            <v>75348</v>
          </cell>
          <cell r="B97" t="str">
            <v>1025</v>
          </cell>
          <cell r="C97" t="str">
            <v>102501</v>
          </cell>
          <cell r="D97" t="str">
            <v>Phan Văn</v>
          </cell>
          <cell r="E97" t="str">
            <v>Điền</v>
          </cell>
          <cell r="G97">
            <v>1.1499999999999999</v>
          </cell>
          <cell r="H97">
            <v>23</v>
          </cell>
          <cell r="J97">
            <v>23</v>
          </cell>
          <cell r="K97">
            <v>0</v>
          </cell>
          <cell r="L97">
            <v>0</v>
          </cell>
          <cell r="M97">
            <v>0</v>
          </cell>
          <cell r="N97">
            <v>0</v>
          </cell>
          <cell r="O97">
            <v>0</v>
          </cell>
          <cell r="P97">
            <v>730000</v>
          </cell>
          <cell r="Q97">
            <v>3</v>
          </cell>
        </row>
        <row r="98">
          <cell r="A98" t="str">
            <v>75347</v>
          </cell>
          <cell r="B98" t="str">
            <v>1025</v>
          </cell>
          <cell r="C98" t="str">
            <v>102501</v>
          </cell>
          <cell r="D98" t="str">
            <v>Trần Quang</v>
          </cell>
          <cell r="E98" t="str">
            <v>Phú</v>
          </cell>
          <cell r="G98">
            <v>1.1399999999999999</v>
          </cell>
          <cell r="H98">
            <v>23</v>
          </cell>
          <cell r="J98">
            <v>23</v>
          </cell>
          <cell r="K98">
            <v>14</v>
          </cell>
          <cell r="L98">
            <v>22</v>
          </cell>
          <cell r="M98">
            <v>29</v>
          </cell>
          <cell r="N98">
            <v>834886</v>
          </cell>
          <cell r="O98">
            <v>0</v>
          </cell>
          <cell r="P98">
            <v>730000</v>
          </cell>
          <cell r="Q98">
            <v>4</v>
          </cell>
        </row>
        <row r="99">
          <cell r="A99" t="str">
            <v>75350</v>
          </cell>
          <cell r="B99" t="str">
            <v>1025</v>
          </cell>
          <cell r="C99" t="str">
            <v>102501</v>
          </cell>
          <cell r="D99" t="str">
            <v>Lê Thanh</v>
          </cell>
          <cell r="E99" t="str">
            <v>Phúc</v>
          </cell>
          <cell r="G99">
            <v>1.43</v>
          </cell>
          <cell r="H99">
            <v>23</v>
          </cell>
          <cell r="J99">
            <v>23</v>
          </cell>
          <cell r="K99">
            <v>39</v>
          </cell>
          <cell r="L99">
            <v>28</v>
          </cell>
          <cell r="M99">
            <v>48</v>
          </cell>
          <cell r="N99">
            <v>1990508</v>
          </cell>
          <cell r="O99">
            <v>0</v>
          </cell>
          <cell r="P99">
            <v>730000</v>
          </cell>
          <cell r="Q99">
            <v>5</v>
          </cell>
        </row>
        <row r="100">
          <cell r="A100" t="str">
            <v>75345</v>
          </cell>
          <cell r="B100" t="str">
            <v>1025</v>
          </cell>
          <cell r="C100" t="str">
            <v>102501</v>
          </cell>
          <cell r="D100" t="str">
            <v>Võ Hoàng</v>
          </cell>
          <cell r="E100" t="str">
            <v>Le</v>
          </cell>
          <cell r="G100">
            <v>1.1399999999999999</v>
          </cell>
          <cell r="H100">
            <v>23</v>
          </cell>
          <cell r="J100">
            <v>23</v>
          </cell>
          <cell r="K100">
            <v>16</v>
          </cell>
          <cell r="L100">
            <v>7</v>
          </cell>
          <cell r="M100">
            <v>75</v>
          </cell>
          <cell r="N100">
            <v>1205763</v>
          </cell>
          <cell r="O100">
            <v>0</v>
          </cell>
          <cell r="P100">
            <v>730000</v>
          </cell>
          <cell r="Q100">
            <v>6</v>
          </cell>
        </row>
        <row r="101">
          <cell r="A101" t="str">
            <v>75346</v>
          </cell>
          <cell r="B101" t="str">
            <v>1025</v>
          </cell>
          <cell r="C101" t="str">
            <v>102502</v>
          </cell>
          <cell r="D101" t="str">
            <v>Đoàn Trung</v>
          </cell>
          <cell r="E101" t="str">
            <v>Hiếu</v>
          </cell>
          <cell r="G101">
            <v>1.03</v>
          </cell>
          <cell r="H101">
            <v>23</v>
          </cell>
          <cell r="J101">
            <v>23</v>
          </cell>
          <cell r="K101">
            <v>0</v>
          </cell>
          <cell r="L101">
            <v>0</v>
          </cell>
          <cell r="M101">
            <v>0</v>
          </cell>
          <cell r="N101">
            <v>0</v>
          </cell>
          <cell r="O101">
            <v>0</v>
          </cell>
          <cell r="P101">
            <v>730000</v>
          </cell>
          <cell r="Q101">
            <v>1</v>
          </cell>
        </row>
        <row r="102">
          <cell r="A102" t="str">
            <v>75351</v>
          </cell>
          <cell r="B102" t="str">
            <v>1025</v>
          </cell>
          <cell r="C102" t="str">
            <v>102502</v>
          </cell>
          <cell r="D102" t="str">
            <v>Phạm Hoàng</v>
          </cell>
          <cell r="E102" t="str">
            <v>Lam</v>
          </cell>
          <cell r="G102">
            <v>1</v>
          </cell>
          <cell r="H102">
            <v>23</v>
          </cell>
          <cell r="J102">
            <v>23</v>
          </cell>
          <cell r="K102">
            <v>55</v>
          </cell>
          <cell r="L102">
            <v>3</v>
          </cell>
          <cell r="M102">
            <v>4</v>
          </cell>
          <cell r="N102">
            <v>2237815</v>
          </cell>
          <cell r="O102">
            <v>0</v>
          </cell>
          <cell r="P102">
            <v>730000</v>
          </cell>
          <cell r="Q102">
            <v>2</v>
          </cell>
        </row>
        <row r="103">
          <cell r="A103" t="str">
            <v>75349</v>
          </cell>
          <cell r="B103" t="str">
            <v>1025</v>
          </cell>
          <cell r="C103" t="str">
            <v>102502</v>
          </cell>
          <cell r="D103" t="str">
            <v>Lê Văn</v>
          </cell>
          <cell r="E103" t="str">
            <v>Quyền</v>
          </cell>
          <cell r="G103">
            <v>1.05</v>
          </cell>
          <cell r="H103">
            <v>23</v>
          </cell>
          <cell r="J103">
            <v>23</v>
          </cell>
          <cell r="K103">
            <v>45.55</v>
          </cell>
          <cell r="L103">
            <v>4</v>
          </cell>
          <cell r="M103">
            <v>6</v>
          </cell>
          <cell r="N103">
            <v>1877268</v>
          </cell>
          <cell r="O103">
            <v>0</v>
          </cell>
          <cell r="P103">
            <v>730000</v>
          </cell>
          <cell r="Q103">
            <v>3</v>
          </cell>
        </row>
        <row r="104">
          <cell r="A104" t="str">
            <v>75352</v>
          </cell>
          <cell r="B104" t="str">
            <v>1026</v>
          </cell>
          <cell r="C104" t="str">
            <v>102601</v>
          </cell>
          <cell r="D104" t="str">
            <v>Nguyễn Thanh</v>
          </cell>
          <cell r="E104" t="str">
            <v>Tân</v>
          </cell>
          <cell r="H104">
            <v>23</v>
          </cell>
          <cell r="J104">
            <v>23</v>
          </cell>
          <cell r="K104">
            <v>0</v>
          </cell>
          <cell r="L104">
            <v>0</v>
          </cell>
          <cell r="M104">
            <v>0</v>
          </cell>
          <cell r="N104">
            <v>0</v>
          </cell>
          <cell r="O104">
            <v>0</v>
          </cell>
          <cell r="P104">
            <v>730000</v>
          </cell>
          <cell r="Q104">
            <v>1</v>
          </cell>
        </row>
        <row r="105">
          <cell r="A105" t="str">
            <v>75214</v>
          </cell>
          <cell r="B105" t="str">
            <v>1026</v>
          </cell>
          <cell r="C105" t="str">
            <v>102601</v>
          </cell>
          <cell r="D105" t="str">
            <v>Nguyễn Thị</v>
          </cell>
          <cell r="E105" t="str">
            <v>Hằng</v>
          </cell>
          <cell r="H105">
            <v>23</v>
          </cell>
          <cell r="J105">
            <v>23</v>
          </cell>
          <cell r="K105">
            <v>0</v>
          </cell>
          <cell r="L105">
            <v>0</v>
          </cell>
          <cell r="M105">
            <v>0</v>
          </cell>
          <cell r="N105">
            <v>0</v>
          </cell>
          <cell r="O105">
            <v>0</v>
          </cell>
          <cell r="P105">
            <v>730000</v>
          </cell>
          <cell r="Q105">
            <v>2</v>
          </cell>
        </row>
        <row r="106">
          <cell r="A106" t="str">
            <v>75359</v>
          </cell>
          <cell r="B106" t="str">
            <v>1022</v>
          </cell>
          <cell r="C106" t="str">
            <v>102201</v>
          </cell>
          <cell r="D106" t="str">
            <v>Nguyễn Minh</v>
          </cell>
          <cell r="E106" t="str">
            <v>Bằng</v>
          </cell>
          <cell r="G106">
            <v>1.1499999999999999</v>
          </cell>
          <cell r="H106">
            <v>23</v>
          </cell>
          <cell r="J106">
            <v>23</v>
          </cell>
          <cell r="K106">
            <v>0</v>
          </cell>
          <cell r="L106">
            <v>0</v>
          </cell>
          <cell r="M106">
            <v>0</v>
          </cell>
          <cell r="N106">
            <v>0</v>
          </cell>
          <cell r="O106">
            <v>0</v>
          </cell>
          <cell r="P106">
            <v>730000</v>
          </cell>
          <cell r="Q106">
            <v>3</v>
          </cell>
        </row>
        <row r="107">
          <cell r="A107" t="str">
            <v>75358</v>
          </cell>
          <cell r="B107" t="str">
            <v>1026</v>
          </cell>
          <cell r="C107" t="str">
            <v>102601</v>
          </cell>
          <cell r="D107" t="str">
            <v>Ngô Minh</v>
          </cell>
          <cell r="E107" t="str">
            <v>Kiên</v>
          </cell>
          <cell r="G107">
            <v>1</v>
          </cell>
          <cell r="H107">
            <v>23</v>
          </cell>
          <cell r="J107">
            <v>23</v>
          </cell>
          <cell r="K107">
            <v>11</v>
          </cell>
          <cell r="L107">
            <v>9</v>
          </cell>
          <cell r="M107">
            <v>14</v>
          </cell>
          <cell r="N107">
            <v>567989</v>
          </cell>
          <cell r="O107">
            <v>0</v>
          </cell>
          <cell r="P107">
            <v>730000</v>
          </cell>
          <cell r="Q107">
            <v>4</v>
          </cell>
        </row>
        <row r="108">
          <cell r="A108" t="str">
            <v>75364</v>
          </cell>
          <cell r="B108" t="str">
            <v>1026</v>
          </cell>
          <cell r="C108" t="str">
            <v>102601</v>
          </cell>
          <cell r="D108" t="str">
            <v>Lê Minh</v>
          </cell>
          <cell r="E108" t="str">
            <v>Vi</v>
          </cell>
          <cell r="G108">
            <v>1.2</v>
          </cell>
          <cell r="H108">
            <v>23</v>
          </cell>
          <cell r="J108">
            <v>23</v>
          </cell>
          <cell r="K108">
            <v>42.2</v>
          </cell>
          <cell r="L108">
            <v>32</v>
          </cell>
          <cell r="M108">
            <v>96</v>
          </cell>
          <cell r="N108">
            <v>2479200</v>
          </cell>
          <cell r="O108">
            <v>0</v>
          </cell>
          <cell r="P108">
            <v>730000</v>
          </cell>
          <cell r="Q108">
            <v>5</v>
          </cell>
        </row>
        <row r="109">
          <cell r="A109" t="str">
            <v>75360</v>
          </cell>
          <cell r="B109" t="str">
            <v>1029</v>
          </cell>
          <cell r="C109" t="str">
            <v>102901</v>
          </cell>
          <cell r="D109" t="str">
            <v>Bùi Trung</v>
          </cell>
          <cell r="E109" t="str">
            <v>Tín</v>
          </cell>
          <cell r="G109">
            <v>1.03</v>
          </cell>
          <cell r="H109">
            <v>23</v>
          </cell>
          <cell r="J109">
            <v>23</v>
          </cell>
          <cell r="K109">
            <v>0</v>
          </cell>
          <cell r="L109">
            <v>0</v>
          </cell>
          <cell r="M109">
            <v>0</v>
          </cell>
          <cell r="N109">
            <v>0</v>
          </cell>
          <cell r="O109">
            <v>0</v>
          </cell>
          <cell r="P109">
            <v>730000</v>
          </cell>
          <cell r="Q109">
            <v>6</v>
          </cell>
        </row>
        <row r="110">
          <cell r="A110" t="str">
            <v>75199</v>
          </cell>
          <cell r="B110" t="str">
            <v>1026</v>
          </cell>
          <cell r="C110" t="str">
            <v>102602</v>
          </cell>
          <cell r="D110" t="str">
            <v>Trần Trung</v>
          </cell>
          <cell r="E110" t="str">
            <v>Quân</v>
          </cell>
          <cell r="H110">
            <v>23</v>
          </cell>
          <cell r="J110">
            <v>23</v>
          </cell>
          <cell r="K110">
            <v>0</v>
          </cell>
          <cell r="L110">
            <v>0</v>
          </cell>
          <cell r="M110">
            <v>0</v>
          </cell>
          <cell r="N110">
            <v>0</v>
          </cell>
          <cell r="O110">
            <v>0</v>
          </cell>
          <cell r="P110">
            <v>730000</v>
          </cell>
          <cell r="Q110">
            <v>1</v>
          </cell>
        </row>
        <row r="111">
          <cell r="A111" t="str">
            <v>75361</v>
          </cell>
          <cell r="B111" t="str">
            <v>1026</v>
          </cell>
          <cell r="C111" t="str">
            <v>102602</v>
          </cell>
          <cell r="D111" t="str">
            <v>Nguyễn Hữu</v>
          </cell>
          <cell r="E111" t="str">
            <v>Hùng</v>
          </cell>
          <cell r="H111">
            <v>23</v>
          </cell>
          <cell r="J111">
            <v>23</v>
          </cell>
          <cell r="K111">
            <v>0</v>
          </cell>
          <cell r="L111">
            <v>0</v>
          </cell>
          <cell r="M111">
            <v>0</v>
          </cell>
          <cell r="N111">
            <v>0</v>
          </cell>
          <cell r="O111">
            <v>0</v>
          </cell>
          <cell r="P111">
            <v>730000</v>
          </cell>
          <cell r="Q111">
            <v>2</v>
          </cell>
        </row>
        <row r="112">
          <cell r="A112" t="str">
            <v>75357</v>
          </cell>
          <cell r="B112" t="str">
            <v>1026</v>
          </cell>
          <cell r="C112" t="str">
            <v>102602</v>
          </cell>
          <cell r="D112" t="str">
            <v>Võ Từ Tấn</v>
          </cell>
          <cell r="E112" t="str">
            <v>Đạt</v>
          </cell>
          <cell r="G112">
            <v>1.1200000000000001</v>
          </cell>
          <cell r="H112">
            <v>23</v>
          </cell>
          <cell r="J112">
            <v>23</v>
          </cell>
          <cell r="K112">
            <v>0</v>
          </cell>
          <cell r="L112">
            <v>0</v>
          </cell>
          <cell r="M112">
            <v>0</v>
          </cell>
          <cell r="N112">
            <v>0</v>
          </cell>
          <cell r="O112">
            <v>0</v>
          </cell>
          <cell r="P112">
            <v>730000</v>
          </cell>
          <cell r="Q112">
            <v>3</v>
          </cell>
        </row>
        <row r="113">
          <cell r="A113" t="str">
            <v>75203</v>
          </cell>
          <cell r="B113" t="str">
            <v>1026</v>
          </cell>
          <cell r="C113" t="str">
            <v>102602</v>
          </cell>
          <cell r="D113" t="str">
            <v>Nguyễn Hoàng</v>
          </cell>
          <cell r="E113" t="str">
            <v>Vân</v>
          </cell>
          <cell r="H113">
            <v>23</v>
          </cell>
          <cell r="J113">
            <v>23</v>
          </cell>
          <cell r="K113">
            <v>0</v>
          </cell>
          <cell r="L113">
            <v>0</v>
          </cell>
          <cell r="M113">
            <v>0</v>
          </cell>
          <cell r="N113">
            <v>0</v>
          </cell>
          <cell r="O113">
            <v>0</v>
          </cell>
          <cell r="P113">
            <v>730000</v>
          </cell>
          <cell r="Q113">
            <v>4</v>
          </cell>
        </row>
        <row r="114">
          <cell r="A114" t="str">
            <v>75130</v>
          </cell>
          <cell r="B114" t="str">
            <v>1026</v>
          </cell>
          <cell r="C114" t="str">
            <v>102602</v>
          </cell>
          <cell r="D114" t="str">
            <v>Trần Minh</v>
          </cell>
          <cell r="E114" t="str">
            <v>Nghĩa</v>
          </cell>
          <cell r="G114">
            <v>0.84</v>
          </cell>
          <cell r="H114">
            <v>23</v>
          </cell>
          <cell r="J114">
            <v>23</v>
          </cell>
          <cell r="K114">
            <v>21.45</v>
          </cell>
          <cell r="L114">
            <v>2</v>
          </cell>
          <cell r="M114">
            <v>13</v>
          </cell>
          <cell r="N114">
            <v>805017.36</v>
          </cell>
          <cell r="O114">
            <v>153336.64000000001</v>
          </cell>
          <cell r="P114">
            <v>730000</v>
          </cell>
          <cell r="Q114">
            <v>5</v>
          </cell>
        </row>
        <row r="115">
          <cell r="A115" t="str">
            <v>75355</v>
          </cell>
          <cell r="B115" t="str">
            <v>1026</v>
          </cell>
          <cell r="C115" t="str">
            <v>102602</v>
          </cell>
          <cell r="D115" t="str">
            <v>Nguyễn Đức</v>
          </cell>
          <cell r="E115" t="str">
            <v>Độ</v>
          </cell>
          <cell r="G115">
            <v>0.84</v>
          </cell>
          <cell r="H115">
            <v>23</v>
          </cell>
          <cell r="J115">
            <v>23</v>
          </cell>
          <cell r="K115">
            <v>33.700000000000003</v>
          </cell>
          <cell r="L115">
            <v>3</v>
          </cell>
          <cell r="M115">
            <v>2</v>
          </cell>
          <cell r="N115">
            <v>1151867.6399999999</v>
          </cell>
          <cell r="O115">
            <v>219403.3600000001</v>
          </cell>
          <cell r="P115">
            <v>730000</v>
          </cell>
          <cell r="Q115">
            <v>6</v>
          </cell>
        </row>
        <row r="116">
          <cell r="A116" t="str">
            <v>75356</v>
          </cell>
          <cell r="B116" t="str">
            <v>1026</v>
          </cell>
          <cell r="C116" t="str">
            <v>102602</v>
          </cell>
          <cell r="D116" t="str">
            <v>Đặng Quang</v>
          </cell>
          <cell r="E116" t="str">
            <v>Thắng</v>
          </cell>
          <cell r="G116">
            <v>0.91</v>
          </cell>
          <cell r="H116">
            <v>23</v>
          </cell>
          <cell r="J116">
            <v>23</v>
          </cell>
          <cell r="K116">
            <v>77.55</v>
          </cell>
          <cell r="L116">
            <v>2</v>
          </cell>
          <cell r="M116">
            <v>3</v>
          </cell>
          <cell r="N116">
            <v>2847966.94</v>
          </cell>
          <cell r="O116">
            <v>281667.06000000006</v>
          </cell>
          <cell r="P116">
            <v>730000</v>
          </cell>
          <cell r="Q116">
            <v>7</v>
          </cell>
        </row>
        <row r="117">
          <cell r="A117" t="str">
            <v>75365</v>
          </cell>
          <cell r="B117" t="str">
            <v>1027</v>
          </cell>
          <cell r="C117" t="str">
            <v>102701</v>
          </cell>
          <cell r="D117" t="str">
            <v>Đặng Lê</v>
          </cell>
          <cell r="E117" t="str">
            <v>Dũ</v>
          </cell>
          <cell r="H117">
            <v>23</v>
          </cell>
          <cell r="J117">
            <v>23</v>
          </cell>
          <cell r="K117">
            <v>0</v>
          </cell>
          <cell r="L117">
            <v>0</v>
          </cell>
          <cell r="M117">
            <v>0</v>
          </cell>
          <cell r="N117">
            <v>0</v>
          </cell>
          <cell r="O117">
            <v>0</v>
          </cell>
          <cell r="P117">
            <v>730000</v>
          </cell>
          <cell r="Q117">
            <v>1</v>
          </cell>
        </row>
        <row r="118">
          <cell r="A118" t="str">
            <v>75369</v>
          </cell>
          <cell r="B118" t="str">
            <v>1027</v>
          </cell>
          <cell r="C118" t="str">
            <v>102701</v>
          </cell>
          <cell r="D118" t="str">
            <v>Nguyễn Văn</v>
          </cell>
          <cell r="E118" t="str">
            <v>Hiếu</v>
          </cell>
          <cell r="G118">
            <v>1.06</v>
          </cell>
          <cell r="H118">
            <v>23</v>
          </cell>
          <cell r="J118">
            <v>23</v>
          </cell>
          <cell r="K118">
            <v>0</v>
          </cell>
          <cell r="L118">
            <v>0</v>
          </cell>
          <cell r="M118">
            <v>0</v>
          </cell>
          <cell r="N118">
            <v>0</v>
          </cell>
          <cell r="O118">
            <v>0</v>
          </cell>
          <cell r="P118">
            <v>730000</v>
          </cell>
          <cell r="Q118">
            <v>2</v>
          </cell>
        </row>
        <row r="119">
          <cell r="A119" t="str">
            <v>75377</v>
          </cell>
          <cell r="B119" t="str">
            <v>1027</v>
          </cell>
          <cell r="C119" t="str">
            <v>102701</v>
          </cell>
          <cell r="D119" t="str">
            <v>Võ Minh</v>
          </cell>
          <cell r="E119" t="str">
            <v>Luân</v>
          </cell>
          <cell r="G119">
            <v>1.0900000000000001</v>
          </cell>
          <cell r="H119">
            <v>23</v>
          </cell>
          <cell r="J119">
            <v>23</v>
          </cell>
          <cell r="K119">
            <v>18</v>
          </cell>
          <cell r="L119">
            <v>24</v>
          </cell>
          <cell r="M119">
            <v>92</v>
          </cell>
          <cell r="N119">
            <v>1458840</v>
          </cell>
          <cell r="O119">
            <v>0</v>
          </cell>
          <cell r="P119">
            <v>730000</v>
          </cell>
          <cell r="Q119">
            <v>3</v>
          </cell>
        </row>
        <row r="120">
          <cell r="A120" t="str">
            <v>75376</v>
          </cell>
          <cell r="B120" t="str">
            <v>1027</v>
          </cell>
          <cell r="C120" t="str">
            <v>102701</v>
          </cell>
          <cell r="D120" t="str">
            <v>Đỗ Thành</v>
          </cell>
          <cell r="E120" t="str">
            <v>Vinh</v>
          </cell>
          <cell r="G120">
            <v>1.18</v>
          </cell>
          <cell r="H120">
            <v>23</v>
          </cell>
          <cell r="J120">
            <v>23</v>
          </cell>
          <cell r="K120">
            <v>14.4</v>
          </cell>
          <cell r="L120">
            <v>3</v>
          </cell>
          <cell r="M120">
            <v>116</v>
          </cell>
          <cell r="N120">
            <v>1428279</v>
          </cell>
          <cell r="O120">
            <v>0</v>
          </cell>
          <cell r="P120">
            <v>730000</v>
          </cell>
          <cell r="Q120">
            <v>4</v>
          </cell>
        </row>
        <row r="121">
          <cell r="A121" t="str">
            <v>75371</v>
          </cell>
          <cell r="B121" t="str">
            <v>1027</v>
          </cell>
          <cell r="C121" t="str">
            <v>102701</v>
          </cell>
          <cell r="D121" t="str">
            <v>Châu Trường</v>
          </cell>
          <cell r="E121" t="str">
            <v>Giang</v>
          </cell>
          <cell r="G121">
            <v>1.1100000000000001</v>
          </cell>
          <cell r="H121">
            <v>23</v>
          </cell>
          <cell r="J121">
            <v>23</v>
          </cell>
          <cell r="K121">
            <v>25.2</v>
          </cell>
          <cell r="L121">
            <v>33</v>
          </cell>
          <cell r="M121">
            <v>112</v>
          </cell>
          <cell r="N121">
            <v>1918461</v>
          </cell>
          <cell r="O121">
            <v>0</v>
          </cell>
          <cell r="P121">
            <v>730000</v>
          </cell>
          <cell r="Q121">
            <v>5</v>
          </cell>
        </row>
        <row r="122">
          <cell r="A122" t="str">
            <v>75373</v>
          </cell>
          <cell r="B122" t="str">
            <v>1027</v>
          </cell>
          <cell r="C122" t="str">
            <v>102701</v>
          </cell>
          <cell r="D122" t="str">
            <v>Phan Thanh</v>
          </cell>
          <cell r="E122" t="str">
            <v>Hải</v>
          </cell>
          <cell r="G122">
            <v>0.99</v>
          </cell>
          <cell r="H122">
            <v>23</v>
          </cell>
          <cell r="J122">
            <v>23</v>
          </cell>
          <cell r="K122">
            <v>17</v>
          </cell>
          <cell r="L122">
            <v>9</v>
          </cell>
          <cell r="M122">
            <v>4</v>
          </cell>
          <cell r="N122">
            <v>727916.30999999994</v>
          </cell>
          <cell r="O122">
            <v>7352.6900000000605</v>
          </cell>
          <cell r="P122">
            <v>730000</v>
          </cell>
          <cell r="Q122">
            <v>6</v>
          </cell>
        </row>
        <row r="123">
          <cell r="A123" t="str">
            <v>75216</v>
          </cell>
          <cell r="B123" t="str">
            <v>1027</v>
          </cell>
          <cell r="C123" t="str">
            <v>102702</v>
          </cell>
          <cell r="D123" t="str">
            <v>Quách Trần</v>
          </cell>
          <cell r="E123" t="str">
            <v>Đông</v>
          </cell>
          <cell r="H123">
            <v>23</v>
          </cell>
          <cell r="J123">
            <v>23</v>
          </cell>
          <cell r="K123">
            <v>0</v>
          </cell>
          <cell r="L123">
            <v>0</v>
          </cell>
          <cell r="M123">
            <v>0</v>
          </cell>
          <cell r="N123">
            <v>0</v>
          </cell>
          <cell r="O123">
            <v>0</v>
          </cell>
          <cell r="P123">
            <v>730000</v>
          </cell>
          <cell r="Q123">
            <v>1</v>
          </cell>
        </row>
        <row r="124">
          <cell r="A124" t="str">
            <v>75232</v>
          </cell>
          <cell r="B124" t="str">
            <v>1027</v>
          </cell>
          <cell r="C124" t="str">
            <v>102702</v>
          </cell>
          <cell r="D124" t="str">
            <v>Nguyễn Thanh</v>
          </cell>
          <cell r="E124" t="str">
            <v>Hùng</v>
          </cell>
          <cell r="H124">
            <v>23</v>
          </cell>
          <cell r="J124">
            <v>23</v>
          </cell>
          <cell r="K124">
            <v>0</v>
          </cell>
          <cell r="L124">
            <v>0</v>
          </cell>
          <cell r="M124">
            <v>0</v>
          </cell>
          <cell r="N124">
            <v>0</v>
          </cell>
          <cell r="O124">
            <v>0</v>
          </cell>
          <cell r="P124">
            <v>730000</v>
          </cell>
          <cell r="Q124">
            <v>2</v>
          </cell>
        </row>
        <row r="125">
          <cell r="A125" t="str">
            <v>75374</v>
          </cell>
          <cell r="B125" t="str">
            <v>1027</v>
          </cell>
          <cell r="C125" t="str">
            <v>102702</v>
          </cell>
          <cell r="D125" t="str">
            <v>Nguyễn Văn Huyền</v>
          </cell>
          <cell r="E125" t="str">
            <v>Em</v>
          </cell>
          <cell r="G125">
            <v>1.06</v>
          </cell>
          <cell r="H125">
            <v>23</v>
          </cell>
          <cell r="J125">
            <v>23</v>
          </cell>
          <cell r="K125">
            <v>0</v>
          </cell>
          <cell r="L125">
            <v>0</v>
          </cell>
          <cell r="M125">
            <v>0</v>
          </cell>
          <cell r="N125">
            <v>0</v>
          </cell>
          <cell r="O125">
            <v>0</v>
          </cell>
          <cell r="P125">
            <v>730000</v>
          </cell>
          <cell r="Q125">
            <v>3</v>
          </cell>
        </row>
        <row r="126">
          <cell r="A126" t="str">
            <v>75366</v>
          </cell>
          <cell r="B126" t="str">
            <v>1027</v>
          </cell>
          <cell r="C126" t="str">
            <v>102702</v>
          </cell>
          <cell r="D126" t="str">
            <v>Nguyễn Thanh</v>
          </cell>
          <cell r="E126" t="str">
            <v>Hải</v>
          </cell>
          <cell r="G126">
            <v>1.05</v>
          </cell>
          <cell r="H126">
            <v>23</v>
          </cell>
          <cell r="J126">
            <v>23</v>
          </cell>
          <cell r="K126">
            <v>4.4000000000000004</v>
          </cell>
          <cell r="L126">
            <v>0</v>
          </cell>
          <cell r="M126">
            <v>0</v>
          </cell>
          <cell r="N126">
            <v>176000</v>
          </cell>
          <cell r="O126">
            <v>0</v>
          </cell>
          <cell r="P126">
            <v>730000</v>
          </cell>
          <cell r="Q126">
            <v>4</v>
          </cell>
        </row>
        <row r="127">
          <cell r="A127" t="str">
            <v>75228</v>
          </cell>
          <cell r="B127" t="str">
            <v>1027</v>
          </cell>
          <cell r="C127" t="str">
            <v>102702</v>
          </cell>
          <cell r="D127" t="str">
            <v>Nguyễn Tiến</v>
          </cell>
          <cell r="E127" t="str">
            <v>Hữu</v>
          </cell>
          <cell r="G127">
            <v>1.1200000000000001</v>
          </cell>
          <cell r="H127">
            <v>23</v>
          </cell>
          <cell r="J127">
            <v>23</v>
          </cell>
          <cell r="K127">
            <v>45.5</v>
          </cell>
          <cell r="L127">
            <v>0</v>
          </cell>
          <cell r="M127">
            <v>0</v>
          </cell>
          <cell r="N127">
            <v>1820000</v>
          </cell>
          <cell r="O127">
            <v>0</v>
          </cell>
          <cell r="P127">
            <v>730000</v>
          </cell>
          <cell r="Q127">
            <v>5</v>
          </cell>
        </row>
        <row r="128">
          <cell r="A128" t="str">
            <v>75370</v>
          </cell>
          <cell r="B128" t="str">
            <v>1027</v>
          </cell>
          <cell r="C128" t="str">
            <v>102702</v>
          </cell>
          <cell r="D128" t="str">
            <v>Võ Văn</v>
          </cell>
          <cell r="E128" t="str">
            <v>Nhân</v>
          </cell>
          <cell r="G128">
            <v>1.1200000000000001</v>
          </cell>
          <cell r="H128">
            <v>23</v>
          </cell>
          <cell r="J128">
            <v>23</v>
          </cell>
          <cell r="K128">
            <v>63</v>
          </cell>
          <cell r="L128">
            <v>0</v>
          </cell>
          <cell r="M128">
            <v>0</v>
          </cell>
          <cell r="N128">
            <v>2520000</v>
          </cell>
          <cell r="O128">
            <v>0</v>
          </cell>
          <cell r="P128">
            <v>730000</v>
          </cell>
          <cell r="Q128">
            <v>6</v>
          </cell>
        </row>
        <row r="129">
          <cell r="A129" t="str">
            <v>75224</v>
          </cell>
          <cell r="B129" t="str">
            <v>1027</v>
          </cell>
          <cell r="C129" t="str">
            <v>102702</v>
          </cell>
          <cell r="D129" t="str">
            <v>Nguyễn Thanh</v>
          </cell>
          <cell r="E129" t="str">
            <v>Tuấn</v>
          </cell>
          <cell r="G129">
            <v>0.54</v>
          </cell>
          <cell r="H129">
            <v>23</v>
          </cell>
          <cell r="J129">
            <v>23</v>
          </cell>
          <cell r="K129">
            <v>24.5</v>
          </cell>
          <cell r="L129">
            <v>0</v>
          </cell>
          <cell r="M129">
            <v>0</v>
          </cell>
          <cell r="N129">
            <v>529200</v>
          </cell>
          <cell r="O129">
            <v>450800</v>
          </cell>
          <cell r="P129">
            <v>730000</v>
          </cell>
          <cell r="Q129">
            <v>7</v>
          </cell>
        </row>
        <row r="130">
          <cell r="A130" t="str">
            <v>75227</v>
          </cell>
          <cell r="B130" t="str">
            <v>1027</v>
          </cell>
          <cell r="C130" t="str">
            <v>102702</v>
          </cell>
          <cell r="D130" t="str">
            <v>Trần An</v>
          </cell>
          <cell r="E130" t="str">
            <v>Tựu</v>
          </cell>
          <cell r="G130">
            <v>1.22</v>
          </cell>
          <cell r="H130">
            <v>23</v>
          </cell>
          <cell r="J130">
            <v>23</v>
          </cell>
          <cell r="K130">
            <v>49</v>
          </cell>
          <cell r="L130">
            <v>1</v>
          </cell>
          <cell r="M130">
            <v>1</v>
          </cell>
          <cell r="N130">
            <v>1970181</v>
          </cell>
          <cell r="O130">
            <v>0</v>
          </cell>
          <cell r="P130">
            <v>730000</v>
          </cell>
          <cell r="Q130">
            <v>8</v>
          </cell>
        </row>
        <row r="131">
          <cell r="A131" t="str">
            <v>75378</v>
          </cell>
          <cell r="B131" t="str">
            <v>1028</v>
          </cell>
          <cell r="C131" t="str">
            <v>102801</v>
          </cell>
          <cell r="D131" t="str">
            <v>Lê Minh</v>
          </cell>
          <cell r="E131" t="str">
            <v>Qúi</v>
          </cell>
          <cell r="H131">
            <v>23</v>
          </cell>
          <cell r="J131">
            <v>23</v>
          </cell>
          <cell r="K131">
            <v>0</v>
          </cell>
          <cell r="L131">
            <v>0</v>
          </cell>
          <cell r="M131">
            <v>0</v>
          </cell>
          <cell r="N131">
            <v>0</v>
          </cell>
          <cell r="O131">
            <v>0</v>
          </cell>
          <cell r="P131">
            <v>730000</v>
          </cell>
          <cell r="Q131">
            <v>1</v>
          </cell>
        </row>
        <row r="132">
          <cell r="A132" t="str">
            <v>75240</v>
          </cell>
          <cell r="B132" t="str">
            <v>1028</v>
          </cell>
          <cell r="C132" t="str">
            <v>102801</v>
          </cell>
          <cell r="D132" t="str">
            <v>Huỳnh Thị Việt</v>
          </cell>
          <cell r="E132" t="str">
            <v>Nhân</v>
          </cell>
          <cell r="H132">
            <v>23</v>
          </cell>
          <cell r="J132">
            <v>23</v>
          </cell>
          <cell r="K132">
            <v>0</v>
          </cell>
          <cell r="L132">
            <v>0</v>
          </cell>
          <cell r="M132">
            <v>0</v>
          </cell>
          <cell r="N132">
            <v>0</v>
          </cell>
          <cell r="O132">
            <v>0</v>
          </cell>
          <cell r="P132">
            <v>730000</v>
          </cell>
          <cell r="Q132">
            <v>2</v>
          </cell>
        </row>
        <row r="133">
          <cell r="A133" t="str">
            <v>75384</v>
          </cell>
          <cell r="B133" t="str">
            <v>1026</v>
          </cell>
          <cell r="C133" t="str">
            <v>102601</v>
          </cell>
          <cell r="D133" t="str">
            <v>Phạm Văn Dũng</v>
          </cell>
          <cell r="E133" t="str">
            <v>Em</v>
          </cell>
          <cell r="G133">
            <v>1.06</v>
          </cell>
          <cell r="H133">
            <v>23</v>
          </cell>
          <cell r="J133">
            <v>23</v>
          </cell>
          <cell r="K133">
            <v>0</v>
          </cell>
          <cell r="L133">
            <v>0</v>
          </cell>
          <cell r="M133">
            <v>0</v>
          </cell>
          <cell r="N133">
            <v>0</v>
          </cell>
          <cell r="O133">
            <v>0</v>
          </cell>
          <cell r="P133">
            <v>730000</v>
          </cell>
          <cell r="Q133">
            <v>3</v>
          </cell>
        </row>
        <row r="134">
          <cell r="A134" t="str">
            <v>75249</v>
          </cell>
          <cell r="B134" t="str">
            <v>1028</v>
          </cell>
          <cell r="C134" t="str">
            <v>102801</v>
          </cell>
          <cell r="D134" t="str">
            <v>Nguyễn Văn</v>
          </cell>
          <cell r="E134" t="str">
            <v>Hòa</v>
          </cell>
          <cell r="G134">
            <v>0.99</v>
          </cell>
          <cell r="H134">
            <v>23</v>
          </cell>
          <cell r="J134">
            <v>23</v>
          </cell>
          <cell r="K134">
            <v>12</v>
          </cell>
          <cell r="L134">
            <v>1</v>
          </cell>
          <cell r="M134">
            <v>13</v>
          </cell>
          <cell r="N134">
            <v>571670.55000000005</v>
          </cell>
          <cell r="O134">
            <v>5774.4499999999534</v>
          </cell>
          <cell r="P134">
            <v>730000</v>
          </cell>
          <cell r="Q134">
            <v>4</v>
          </cell>
        </row>
        <row r="135">
          <cell r="A135" t="str">
            <v>75381</v>
          </cell>
          <cell r="B135" t="str">
            <v>1028</v>
          </cell>
          <cell r="C135" t="str">
            <v>102801</v>
          </cell>
          <cell r="D135" t="str">
            <v>Trà Tấn</v>
          </cell>
          <cell r="E135" t="str">
            <v>Hữu</v>
          </cell>
          <cell r="F135">
            <v>-0.05</v>
          </cell>
          <cell r="G135">
            <v>0.96</v>
          </cell>
          <cell r="H135">
            <v>23</v>
          </cell>
          <cell r="J135">
            <v>23</v>
          </cell>
          <cell r="K135">
            <v>15.100000000000001</v>
          </cell>
          <cell r="L135">
            <v>4</v>
          </cell>
          <cell r="M135">
            <v>23</v>
          </cell>
          <cell r="N135">
            <v>751576.32</v>
          </cell>
          <cell r="O135">
            <v>31315.680000000051</v>
          </cell>
          <cell r="P135">
            <v>730000</v>
          </cell>
          <cell r="Q135">
            <v>5</v>
          </cell>
        </row>
        <row r="136">
          <cell r="A136" t="str">
            <v>75383</v>
          </cell>
          <cell r="B136" t="str">
            <v>1028</v>
          </cell>
          <cell r="C136" t="str">
            <v>102801</v>
          </cell>
          <cell r="D136" t="str">
            <v>Đặng Hữu</v>
          </cell>
          <cell r="E136" t="str">
            <v>Khánh</v>
          </cell>
          <cell r="G136">
            <v>1.06</v>
          </cell>
          <cell r="H136">
            <v>23</v>
          </cell>
          <cell r="J136">
            <v>23</v>
          </cell>
          <cell r="K136">
            <v>13.5</v>
          </cell>
          <cell r="L136">
            <v>10</v>
          </cell>
          <cell r="M136">
            <v>66</v>
          </cell>
          <cell r="N136">
            <v>1049042</v>
          </cell>
          <cell r="O136">
            <v>0</v>
          </cell>
          <cell r="P136">
            <v>730000</v>
          </cell>
          <cell r="Q136">
            <v>6</v>
          </cell>
        </row>
        <row r="137">
          <cell r="A137" t="str">
            <v>75390</v>
          </cell>
          <cell r="B137" t="str">
            <v>1028</v>
          </cell>
          <cell r="C137" t="str">
            <v>102801</v>
          </cell>
          <cell r="D137" t="str">
            <v>Nguyễn Văn</v>
          </cell>
          <cell r="E137" t="str">
            <v>Lực</v>
          </cell>
          <cell r="G137">
            <v>0.93</v>
          </cell>
          <cell r="H137">
            <v>23</v>
          </cell>
          <cell r="J137">
            <v>23</v>
          </cell>
          <cell r="K137">
            <v>15</v>
          </cell>
          <cell r="L137">
            <v>4</v>
          </cell>
          <cell r="M137">
            <v>48</v>
          </cell>
          <cell r="N137">
            <v>893443.56</v>
          </cell>
          <cell r="O137">
            <v>67248.439999999944</v>
          </cell>
          <cell r="P137">
            <v>730000</v>
          </cell>
          <cell r="Q137">
            <v>7</v>
          </cell>
        </row>
        <row r="138">
          <cell r="A138" t="str">
            <v>75260</v>
          </cell>
          <cell r="B138" t="str">
            <v>1028</v>
          </cell>
          <cell r="C138" t="str">
            <v>102802</v>
          </cell>
          <cell r="D138" t="str">
            <v>Phạm Minh</v>
          </cell>
          <cell r="E138" t="str">
            <v>Quí</v>
          </cell>
          <cell r="H138">
            <v>23</v>
          </cell>
          <cell r="J138">
            <v>23</v>
          </cell>
          <cell r="K138">
            <v>0</v>
          </cell>
          <cell r="L138">
            <v>0</v>
          </cell>
          <cell r="M138">
            <v>0</v>
          </cell>
          <cell r="N138">
            <v>0</v>
          </cell>
          <cell r="O138">
            <v>0</v>
          </cell>
          <cell r="P138">
            <v>730000</v>
          </cell>
          <cell r="Q138">
            <v>1</v>
          </cell>
        </row>
        <row r="139">
          <cell r="A139" t="str">
            <v>75247</v>
          </cell>
          <cell r="B139" t="str">
            <v>1028</v>
          </cell>
          <cell r="C139" t="str">
            <v>102802</v>
          </cell>
          <cell r="D139" t="str">
            <v>Nguyễn Tấn</v>
          </cell>
          <cell r="E139" t="str">
            <v>Đạt</v>
          </cell>
          <cell r="G139">
            <v>1</v>
          </cell>
          <cell r="H139">
            <v>23</v>
          </cell>
          <cell r="J139">
            <v>23</v>
          </cell>
          <cell r="K139">
            <v>0</v>
          </cell>
          <cell r="L139">
            <v>0</v>
          </cell>
          <cell r="M139">
            <v>0</v>
          </cell>
          <cell r="N139">
            <v>0</v>
          </cell>
          <cell r="O139">
            <v>0</v>
          </cell>
          <cell r="P139">
            <v>730000</v>
          </cell>
          <cell r="Q139">
            <v>2</v>
          </cell>
        </row>
        <row r="140">
          <cell r="A140" t="str">
            <v>75386</v>
          </cell>
          <cell r="B140" t="str">
            <v>1028</v>
          </cell>
          <cell r="C140" t="str">
            <v>102801</v>
          </cell>
          <cell r="D140" t="str">
            <v>Nguyễn Hoàng</v>
          </cell>
          <cell r="E140" t="str">
            <v>Độ</v>
          </cell>
          <cell r="G140">
            <v>0.92</v>
          </cell>
          <cell r="H140">
            <v>23</v>
          </cell>
          <cell r="J140">
            <v>23</v>
          </cell>
          <cell r="K140">
            <v>0</v>
          </cell>
          <cell r="L140">
            <v>0</v>
          </cell>
          <cell r="M140">
            <v>0</v>
          </cell>
          <cell r="N140">
            <v>0</v>
          </cell>
          <cell r="O140">
            <v>0</v>
          </cell>
          <cell r="P140">
            <v>730000</v>
          </cell>
          <cell r="Q140">
            <v>3</v>
          </cell>
        </row>
        <row r="141">
          <cell r="A141" t="str">
            <v>75385</v>
          </cell>
          <cell r="B141" t="str">
            <v>1028</v>
          </cell>
          <cell r="C141" t="str">
            <v>102802</v>
          </cell>
          <cell r="D141" t="str">
            <v>Viên Văn</v>
          </cell>
          <cell r="E141" t="str">
            <v>Khải</v>
          </cell>
          <cell r="G141">
            <v>0.94</v>
          </cell>
          <cell r="H141">
            <v>23</v>
          </cell>
          <cell r="J141">
            <v>23</v>
          </cell>
          <cell r="K141">
            <v>35.75</v>
          </cell>
          <cell r="L141">
            <v>0</v>
          </cell>
          <cell r="M141">
            <v>2</v>
          </cell>
          <cell r="N141">
            <v>1357871.3599999999</v>
          </cell>
          <cell r="O141">
            <v>86672.64000000013</v>
          </cell>
          <cell r="P141">
            <v>730000</v>
          </cell>
          <cell r="Q141">
            <v>4</v>
          </cell>
        </row>
        <row r="142">
          <cell r="A142" t="str">
            <v>75382</v>
          </cell>
          <cell r="B142" t="str">
            <v>1028</v>
          </cell>
          <cell r="C142" t="str">
            <v>102802</v>
          </cell>
          <cell r="D142" t="str">
            <v>Lê Văn</v>
          </cell>
          <cell r="E142" t="str">
            <v>Sang</v>
          </cell>
          <cell r="G142">
            <v>1</v>
          </cell>
          <cell r="H142">
            <v>23</v>
          </cell>
          <cell r="J142">
            <v>23</v>
          </cell>
          <cell r="K142">
            <v>2.5</v>
          </cell>
          <cell r="L142">
            <v>0</v>
          </cell>
          <cell r="M142">
            <v>0</v>
          </cell>
          <cell r="N142">
            <v>100000</v>
          </cell>
          <cell r="O142">
            <v>0</v>
          </cell>
          <cell r="P142">
            <v>730000</v>
          </cell>
          <cell r="Q142">
            <v>5</v>
          </cell>
        </row>
        <row r="143">
          <cell r="A143" t="str">
            <v>75388</v>
          </cell>
          <cell r="B143" t="str">
            <v>1028</v>
          </cell>
          <cell r="C143" t="str">
            <v>102802</v>
          </cell>
          <cell r="D143" t="str">
            <v>Phan Thanh</v>
          </cell>
          <cell r="E143" t="str">
            <v>Tần</v>
          </cell>
          <cell r="G143">
            <v>0.92</v>
          </cell>
          <cell r="H143">
            <v>23</v>
          </cell>
          <cell r="J143">
            <v>23</v>
          </cell>
          <cell r="K143">
            <v>31.4</v>
          </cell>
          <cell r="L143">
            <v>3</v>
          </cell>
          <cell r="M143">
            <v>3</v>
          </cell>
          <cell r="N143">
            <v>1183619.56</v>
          </cell>
          <cell r="O143">
            <v>102923.43999999994</v>
          </cell>
          <cell r="P143">
            <v>730000</v>
          </cell>
          <cell r="Q143">
            <v>6</v>
          </cell>
        </row>
        <row r="144">
          <cell r="A144" t="str">
            <v>75246</v>
          </cell>
          <cell r="B144" t="str">
            <v>1028</v>
          </cell>
          <cell r="C144" t="str">
            <v>102802</v>
          </cell>
          <cell r="D144" t="str">
            <v>Mai Hoàng</v>
          </cell>
          <cell r="E144" t="str">
            <v>Vũ</v>
          </cell>
          <cell r="G144">
            <v>0.83</v>
          </cell>
          <cell r="H144">
            <v>23</v>
          </cell>
          <cell r="J144">
            <v>23</v>
          </cell>
          <cell r="K144">
            <v>22.75</v>
          </cell>
          <cell r="L144">
            <v>0</v>
          </cell>
          <cell r="M144">
            <v>0</v>
          </cell>
          <cell r="N144">
            <v>755300</v>
          </cell>
          <cell r="O144">
            <v>154700</v>
          </cell>
          <cell r="P144">
            <v>730000</v>
          </cell>
          <cell r="Q144">
            <v>7</v>
          </cell>
        </row>
        <row r="145">
          <cell r="A145" t="str">
            <v>75387</v>
          </cell>
          <cell r="B145" t="str">
            <v>1028</v>
          </cell>
          <cell r="C145" t="str">
            <v>102802</v>
          </cell>
          <cell r="D145" t="str">
            <v>Trần Thanh</v>
          </cell>
          <cell r="E145" t="str">
            <v>Vũ</v>
          </cell>
          <cell r="G145">
            <v>0.93</v>
          </cell>
          <cell r="H145">
            <v>23</v>
          </cell>
          <cell r="J145">
            <v>23</v>
          </cell>
          <cell r="K145">
            <v>28.35</v>
          </cell>
          <cell r="L145">
            <v>0</v>
          </cell>
          <cell r="M145">
            <v>2</v>
          </cell>
          <cell r="N145">
            <v>1068145.9200000002</v>
          </cell>
          <cell r="O145">
            <v>80398.079999999842</v>
          </cell>
          <cell r="P145">
            <v>730000</v>
          </cell>
          <cell r="Q145">
            <v>8</v>
          </cell>
        </row>
        <row r="146">
          <cell r="A146" t="str">
            <v>75395</v>
          </cell>
          <cell r="B146" t="str">
            <v>1029</v>
          </cell>
          <cell r="C146" t="str">
            <v>102901</v>
          </cell>
          <cell r="D146" t="str">
            <v>Phạm Việt</v>
          </cell>
          <cell r="E146" t="str">
            <v>Phúc</v>
          </cell>
          <cell r="H146">
            <v>23</v>
          </cell>
          <cell r="J146">
            <v>23</v>
          </cell>
          <cell r="K146">
            <v>0</v>
          </cell>
          <cell r="L146">
            <v>0</v>
          </cell>
          <cell r="M146">
            <v>0</v>
          </cell>
          <cell r="N146">
            <v>0</v>
          </cell>
          <cell r="O146">
            <v>0</v>
          </cell>
          <cell r="P146">
            <v>730000</v>
          </cell>
          <cell r="Q146">
            <v>0</v>
          </cell>
        </row>
        <row r="147">
          <cell r="A147" t="str">
            <v>75396</v>
          </cell>
          <cell r="B147" t="str">
            <v>1029</v>
          </cell>
          <cell r="C147" t="str">
            <v>102901</v>
          </cell>
          <cell r="D147" t="str">
            <v>Nguyễn Xuân</v>
          </cell>
          <cell r="E147" t="str">
            <v>Bách</v>
          </cell>
          <cell r="J147">
            <v>0</v>
          </cell>
          <cell r="K147">
            <v>0</v>
          </cell>
          <cell r="L147">
            <v>0</v>
          </cell>
          <cell r="M147">
            <v>0</v>
          </cell>
          <cell r="N147">
            <v>0</v>
          </cell>
          <cell r="O147">
            <v>0</v>
          </cell>
          <cell r="P147">
            <v>0</v>
          </cell>
          <cell r="Q147">
            <v>1</v>
          </cell>
        </row>
        <row r="148">
          <cell r="A148" t="str">
            <v>75393</v>
          </cell>
          <cell r="B148" t="str">
            <v>1029</v>
          </cell>
          <cell r="C148" t="str">
            <v>102901</v>
          </cell>
          <cell r="D148" t="str">
            <v>Trần Văn</v>
          </cell>
          <cell r="E148" t="str">
            <v>Châu</v>
          </cell>
          <cell r="G148">
            <v>1.1299999999999999</v>
          </cell>
          <cell r="H148">
            <v>23</v>
          </cell>
          <cell r="J148">
            <v>23</v>
          </cell>
          <cell r="K148">
            <v>20</v>
          </cell>
          <cell r="L148">
            <v>7</v>
          </cell>
          <cell r="M148">
            <v>59</v>
          </cell>
          <cell r="N148">
            <v>1249411</v>
          </cell>
          <cell r="O148">
            <v>0</v>
          </cell>
          <cell r="P148">
            <v>730000</v>
          </cell>
          <cell r="Q148">
            <v>2</v>
          </cell>
        </row>
        <row r="149">
          <cell r="A149" t="str">
            <v>75279</v>
          </cell>
          <cell r="B149" t="str">
            <v>1029</v>
          </cell>
          <cell r="C149" t="str">
            <v>102901</v>
          </cell>
          <cell r="D149" t="str">
            <v>Nguyễn Xuân</v>
          </cell>
          <cell r="E149" t="str">
            <v>Đoàn</v>
          </cell>
          <cell r="G149">
            <v>1</v>
          </cell>
          <cell r="H149">
            <v>23</v>
          </cell>
          <cell r="J149">
            <v>23</v>
          </cell>
          <cell r="K149">
            <v>17</v>
          </cell>
          <cell r="L149">
            <v>11</v>
          </cell>
          <cell r="M149">
            <v>56</v>
          </cell>
          <cell r="N149">
            <v>1119231</v>
          </cell>
          <cell r="O149">
            <v>0</v>
          </cell>
          <cell r="P149">
            <v>730000</v>
          </cell>
          <cell r="Q149">
            <v>3</v>
          </cell>
        </row>
        <row r="150">
          <cell r="A150" t="str">
            <v>75268</v>
          </cell>
          <cell r="B150" t="str">
            <v>1029</v>
          </cell>
          <cell r="C150" t="str">
            <v>102901</v>
          </cell>
          <cell r="D150" t="str">
            <v>Võ Trúc</v>
          </cell>
          <cell r="E150" t="str">
            <v>Giang</v>
          </cell>
          <cell r="H150">
            <v>23</v>
          </cell>
          <cell r="J150">
            <v>23</v>
          </cell>
          <cell r="K150">
            <v>0</v>
          </cell>
          <cell r="L150">
            <v>0</v>
          </cell>
          <cell r="M150">
            <v>0</v>
          </cell>
          <cell r="N150">
            <v>0</v>
          </cell>
          <cell r="O150">
            <v>0</v>
          </cell>
          <cell r="P150">
            <v>730000</v>
          </cell>
          <cell r="Q150">
            <v>4</v>
          </cell>
        </row>
        <row r="151">
          <cell r="A151" t="str">
            <v>75391</v>
          </cell>
          <cell r="B151" t="str">
            <v>1029</v>
          </cell>
          <cell r="C151" t="str">
            <v>102901</v>
          </cell>
          <cell r="D151" t="str">
            <v>Trần Minh</v>
          </cell>
          <cell r="E151" t="str">
            <v>Tâm</v>
          </cell>
          <cell r="G151">
            <v>1.03</v>
          </cell>
          <cell r="H151">
            <v>23</v>
          </cell>
          <cell r="J151">
            <v>23</v>
          </cell>
          <cell r="K151">
            <v>21.8</v>
          </cell>
          <cell r="L151">
            <v>32</v>
          </cell>
          <cell r="M151">
            <v>44</v>
          </cell>
          <cell r="N151">
            <v>1285056</v>
          </cell>
          <cell r="O151">
            <v>0</v>
          </cell>
          <cell r="P151">
            <v>730000</v>
          </cell>
          <cell r="Q151">
            <v>6</v>
          </cell>
        </row>
        <row r="152">
          <cell r="A152" t="str">
            <v>75283</v>
          </cell>
          <cell r="B152" t="str">
            <v>1029</v>
          </cell>
          <cell r="C152" t="str">
            <v>102902</v>
          </cell>
          <cell r="D152" t="str">
            <v>Bùi Thị Như</v>
          </cell>
          <cell r="E152" t="str">
            <v>Liên</v>
          </cell>
          <cell r="H152">
            <v>23</v>
          </cell>
          <cell r="J152">
            <v>23</v>
          </cell>
          <cell r="K152">
            <v>0</v>
          </cell>
          <cell r="L152">
            <v>0</v>
          </cell>
          <cell r="M152">
            <v>0</v>
          </cell>
          <cell r="N152">
            <v>0</v>
          </cell>
          <cell r="O152">
            <v>0</v>
          </cell>
          <cell r="P152">
            <v>730000</v>
          </cell>
          <cell r="Q152">
            <v>1</v>
          </cell>
        </row>
        <row r="153">
          <cell r="A153" t="str">
            <v>75274</v>
          </cell>
          <cell r="B153" t="str">
            <v>1029</v>
          </cell>
          <cell r="C153" t="str">
            <v>102902</v>
          </cell>
          <cell r="D153" t="str">
            <v>Lê Tấn</v>
          </cell>
          <cell r="E153" t="str">
            <v>Lộc</v>
          </cell>
          <cell r="G153">
            <v>1.06</v>
          </cell>
          <cell r="H153">
            <v>23</v>
          </cell>
          <cell r="J153">
            <v>23</v>
          </cell>
          <cell r="K153">
            <v>0</v>
          </cell>
          <cell r="L153">
            <v>0</v>
          </cell>
          <cell r="M153">
            <v>0</v>
          </cell>
          <cell r="N153">
            <v>0</v>
          </cell>
          <cell r="O153">
            <v>0</v>
          </cell>
          <cell r="P153">
            <v>730000</v>
          </cell>
          <cell r="Q153">
            <v>2</v>
          </cell>
        </row>
        <row r="154">
          <cell r="A154" t="str">
            <v>75394</v>
          </cell>
          <cell r="B154" t="str">
            <v>1029</v>
          </cell>
          <cell r="C154" t="str">
            <v>102902</v>
          </cell>
          <cell r="D154" t="str">
            <v>Hồ Thị Hồng</v>
          </cell>
          <cell r="E154" t="str">
            <v>Huế</v>
          </cell>
          <cell r="G154">
            <v>1.1399999999999999</v>
          </cell>
          <cell r="H154">
            <v>23</v>
          </cell>
          <cell r="J154">
            <v>23</v>
          </cell>
          <cell r="K154">
            <v>39</v>
          </cell>
          <cell r="L154">
            <v>0</v>
          </cell>
          <cell r="M154">
            <v>0</v>
          </cell>
          <cell r="N154">
            <v>1560000</v>
          </cell>
          <cell r="O154">
            <v>0</v>
          </cell>
          <cell r="P154">
            <v>730000</v>
          </cell>
          <cell r="Q154">
            <v>3</v>
          </cell>
        </row>
        <row r="155">
          <cell r="A155" t="str">
            <v>75392</v>
          </cell>
          <cell r="B155" t="str">
            <v>1029</v>
          </cell>
          <cell r="C155" t="str">
            <v>102902</v>
          </cell>
          <cell r="D155" t="str">
            <v>Phạm Tấn</v>
          </cell>
          <cell r="E155" t="str">
            <v>Lực</v>
          </cell>
          <cell r="G155">
            <v>0.81</v>
          </cell>
          <cell r="H155">
            <v>23</v>
          </cell>
          <cell r="J155">
            <v>23</v>
          </cell>
          <cell r="K155">
            <v>64.5</v>
          </cell>
          <cell r="L155">
            <v>0</v>
          </cell>
          <cell r="M155">
            <v>0</v>
          </cell>
          <cell r="N155">
            <v>2089800.0000000002</v>
          </cell>
          <cell r="O155">
            <v>490199.99999999977</v>
          </cell>
          <cell r="P155">
            <v>730000</v>
          </cell>
          <cell r="Q155">
            <v>4</v>
          </cell>
        </row>
        <row r="156">
          <cell r="A156" t="str">
            <v>75402</v>
          </cell>
          <cell r="B156" t="str">
            <v>1029</v>
          </cell>
          <cell r="C156" t="str">
            <v>102902</v>
          </cell>
          <cell r="D156" t="str">
            <v>La Uyển</v>
          </cell>
          <cell r="E156" t="str">
            <v>Oanh</v>
          </cell>
          <cell r="G156">
            <v>1</v>
          </cell>
          <cell r="H156">
            <v>23</v>
          </cell>
          <cell r="J156">
            <v>23</v>
          </cell>
          <cell r="K156">
            <v>25.3</v>
          </cell>
          <cell r="L156">
            <v>0</v>
          </cell>
          <cell r="M156">
            <v>0</v>
          </cell>
          <cell r="N156">
            <v>1012000</v>
          </cell>
          <cell r="O156">
            <v>0</v>
          </cell>
          <cell r="P156">
            <v>730000</v>
          </cell>
          <cell r="Q156">
            <v>5</v>
          </cell>
        </row>
        <row r="157">
          <cell r="A157" t="str">
            <v>75273</v>
          </cell>
          <cell r="B157" t="str">
            <v>1029</v>
          </cell>
          <cell r="C157" t="str">
            <v>102902</v>
          </cell>
          <cell r="D157" t="str">
            <v>Nguyễn</v>
          </cell>
          <cell r="E157" t="str">
            <v>Thái</v>
          </cell>
          <cell r="G157">
            <v>0.89</v>
          </cell>
          <cell r="H157">
            <v>23</v>
          </cell>
          <cell r="J157">
            <v>23</v>
          </cell>
          <cell r="K157">
            <v>20.5</v>
          </cell>
          <cell r="L157">
            <v>2</v>
          </cell>
          <cell r="M157">
            <v>12</v>
          </cell>
          <cell r="N157">
            <v>812642.98</v>
          </cell>
          <cell r="O157">
            <v>100439.02000000002</v>
          </cell>
          <cell r="P157">
            <v>730000</v>
          </cell>
          <cell r="Q157">
            <v>6</v>
          </cell>
        </row>
        <row r="158">
          <cell r="A158" t="str">
            <v>75397</v>
          </cell>
          <cell r="B158" t="str">
            <v>1029</v>
          </cell>
          <cell r="C158" t="str">
            <v>102902</v>
          </cell>
          <cell r="D158" t="str">
            <v>Ngô Thành</v>
          </cell>
          <cell r="E158" t="str">
            <v>Thuận</v>
          </cell>
          <cell r="G158">
            <v>0.81</v>
          </cell>
          <cell r="H158">
            <v>23</v>
          </cell>
          <cell r="J158">
            <v>23</v>
          </cell>
          <cell r="K158">
            <v>19.100000000000001</v>
          </cell>
          <cell r="L158">
            <v>0</v>
          </cell>
          <cell r="M158">
            <v>4</v>
          </cell>
          <cell r="N158">
            <v>642401.28000000003</v>
          </cell>
          <cell r="O158">
            <v>150686.71999999997</v>
          </cell>
          <cell r="P158">
            <v>730000</v>
          </cell>
          <cell r="Q158">
            <v>7</v>
          </cell>
        </row>
        <row r="159">
          <cell r="B159" t="str">
            <v>1022</v>
          </cell>
          <cell r="D159" t="str">
            <v>P02_CTV</v>
          </cell>
          <cell r="G159">
            <v>1</v>
          </cell>
          <cell r="J159">
            <v>0</v>
          </cell>
          <cell r="L159">
            <v>0</v>
          </cell>
          <cell r="M159">
            <v>0</v>
          </cell>
          <cell r="N159">
            <v>0</v>
          </cell>
          <cell r="O159">
            <v>0</v>
          </cell>
        </row>
        <row r="160">
          <cell r="B160" t="str">
            <v>1023</v>
          </cell>
          <cell r="D160" t="str">
            <v>P03_CTV</v>
          </cell>
          <cell r="G160">
            <v>1</v>
          </cell>
          <cell r="J160">
            <v>0</v>
          </cell>
          <cell r="K160">
            <v>35</v>
          </cell>
          <cell r="L160">
            <v>0</v>
          </cell>
          <cell r="M160">
            <v>0</v>
          </cell>
          <cell r="N160">
            <v>1400000</v>
          </cell>
          <cell r="O160">
            <v>0</v>
          </cell>
        </row>
        <row r="161">
          <cell r="B161" t="str">
            <v>1024</v>
          </cell>
          <cell r="D161" t="str">
            <v>P04_CTV</v>
          </cell>
          <cell r="G161">
            <v>1</v>
          </cell>
          <cell r="J161">
            <v>0</v>
          </cell>
          <cell r="K161">
            <v>75</v>
          </cell>
          <cell r="L161">
            <v>0</v>
          </cell>
          <cell r="M161">
            <v>0</v>
          </cell>
          <cell r="N161">
            <v>3000000</v>
          </cell>
          <cell r="O161">
            <v>0</v>
          </cell>
        </row>
        <row r="162">
          <cell r="B162" t="str">
            <v>1025</v>
          </cell>
          <cell r="D162" t="str">
            <v>P05_CTV</v>
          </cell>
          <cell r="G162">
            <v>1</v>
          </cell>
          <cell r="J162">
            <v>0</v>
          </cell>
          <cell r="K162">
            <v>27.3</v>
          </cell>
          <cell r="L162">
            <v>0</v>
          </cell>
          <cell r="M162">
            <v>0</v>
          </cell>
          <cell r="N162">
            <v>1092000</v>
          </cell>
          <cell r="O162">
            <v>0</v>
          </cell>
        </row>
        <row r="163">
          <cell r="B163" t="str">
            <v>1026</v>
          </cell>
          <cell r="D163" t="str">
            <v>P06_CTV</v>
          </cell>
          <cell r="G163">
            <v>1</v>
          </cell>
          <cell r="J163">
            <v>0</v>
          </cell>
          <cell r="K163">
            <v>74</v>
          </cell>
          <cell r="L163">
            <v>0</v>
          </cell>
          <cell r="M163">
            <v>0</v>
          </cell>
          <cell r="N163">
            <v>2960000</v>
          </cell>
          <cell r="O163">
            <v>0</v>
          </cell>
        </row>
        <row r="164">
          <cell r="B164" t="str">
            <v>1027</v>
          </cell>
          <cell r="D164" t="str">
            <v>P07_CTV</v>
          </cell>
          <cell r="G164">
            <v>1</v>
          </cell>
          <cell r="J164">
            <v>0</v>
          </cell>
          <cell r="K164">
            <v>6</v>
          </cell>
          <cell r="M164">
            <v>0</v>
          </cell>
          <cell r="N164">
            <v>240000</v>
          </cell>
          <cell r="O164">
            <v>0</v>
          </cell>
        </row>
        <row r="165">
          <cell r="B165" t="str">
            <v>1028</v>
          </cell>
          <cell r="D165" t="str">
            <v>P08_CTV</v>
          </cell>
          <cell r="G165">
            <v>1</v>
          </cell>
          <cell r="J165">
            <v>0</v>
          </cell>
          <cell r="L165">
            <v>0</v>
          </cell>
          <cell r="M165">
            <v>0</v>
          </cell>
          <cell r="N165">
            <v>0</v>
          </cell>
          <cell r="O165">
            <v>0</v>
          </cell>
        </row>
        <row r="166">
          <cell r="B166" t="str">
            <v>1029</v>
          </cell>
          <cell r="D166" t="str">
            <v>P09_CTV</v>
          </cell>
          <cell r="G166">
            <v>1</v>
          </cell>
          <cell r="J166">
            <v>0</v>
          </cell>
          <cell r="K166">
            <v>38</v>
          </cell>
          <cell r="L166">
            <v>0</v>
          </cell>
          <cell r="M166">
            <v>0</v>
          </cell>
          <cell r="N166">
            <v>1520000</v>
          </cell>
          <cell r="O166">
            <v>0</v>
          </cell>
        </row>
        <row r="167">
          <cell r="D167" t="str">
            <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s>
    <sheetDataSet>
      <sheetData sheetId="0" refreshError="1"/>
      <sheetData sheetId="1" refreshError="1"/>
      <sheetData sheetId="2" refreshError="1">
        <row r="1">
          <cell r="A1" t="str">
            <v>STATISTICAL ESTIMATION OF FITTINGS AND VALVES FOR PIPING WORK</v>
          </cell>
        </row>
        <row r="2">
          <cell r="A2" t="str">
            <v xml:space="preserve">PROJECT NO : </v>
          </cell>
        </row>
        <row r="3">
          <cell r="A3" t="str">
            <v>Fc =</v>
          </cell>
          <cell r="B3">
            <v>1</v>
          </cell>
          <cell r="C3" t="str">
            <v>Fp =</v>
          </cell>
          <cell r="D3">
            <v>0.1</v>
          </cell>
        </row>
        <row r="4">
          <cell r="F4" t="str">
            <v>FITTING NO</v>
          </cell>
          <cell r="N4" t="str">
            <v>VALVE NO</v>
          </cell>
          <cell r="R4" t="str">
            <v>TOTAL</v>
          </cell>
          <cell r="S4" t="str">
            <v>TOTAL</v>
          </cell>
          <cell r="T4" t="str">
            <v>J/M</v>
          </cell>
          <cell r="U4" t="str">
            <v>J/M</v>
          </cell>
        </row>
        <row r="5">
          <cell r="A5" t="str">
            <v>NO</v>
          </cell>
          <cell r="B5" t="str">
            <v>SIZE</v>
          </cell>
          <cell r="C5" t="str">
            <v>SCH</v>
          </cell>
          <cell r="D5" t="str">
            <v>LG (M)</v>
          </cell>
          <cell r="E5" t="str">
            <v>IN-M</v>
          </cell>
          <cell r="F5" t="str">
            <v>90 ELL</v>
          </cell>
          <cell r="G5" t="str">
            <v>45 ELL</v>
          </cell>
          <cell r="H5" t="str">
            <v>TEE</v>
          </cell>
          <cell r="I5" t="str">
            <v>RED</v>
          </cell>
          <cell r="J5" t="str">
            <v>FLG</v>
          </cell>
          <cell r="K5" t="str">
            <v>CPLG</v>
          </cell>
          <cell r="L5" t="str">
            <v>CAP</v>
          </cell>
          <cell r="M5" t="str">
            <v>TOTAL</v>
          </cell>
          <cell r="N5" t="str">
            <v>BLOCK</v>
          </cell>
          <cell r="O5" t="str">
            <v>CHECK</v>
          </cell>
          <cell r="P5" t="str">
            <v>GLOBE</v>
          </cell>
          <cell r="Q5" t="str">
            <v>TOTAL</v>
          </cell>
          <cell r="R5" t="str">
            <v>JOINT</v>
          </cell>
          <cell r="S5" t="str">
            <v>DI</v>
          </cell>
          <cell r="T5" t="str">
            <v>(JOINT)</v>
          </cell>
          <cell r="U5" t="str">
            <v>(DI)</v>
          </cell>
        </row>
        <row r="6">
          <cell r="A6">
            <v>1</v>
          </cell>
          <cell r="B6">
            <v>0.5</v>
          </cell>
          <cell r="E6" t="str">
            <v/>
          </cell>
          <cell r="F6">
            <v>0</v>
          </cell>
          <cell r="G6">
            <v>0</v>
          </cell>
          <cell r="H6">
            <v>0</v>
          </cell>
          <cell r="I6">
            <v>0</v>
          </cell>
          <cell r="J6">
            <v>0</v>
          </cell>
          <cell r="K6">
            <v>0</v>
          </cell>
          <cell r="L6">
            <v>0</v>
          </cell>
          <cell r="M6">
            <v>0</v>
          </cell>
          <cell r="N6">
            <v>0</v>
          </cell>
          <cell r="O6">
            <v>0</v>
          </cell>
          <cell r="P6">
            <v>0</v>
          </cell>
          <cell r="Q6">
            <v>0</v>
          </cell>
          <cell r="R6">
            <v>0</v>
          </cell>
          <cell r="S6">
            <v>0</v>
          </cell>
          <cell r="T6" t="str">
            <v/>
          </cell>
          <cell r="U6" t="str">
            <v/>
          </cell>
        </row>
        <row r="7">
          <cell r="A7">
            <v>2</v>
          </cell>
          <cell r="B7">
            <v>0.75</v>
          </cell>
          <cell r="E7" t="str">
            <v/>
          </cell>
          <cell r="F7">
            <v>0</v>
          </cell>
          <cell r="G7">
            <v>0</v>
          </cell>
          <cell r="H7">
            <v>0</v>
          </cell>
          <cell r="I7">
            <v>0</v>
          </cell>
          <cell r="J7">
            <v>0</v>
          </cell>
          <cell r="K7">
            <v>0</v>
          </cell>
          <cell r="L7">
            <v>0</v>
          </cell>
          <cell r="M7">
            <v>0</v>
          </cell>
          <cell r="N7">
            <v>0</v>
          </cell>
          <cell r="O7">
            <v>0</v>
          </cell>
          <cell r="P7">
            <v>0</v>
          </cell>
          <cell r="Q7">
            <v>0</v>
          </cell>
          <cell r="R7">
            <v>0</v>
          </cell>
          <cell r="S7">
            <v>0</v>
          </cell>
          <cell r="T7" t="str">
            <v/>
          </cell>
          <cell r="U7" t="str">
            <v/>
          </cell>
        </row>
        <row r="8">
          <cell r="A8">
            <v>3</v>
          </cell>
          <cell r="B8">
            <v>1</v>
          </cell>
          <cell r="E8" t="str">
            <v/>
          </cell>
          <cell r="F8">
            <v>0</v>
          </cell>
          <cell r="G8">
            <v>0</v>
          </cell>
          <cell r="H8">
            <v>0</v>
          </cell>
          <cell r="I8">
            <v>0</v>
          </cell>
          <cell r="J8">
            <v>0</v>
          </cell>
          <cell r="K8">
            <v>0</v>
          </cell>
          <cell r="L8">
            <v>0</v>
          </cell>
          <cell r="M8">
            <v>0</v>
          </cell>
          <cell r="N8">
            <v>0</v>
          </cell>
          <cell r="O8">
            <v>0</v>
          </cell>
          <cell r="P8">
            <v>0</v>
          </cell>
          <cell r="Q8">
            <v>0</v>
          </cell>
          <cell r="R8">
            <v>0</v>
          </cell>
          <cell r="S8">
            <v>0</v>
          </cell>
          <cell r="T8" t="str">
            <v/>
          </cell>
          <cell r="U8" t="str">
            <v/>
          </cell>
        </row>
        <row r="9">
          <cell r="A9">
            <v>4</v>
          </cell>
          <cell r="B9">
            <v>1.5</v>
          </cell>
          <cell r="E9" t="str">
            <v/>
          </cell>
          <cell r="F9">
            <v>0</v>
          </cell>
          <cell r="G9">
            <v>0</v>
          </cell>
          <cell r="H9">
            <v>0</v>
          </cell>
          <cell r="I9">
            <v>0</v>
          </cell>
          <cell r="J9">
            <v>0</v>
          </cell>
          <cell r="K9">
            <v>0</v>
          </cell>
          <cell r="L9">
            <v>0</v>
          </cell>
          <cell r="M9">
            <v>0</v>
          </cell>
          <cell r="N9">
            <v>0</v>
          </cell>
          <cell r="O9">
            <v>0</v>
          </cell>
          <cell r="P9">
            <v>0</v>
          </cell>
          <cell r="Q9">
            <v>0</v>
          </cell>
          <cell r="R9">
            <v>0</v>
          </cell>
          <cell r="S9">
            <v>0</v>
          </cell>
          <cell r="T9" t="str">
            <v/>
          </cell>
          <cell r="U9" t="str">
            <v/>
          </cell>
        </row>
        <row r="10">
          <cell r="A10">
            <v>5</v>
          </cell>
          <cell r="B10">
            <v>2</v>
          </cell>
          <cell r="E10" t="str">
            <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t="str">
            <v/>
          </cell>
          <cell r="U10" t="str">
            <v/>
          </cell>
        </row>
        <row r="11">
          <cell r="A11">
            <v>6</v>
          </cell>
          <cell r="B11">
            <v>2.5</v>
          </cell>
          <cell r="E11" t="str">
            <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t="str">
            <v/>
          </cell>
          <cell r="U11" t="str">
            <v/>
          </cell>
        </row>
        <row r="12">
          <cell r="A12">
            <v>7</v>
          </cell>
          <cell r="B12">
            <v>3</v>
          </cell>
          <cell r="E12" t="str">
            <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t="str">
            <v/>
          </cell>
          <cell r="U12" t="str">
            <v/>
          </cell>
        </row>
        <row r="13">
          <cell r="A13">
            <v>8</v>
          </cell>
          <cell r="B13">
            <v>4</v>
          </cell>
          <cell r="E13" t="str">
            <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t="str">
            <v/>
          </cell>
          <cell r="U13" t="str">
            <v/>
          </cell>
        </row>
        <row r="14">
          <cell r="A14">
            <v>9</v>
          </cell>
          <cell r="B14">
            <v>5</v>
          </cell>
          <cell r="E14" t="str">
            <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t="str">
            <v/>
          </cell>
          <cell r="U14" t="str">
            <v/>
          </cell>
        </row>
        <row r="15">
          <cell r="A15">
            <v>10</v>
          </cell>
          <cell r="B15">
            <v>6</v>
          </cell>
          <cell r="E15" t="str">
            <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t="str">
            <v/>
          </cell>
          <cell r="U15" t="str">
            <v/>
          </cell>
        </row>
        <row r="16">
          <cell r="A16">
            <v>11</v>
          </cell>
          <cell r="B16">
            <v>8</v>
          </cell>
          <cell r="E16" t="str">
            <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t="str">
            <v/>
          </cell>
          <cell r="U16" t="str">
            <v/>
          </cell>
        </row>
        <row r="17">
          <cell r="A17">
            <v>12</v>
          </cell>
          <cell r="B17">
            <v>10</v>
          </cell>
          <cell r="E17" t="str">
            <v/>
          </cell>
          <cell r="F17">
            <v>0</v>
          </cell>
          <cell r="G17">
            <v>0</v>
          </cell>
          <cell r="H17">
            <v>0</v>
          </cell>
          <cell r="I17">
            <v>0</v>
          </cell>
          <cell r="J17">
            <v>0</v>
          </cell>
          <cell r="L17">
            <v>0</v>
          </cell>
          <cell r="M17">
            <v>0</v>
          </cell>
          <cell r="N17">
            <v>0</v>
          </cell>
          <cell r="O17">
            <v>0</v>
          </cell>
          <cell r="P17">
            <v>0</v>
          </cell>
          <cell r="Q17">
            <v>0</v>
          </cell>
          <cell r="R17">
            <v>0</v>
          </cell>
          <cell r="S17">
            <v>0</v>
          </cell>
          <cell r="T17" t="str">
            <v/>
          </cell>
          <cell r="U17" t="str">
            <v/>
          </cell>
        </row>
        <row r="18">
          <cell r="A18">
            <v>13</v>
          </cell>
          <cell r="B18">
            <v>12</v>
          </cell>
          <cell r="E18" t="str">
            <v/>
          </cell>
          <cell r="F18">
            <v>0</v>
          </cell>
          <cell r="G18">
            <v>0</v>
          </cell>
          <cell r="H18">
            <v>0</v>
          </cell>
          <cell r="I18">
            <v>0</v>
          </cell>
          <cell r="J18">
            <v>0</v>
          </cell>
          <cell r="L18">
            <v>0</v>
          </cell>
          <cell r="M18">
            <v>0</v>
          </cell>
          <cell r="N18">
            <v>0</v>
          </cell>
          <cell r="O18">
            <v>0</v>
          </cell>
          <cell r="P18">
            <v>0</v>
          </cell>
          <cell r="Q18">
            <v>0</v>
          </cell>
          <cell r="R18">
            <v>0</v>
          </cell>
          <cell r="S18">
            <v>0</v>
          </cell>
          <cell r="T18" t="str">
            <v/>
          </cell>
          <cell r="U18" t="str">
            <v/>
          </cell>
        </row>
        <row r="19">
          <cell r="A19">
            <v>14</v>
          </cell>
          <cell r="B19">
            <v>14</v>
          </cell>
          <cell r="E19" t="str">
            <v/>
          </cell>
          <cell r="F19">
            <v>0</v>
          </cell>
          <cell r="G19">
            <v>0</v>
          </cell>
          <cell r="H19">
            <v>0</v>
          </cell>
          <cell r="I19">
            <v>0</v>
          </cell>
          <cell r="J19">
            <v>0</v>
          </cell>
          <cell r="L19">
            <v>0</v>
          </cell>
          <cell r="M19">
            <v>0</v>
          </cell>
          <cell r="N19">
            <v>0</v>
          </cell>
          <cell r="O19">
            <v>0</v>
          </cell>
          <cell r="P19">
            <v>0</v>
          </cell>
          <cell r="Q19">
            <v>0</v>
          </cell>
          <cell r="R19">
            <v>0</v>
          </cell>
          <cell r="S19">
            <v>0</v>
          </cell>
          <cell r="T19" t="str">
            <v/>
          </cell>
          <cell r="U19" t="str">
            <v/>
          </cell>
        </row>
        <row r="20">
          <cell r="A20">
            <v>15</v>
          </cell>
          <cell r="B20">
            <v>16</v>
          </cell>
          <cell r="E20" t="str">
            <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t="str">
            <v/>
          </cell>
          <cell r="U20" t="str">
            <v/>
          </cell>
        </row>
        <row r="21">
          <cell r="A21">
            <v>16</v>
          </cell>
          <cell r="B21">
            <v>18</v>
          </cell>
          <cell r="E21" t="str">
            <v/>
          </cell>
          <cell r="F21">
            <v>0</v>
          </cell>
          <cell r="G21">
            <v>0</v>
          </cell>
          <cell r="H21">
            <v>0</v>
          </cell>
          <cell r="I21">
            <v>0</v>
          </cell>
          <cell r="J21">
            <v>0</v>
          </cell>
          <cell r="L21">
            <v>0</v>
          </cell>
          <cell r="M21">
            <v>0</v>
          </cell>
          <cell r="N21">
            <v>0</v>
          </cell>
          <cell r="O21">
            <v>0</v>
          </cell>
          <cell r="P21">
            <v>0</v>
          </cell>
          <cell r="Q21">
            <v>0</v>
          </cell>
          <cell r="R21">
            <v>0</v>
          </cell>
          <cell r="S21">
            <v>0</v>
          </cell>
          <cell r="T21" t="str">
            <v/>
          </cell>
          <cell r="U21" t="str">
            <v/>
          </cell>
        </row>
        <row r="22">
          <cell r="A22">
            <v>17</v>
          </cell>
          <cell r="B22">
            <v>20</v>
          </cell>
          <cell r="E22" t="str">
            <v/>
          </cell>
          <cell r="F22">
            <v>0</v>
          </cell>
          <cell r="G22">
            <v>0</v>
          </cell>
          <cell r="H22">
            <v>0</v>
          </cell>
          <cell r="I22">
            <v>0</v>
          </cell>
          <cell r="J22">
            <v>0</v>
          </cell>
          <cell r="L22">
            <v>0</v>
          </cell>
          <cell r="M22">
            <v>0</v>
          </cell>
          <cell r="N22">
            <v>0</v>
          </cell>
          <cell r="O22">
            <v>0</v>
          </cell>
          <cell r="P22">
            <v>0</v>
          </cell>
          <cell r="Q22">
            <v>0</v>
          </cell>
          <cell r="R22">
            <v>0</v>
          </cell>
          <cell r="S22">
            <v>0</v>
          </cell>
          <cell r="T22" t="str">
            <v/>
          </cell>
          <cell r="U22" t="str">
            <v/>
          </cell>
        </row>
        <row r="23">
          <cell r="A23">
            <v>18</v>
          </cell>
          <cell r="B23">
            <v>22</v>
          </cell>
          <cell r="E23" t="str">
            <v/>
          </cell>
          <cell r="F23">
            <v>0</v>
          </cell>
          <cell r="G23">
            <v>0</v>
          </cell>
          <cell r="H23">
            <v>0</v>
          </cell>
          <cell r="I23">
            <v>0</v>
          </cell>
          <cell r="J23">
            <v>0</v>
          </cell>
          <cell r="L23">
            <v>0</v>
          </cell>
          <cell r="M23">
            <v>0</v>
          </cell>
          <cell r="N23">
            <v>0</v>
          </cell>
          <cell r="O23">
            <v>0</v>
          </cell>
          <cell r="P23">
            <v>0</v>
          </cell>
          <cell r="Q23">
            <v>0</v>
          </cell>
          <cell r="R23">
            <v>0</v>
          </cell>
          <cell r="S23">
            <v>0</v>
          </cell>
          <cell r="T23" t="str">
            <v/>
          </cell>
          <cell r="U23" t="str">
            <v/>
          </cell>
        </row>
        <row r="24">
          <cell r="A24">
            <v>19</v>
          </cell>
          <cell r="B24">
            <v>24</v>
          </cell>
          <cell r="E24" t="str">
            <v/>
          </cell>
          <cell r="F24">
            <v>0</v>
          </cell>
          <cell r="G24">
            <v>0</v>
          </cell>
          <cell r="H24">
            <v>0</v>
          </cell>
          <cell r="I24">
            <v>0</v>
          </cell>
          <cell r="J24">
            <v>0</v>
          </cell>
          <cell r="L24">
            <v>0</v>
          </cell>
          <cell r="M24">
            <v>0</v>
          </cell>
          <cell r="N24">
            <v>0</v>
          </cell>
          <cell r="O24">
            <v>0</v>
          </cell>
          <cell r="P24">
            <v>0</v>
          </cell>
          <cell r="Q24">
            <v>0</v>
          </cell>
          <cell r="R24">
            <v>0</v>
          </cell>
          <cell r="S24">
            <v>0</v>
          </cell>
          <cell r="T24" t="str">
            <v/>
          </cell>
          <cell r="U24" t="str">
            <v/>
          </cell>
        </row>
        <row r="25">
          <cell r="A25">
            <v>20</v>
          </cell>
          <cell r="B25">
            <v>26</v>
          </cell>
          <cell r="E25" t="str">
            <v/>
          </cell>
          <cell r="F25">
            <v>0</v>
          </cell>
          <cell r="G25">
            <v>0</v>
          </cell>
          <cell r="H25">
            <v>0</v>
          </cell>
          <cell r="I25">
            <v>0</v>
          </cell>
          <cell r="J25">
            <v>0</v>
          </cell>
          <cell r="L25">
            <v>0</v>
          </cell>
          <cell r="M25">
            <v>0</v>
          </cell>
          <cell r="N25">
            <v>0</v>
          </cell>
          <cell r="O25">
            <v>0</v>
          </cell>
          <cell r="P25">
            <v>0</v>
          </cell>
          <cell r="Q25">
            <v>0</v>
          </cell>
          <cell r="R25">
            <v>0</v>
          </cell>
          <cell r="S25">
            <v>0</v>
          </cell>
          <cell r="T25" t="str">
            <v/>
          </cell>
          <cell r="U25" t="str">
            <v/>
          </cell>
        </row>
        <row r="26">
          <cell r="A26">
            <v>21</v>
          </cell>
          <cell r="B26">
            <v>28</v>
          </cell>
          <cell r="E26" t="str">
            <v/>
          </cell>
          <cell r="F26">
            <v>0</v>
          </cell>
          <cell r="G26">
            <v>0</v>
          </cell>
          <cell r="H26">
            <v>0</v>
          </cell>
          <cell r="I26">
            <v>0</v>
          </cell>
          <cell r="J26">
            <v>0</v>
          </cell>
          <cell r="L26">
            <v>0</v>
          </cell>
          <cell r="M26">
            <v>0</v>
          </cell>
          <cell r="N26">
            <v>0</v>
          </cell>
          <cell r="O26">
            <v>0</v>
          </cell>
          <cell r="P26">
            <v>0</v>
          </cell>
          <cell r="Q26">
            <v>0</v>
          </cell>
          <cell r="R26">
            <v>0</v>
          </cell>
          <cell r="S26">
            <v>0</v>
          </cell>
          <cell r="T26" t="str">
            <v/>
          </cell>
          <cell r="U26" t="str">
            <v/>
          </cell>
        </row>
        <row r="27">
          <cell r="A27">
            <v>22</v>
          </cell>
          <cell r="B27">
            <v>30</v>
          </cell>
          <cell r="E27" t="str">
            <v/>
          </cell>
          <cell r="F27">
            <v>0</v>
          </cell>
          <cell r="G27">
            <v>0</v>
          </cell>
          <cell r="H27">
            <v>0</v>
          </cell>
          <cell r="I27">
            <v>0</v>
          </cell>
          <cell r="J27">
            <v>0</v>
          </cell>
          <cell r="L27">
            <v>0</v>
          </cell>
          <cell r="M27">
            <v>0</v>
          </cell>
          <cell r="N27">
            <v>0</v>
          </cell>
          <cell r="O27">
            <v>0</v>
          </cell>
          <cell r="P27">
            <v>0</v>
          </cell>
          <cell r="Q27">
            <v>0</v>
          </cell>
          <cell r="R27">
            <v>0</v>
          </cell>
          <cell r="S27">
            <v>0</v>
          </cell>
          <cell r="T27" t="str">
            <v/>
          </cell>
          <cell r="U27" t="str">
            <v/>
          </cell>
        </row>
        <row r="28">
          <cell r="A28">
            <v>23</v>
          </cell>
          <cell r="B28">
            <v>32</v>
          </cell>
          <cell r="E28" t="str">
            <v/>
          </cell>
          <cell r="F28">
            <v>0</v>
          </cell>
          <cell r="G28">
            <v>0</v>
          </cell>
          <cell r="H28">
            <v>0</v>
          </cell>
          <cell r="I28">
            <v>0</v>
          </cell>
          <cell r="J28">
            <v>0</v>
          </cell>
          <cell r="L28">
            <v>0</v>
          </cell>
          <cell r="M28">
            <v>0</v>
          </cell>
          <cell r="N28">
            <v>0</v>
          </cell>
          <cell r="O28">
            <v>0</v>
          </cell>
          <cell r="P28">
            <v>0</v>
          </cell>
          <cell r="Q28">
            <v>0</v>
          </cell>
          <cell r="R28">
            <v>0</v>
          </cell>
          <cell r="S28">
            <v>0</v>
          </cell>
          <cell r="T28" t="str">
            <v/>
          </cell>
          <cell r="U28" t="str">
            <v/>
          </cell>
        </row>
        <row r="29">
          <cell r="A29">
            <v>24</v>
          </cell>
          <cell r="B29">
            <v>34</v>
          </cell>
          <cell r="E29" t="str">
            <v/>
          </cell>
          <cell r="F29">
            <v>0</v>
          </cell>
          <cell r="G29">
            <v>0</v>
          </cell>
          <cell r="H29">
            <v>0</v>
          </cell>
          <cell r="I29">
            <v>0</v>
          </cell>
          <cell r="J29">
            <v>0</v>
          </cell>
          <cell r="L29">
            <v>0</v>
          </cell>
          <cell r="M29">
            <v>0</v>
          </cell>
          <cell r="N29">
            <v>0</v>
          </cell>
          <cell r="O29">
            <v>0</v>
          </cell>
          <cell r="P29">
            <v>0</v>
          </cell>
          <cell r="Q29">
            <v>0</v>
          </cell>
          <cell r="R29">
            <v>0</v>
          </cell>
          <cell r="S29">
            <v>0</v>
          </cell>
          <cell r="T29" t="str">
            <v/>
          </cell>
          <cell r="U29" t="str">
            <v/>
          </cell>
        </row>
        <row r="30">
          <cell r="A30">
            <v>25</v>
          </cell>
          <cell r="B30">
            <v>36</v>
          </cell>
          <cell r="E30" t="str">
            <v/>
          </cell>
          <cell r="F30">
            <v>0</v>
          </cell>
          <cell r="G30">
            <v>0</v>
          </cell>
          <cell r="H30">
            <v>0</v>
          </cell>
          <cell r="I30">
            <v>0</v>
          </cell>
          <cell r="J30">
            <v>0</v>
          </cell>
          <cell r="L30">
            <v>0</v>
          </cell>
          <cell r="M30">
            <v>0</v>
          </cell>
          <cell r="N30">
            <v>0</v>
          </cell>
          <cell r="O30">
            <v>0</v>
          </cell>
          <cell r="P30">
            <v>0</v>
          </cell>
          <cell r="Q30">
            <v>0</v>
          </cell>
          <cell r="R30">
            <v>0</v>
          </cell>
          <cell r="S30">
            <v>0</v>
          </cell>
          <cell r="T30" t="str">
            <v/>
          </cell>
          <cell r="U30" t="str">
            <v/>
          </cell>
        </row>
        <row r="31">
          <cell r="A31">
            <v>26</v>
          </cell>
          <cell r="B31">
            <v>38</v>
          </cell>
          <cell r="E31" t="str">
            <v/>
          </cell>
          <cell r="F31">
            <v>0</v>
          </cell>
          <cell r="G31">
            <v>0</v>
          </cell>
          <cell r="H31">
            <v>0</v>
          </cell>
          <cell r="I31">
            <v>0</v>
          </cell>
          <cell r="J31">
            <v>0</v>
          </cell>
          <cell r="L31">
            <v>0</v>
          </cell>
          <cell r="M31">
            <v>0</v>
          </cell>
          <cell r="N31">
            <v>0</v>
          </cell>
          <cell r="O31">
            <v>0</v>
          </cell>
          <cell r="P31">
            <v>0</v>
          </cell>
          <cell r="Q31">
            <v>0</v>
          </cell>
          <cell r="R31">
            <v>0</v>
          </cell>
          <cell r="S31">
            <v>0</v>
          </cell>
          <cell r="T31" t="str">
            <v/>
          </cell>
          <cell r="U31" t="str">
            <v/>
          </cell>
        </row>
        <row r="32">
          <cell r="A32">
            <v>27</v>
          </cell>
          <cell r="B32">
            <v>40</v>
          </cell>
          <cell r="E32" t="str">
            <v/>
          </cell>
          <cell r="F32">
            <v>0</v>
          </cell>
          <cell r="G32">
            <v>0</v>
          </cell>
          <cell r="H32">
            <v>0</v>
          </cell>
          <cell r="I32">
            <v>0</v>
          </cell>
          <cell r="J32">
            <v>0</v>
          </cell>
          <cell r="L32">
            <v>0</v>
          </cell>
          <cell r="M32">
            <v>0</v>
          </cell>
          <cell r="N32">
            <v>0</v>
          </cell>
          <cell r="O32">
            <v>0</v>
          </cell>
          <cell r="P32">
            <v>0</v>
          </cell>
          <cell r="Q32">
            <v>0</v>
          </cell>
          <cell r="R32">
            <v>0</v>
          </cell>
          <cell r="S32">
            <v>0</v>
          </cell>
          <cell r="T32" t="str">
            <v/>
          </cell>
          <cell r="U32" t="str">
            <v/>
          </cell>
        </row>
        <row r="33">
          <cell r="A33">
            <v>28</v>
          </cell>
          <cell r="B33">
            <v>42</v>
          </cell>
          <cell r="E33" t="str">
            <v/>
          </cell>
          <cell r="F33">
            <v>0</v>
          </cell>
          <cell r="G33">
            <v>0</v>
          </cell>
          <cell r="H33">
            <v>0</v>
          </cell>
          <cell r="I33">
            <v>0</v>
          </cell>
          <cell r="J33">
            <v>0</v>
          </cell>
          <cell r="L33">
            <v>0</v>
          </cell>
          <cell r="M33">
            <v>0</v>
          </cell>
          <cell r="N33">
            <v>0</v>
          </cell>
          <cell r="O33">
            <v>0</v>
          </cell>
          <cell r="P33">
            <v>0</v>
          </cell>
          <cell r="Q33">
            <v>0</v>
          </cell>
          <cell r="R33">
            <v>0</v>
          </cell>
          <cell r="S33">
            <v>0</v>
          </cell>
          <cell r="T33" t="str">
            <v/>
          </cell>
          <cell r="U33" t="str">
            <v/>
          </cell>
        </row>
        <row r="34">
          <cell r="A34">
            <v>29</v>
          </cell>
          <cell r="B34">
            <v>44</v>
          </cell>
          <cell r="E34" t="str">
            <v/>
          </cell>
          <cell r="F34">
            <v>0</v>
          </cell>
          <cell r="G34">
            <v>0</v>
          </cell>
          <cell r="H34">
            <v>0</v>
          </cell>
          <cell r="I34">
            <v>0</v>
          </cell>
          <cell r="J34">
            <v>0</v>
          </cell>
          <cell r="L34">
            <v>0</v>
          </cell>
          <cell r="M34">
            <v>0</v>
          </cell>
          <cell r="N34">
            <v>0</v>
          </cell>
          <cell r="O34">
            <v>0</v>
          </cell>
          <cell r="P34">
            <v>0</v>
          </cell>
          <cell r="Q34">
            <v>0</v>
          </cell>
          <cell r="R34">
            <v>0</v>
          </cell>
          <cell r="S34">
            <v>0</v>
          </cell>
          <cell r="T34" t="str">
            <v/>
          </cell>
          <cell r="U34" t="str">
            <v/>
          </cell>
        </row>
        <row r="35">
          <cell r="A35">
            <v>30</v>
          </cell>
          <cell r="B35">
            <v>46</v>
          </cell>
          <cell r="E35" t="str">
            <v/>
          </cell>
          <cell r="F35">
            <v>0</v>
          </cell>
          <cell r="G35">
            <v>0</v>
          </cell>
          <cell r="H35">
            <v>0</v>
          </cell>
          <cell r="I35">
            <v>0</v>
          </cell>
          <cell r="J35">
            <v>0</v>
          </cell>
          <cell r="L35">
            <v>0</v>
          </cell>
          <cell r="M35">
            <v>0</v>
          </cell>
          <cell r="N35">
            <v>0</v>
          </cell>
          <cell r="O35">
            <v>0</v>
          </cell>
          <cell r="P35">
            <v>0</v>
          </cell>
          <cell r="Q35">
            <v>0</v>
          </cell>
          <cell r="R35">
            <v>0</v>
          </cell>
          <cell r="S35">
            <v>0</v>
          </cell>
          <cell r="T35" t="str">
            <v/>
          </cell>
          <cell r="U35" t="str">
            <v/>
          </cell>
        </row>
        <row r="36">
          <cell r="A36">
            <v>31</v>
          </cell>
          <cell r="B36">
            <v>48</v>
          </cell>
          <cell r="E36" t="str">
            <v/>
          </cell>
          <cell r="F36">
            <v>0</v>
          </cell>
          <cell r="G36">
            <v>0</v>
          </cell>
          <cell r="H36">
            <v>0</v>
          </cell>
          <cell r="I36">
            <v>0</v>
          </cell>
          <cell r="J36">
            <v>0</v>
          </cell>
          <cell r="L36">
            <v>0</v>
          </cell>
          <cell r="M36">
            <v>0</v>
          </cell>
          <cell r="N36">
            <v>0</v>
          </cell>
          <cell r="O36">
            <v>0</v>
          </cell>
          <cell r="P36">
            <v>0</v>
          </cell>
          <cell r="Q36">
            <v>0</v>
          </cell>
          <cell r="R36">
            <v>0</v>
          </cell>
          <cell r="S36">
            <v>0</v>
          </cell>
          <cell r="T36" t="str">
            <v/>
          </cell>
          <cell r="U36" t="str">
            <v/>
          </cell>
        </row>
        <row r="37">
          <cell r="A37">
            <v>32</v>
          </cell>
          <cell r="B37">
            <v>52</v>
          </cell>
          <cell r="E37" t="str">
            <v/>
          </cell>
          <cell r="F37">
            <v>0</v>
          </cell>
          <cell r="G37">
            <v>0</v>
          </cell>
          <cell r="H37">
            <v>0</v>
          </cell>
          <cell r="I37">
            <v>0</v>
          </cell>
          <cell r="J37">
            <v>0</v>
          </cell>
          <cell r="L37">
            <v>0</v>
          </cell>
          <cell r="M37">
            <v>0</v>
          </cell>
          <cell r="N37">
            <v>0</v>
          </cell>
          <cell r="O37">
            <v>0</v>
          </cell>
          <cell r="P37">
            <v>0</v>
          </cell>
          <cell r="Q37">
            <v>0</v>
          </cell>
          <cell r="R37">
            <v>0</v>
          </cell>
          <cell r="S37">
            <v>0</v>
          </cell>
          <cell r="T37" t="str">
            <v/>
          </cell>
          <cell r="U37" t="str">
            <v/>
          </cell>
        </row>
        <row r="38">
          <cell r="A38">
            <v>33</v>
          </cell>
          <cell r="B38">
            <v>56</v>
          </cell>
          <cell r="E38" t="str">
            <v/>
          </cell>
          <cell r="F38">
            <v>0</v>
          </cell>
          <cell r="G38">
            <v>0</v>
          </cell>
          <cell r="H38">
            <v>0</v>
          </cell>
          <cell r="I38">
            <v>0</v>
          </cell>
          <cell r="J38">
            <v>0</v>
          </cell>
          <cell r="L38">
            <v>0</v>
          </cell>
          <cell r="M38">
            <v>0</v>
          </cell>
          <cell r="N38">
            <v>0</v>
          </cell>
          <cell r="O38">
            <v>0</v>
          </cell>
          <cell r="P38">
            <v>0</v>
          </cell>
          <cell r="Q38">
            <v>0</v>
          </cell>
          <cell r="R38">
            <v>0</v>
          </cell>
          <cell r="S38">
            <v>0</v>
          </cell>
          <cell r="T38" t="str">
            <v/>
          </cell>
          <cell r="U38" t="str">
            <v/>
          </cell>
        </row>
        <row r="39">
          <cell r="A39">
            <v>34</v>
          </cell>
          <cell r="B39">
            <v>60</v>
          </cell>
          <cell r="E39" t="str">
            <v/>
          </cell>
          <cell r="F39">
            <v>0</v>
          </cell>
          <cell r="G39">
            <v>0</v>
          </cell>
          <cell r="H39">
            <v>0</v>
          </cell>
          <cell r="I39">
            <v>0</v>
          </cell>
          <cell r="J39">
            <v>0</v>
          </cell>
          <cell r="L39">
            <v>0</v>
          </cell>
          <cell r="M39">
            <v>0</v>
          </cell>
          <cell r="N39">
            <v>0</v>
          </cell>
          <cell r="O39">
            <v>0</v>
          </cell>
          <cell r="P39">
            <v>0</v>
          </cell>
          <cell r="Q39">
            <v>0</v>
          </cell>
          <cell r="R39">
            <v>0</v>
          </cell>
          <cell r="S39">
            <v>0</v>
          </cell>
          <cell r="T39" t="str">
            <v/>
          </cell>
          <cell r="U39" t="str">
            <v/>
          </cell>
        </row>
        <row r="40">
          <cell r="A40">
            <v>35</v>
          </cell>
          <cell r="B40">
            <v>64</v>
          </cell>
          <cell r="E40" t="str">
            <v/>
          </cell>
          <cell r="F40">
            <v>0</v>
          </cell>
          <cell r="G40">
            <v>0</v>
          </cell>
          <cell r="H40">
            <v>0</v>
          </cell>
          <cell r="I40">
            <v>0</v>
          </cell>
          <cell r="J40">
            <v>0</v>
          </cell>
          <cell r="L40">
            <v>0</v>
          </cell>
          <cell r="M40">
            <v>0</v>
          </cell>
          <cell r="N40">
            <v>0</v>
          </cell>
          <cell r="O40">
            <v>0</v>
          </cell>
          <cell r="P40">
            <v>0</v>
          </cell>
          <cell r="Q40">
            <v>0</v>
          </cell>
          <cell r="R40">
            <v>0</v>
          </cell>
          <cell r="S40">
            <v>0</v>
          </cell>
          <cell r="T40" t="str">
            <v/>
          </cell>
          <cell r="U40" t="str">
            <v/>
          </cell>
        </row>
        <row r="41">
          <cell r="A41">
            <v>36</v>
          </cell>
          <cell r="B41">
            <v>68</v>
          </cell>
          <cell r="E41" t="str">
            <v/>
          </cell>
          <cell r="F41">
            <v>0</v>
          </cell>
          <cell r="G41">
            <v>0</v>
          </cell>
          <cell r="H41">
            <v>0</v>
          </cell>
          <cell r="I41">
            <v>0</v>
          </cell>
          <cell r="J41">
            <v>0</v>
          </cell>
          <cell r="L41">
            <v>0</v>
          </cell>
          <cell r="M41">
            <v>0</v>
          </cell>
          <cell r="N41">
            <v>0</v>
          </cell>
          <cell r="O41">
            <v>0</v>
          </cell>
          <cell r="P41">
            <v>0</v>
          </cell>
          <cell r="Q41">
            <v>0</v>
          </cell>
          <cell r="R41">
            <v>0</v>
          </cell>
          <cell r="S41">
            <v>0</v>
          </cell>
          <cell r="T41" t="str">
            <v/>
          </cell>
          <cell r="U41" t="str">
            <v/>
          </cell>
        </row>
        <row r="42">
          <cell r="A42">
            <v>37</v>
          </cell>
          <cell r="B42">
            <v>72</v>
          </cell>
          <cell r="E42" t="str">
            <v/>
          </cell>
          <cell r="F42">
            <v>0</v>
          </cell>
          <cell r="G42">
            <v>0</v>
          </cell>
          <cell r="H42">
            <v>0</v>
          </cell>
          <cell r="I42">
            <v>0</v>
          </cell>
          <cell r="J42">
            <v>0</v>
          </cell>
          <cell r="L42">
            <v>0</v>
          </cell>
          <cell r="M42">
            <v>0</v>
          </cell>
          <cell r="N42">
            <v>0</v>
          </cell>
          <cell r="O42">
            <v>0</v>
          </cell>
          <cell r="P42">
            <v>0</v>
          </cell>
          <cell r="Q42">
            <v>0</v>
          </cell>
          <cell r="R42">
            <v>0</v>
          </cell>
          <cell r="S42">
            <v>0</v>
          </cell>
          <cell r="T42" t="str">
            <v/>
          </cell>
          <cell r="U42" t="str">
            <v/>
          </cell>
        </row>
        <row r="43">
          <cell r="A43">
            <v>38</v>
          </cell>
          <cell r="B43">
            <v>76</v>
          </cell>
          <cell r="E43" t="str">
            <v/>
          </cell>
          <cell r="F43">
            <v>0</v>
          </cell>
          <cell r="G43">
            <v>0</v>
          </cell>
          <cell r="H43">
            <v>0</v>
          </cell>
          <cell r="I43">
            <v>0</v>
          </cell>
          <cell r="J43">
            <v>0</v>
          </cell>
          <cell r="L43">
            <v>0</v>
          </cell>
          <cell r="M43">
            <v>0</v>
          </cell>
          <cell r="N43">
            <v>0</v>
          </cell>
          <cell r="O43">
            <v>0</v>
          </cell>
          <cell r="P43">
            <v>0</v>
          </cell>
          <cell r="Q43">
            <v>0</v>
          </cell>
          <cell r="R43">
            <v>0</v>
          </cell>
          <cell r="S43">
            <v>0</v>
          </cell>
          <cell r="T43" t="str">
            <v/>
          </cell>
          <cell r="U43" t="str">
            <v/>
          </cell>
        </row>
        <row r="44">
          <cell r="A44">
            <v>39</v>
          </cell>
          <cell r="B44">
            <v>80</v>
          </cell>
          <cell r="E44" t="str">
            <v/>
          </cell>
          <cell r="F44">
            <v>0</v>
          </cell>
          <cell r="G44">
            <v>0</v>
          </cell>
          <cell r="H44">
            <v>0</v>
          </cell>
          <cell r="I44">
            <v>0</v>
          </cell>
          <cell r="J44">
            <v>0</v>
          </cell>
          <cell r="L44">
            <v>0</v>
          </cell>
          <cell r="M44">
            <v>0</v>
          </cell>
          <cell r="N44">
            <v>0</v>
          </cell>
          <cell r="O44">
            <v>0</v>
          </cell>
          <cell r="P44">
            <v>0</v>
          </cell>
          <cell r="Q44">
            <v>0</v>
          </cell>
          <cell r="R44">
            <v>0</v>
          </cell>
          <cell r="S44">
            <v>0</v>
          </cell>
          <cell r="T44" t="str">
            <v/>
          </cell>
          <cell r="U44" t="str">
            <v/>
          </cell>
        </row>
        <row r="45">
          <cell r="A45" t="str">
            <v>AVE.</v>
          </cell>
          <cell r="B45" t="str">
            <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t="str">
            <v/>
          </cell>
          <cell r="U45" t="str">
            <v/>
          </cell>
        </row>
        <row r="47">
          <cell r="A47" t="str">
            <v>*** Reference Paper : Predict Fittings For Piping Systems ***</v>
          </cell>
          <cell r="K47" t="str">
            <v>Fc = 0.25  Utility Supply Lines, OSBL</v>
          </cell>
          <cell r="R47" t="str">
            <v>Fc = 2.00  Manifold Type Piping</v>
          </cell>
        </row>
        <row r="48">
          <cell r="D48" t="str">
            <v xml:space="preserve">   By William B. Hooper , Monsanto Co.</v>
          </cell>
          <cell r="K48" t="str">
            <v xml:space="preserve">        (PIPE JOINT FACTOR Fp = 100%)</v>
          </cell>
          <cell r="R48" t="str">
            <v xml:space="preserve">        (PIPE JOINT FACTOR Fp = 0%)</v>
          </cell>
        </row>
        <row r="49">
          <cell r="K49" t="str">
            <v>Fc = 0.50  Long, Straight Piping Run</v>
          </cell>
          <cell r="R49" t="str">
            <v>Fc = 4.00  Very Complex Manifolds</v>
          </cell>
        </row>
        <row r="50">
          <cell r="A50" t="str">
            <v>The number and types of pipe fittings can be estimated by this method</v>
          </cell>
          <cell r="K50" t="str">
            <v xml:space="preserve">        (PIPE JOINT FACTOR Fp = 100%)</v>
          </cell>
          <cell r="R50" t="str">
            <v xml:space="preserve">        (PIPE JOINT FACTOR Fp = 0%)</v>
          </cell>
        </row>
        <row r="51">
          <cell r="A51" t="str">
            <v>long before the piping isometrics are done. Pipe size and a general idea</v>
          </cell>
          <cell r="K51" t="str">
            <v>Fc = 1.00  Normal Piping</v>
          </cell>
        </row>
        <row r="52">
          <cell r="A52" t="str">
            <v>of the system's complexity are all that is needed.</v>
          </cell>
          <cell r="K52" t="str">
            <v xml:space="preserve">        (PIPE JOINT FACTOR Fp = 10%)</v>
          </cell>
        </row>
      </sheetData>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ập liệu"/>
      <sheetName val="Nhập KQ"/>
      <sheetName val="DG PTTB"/>
      <sheetName val="Đơn giá lương"/>
      <sheetName val="Thông tin chung"/>
      <sheetName val="Thực tăng"/>
      <sheetName val="Lương PTTB"/>
      <sheetName val="Nhắn tin"/>
      <sheetName val="Lương QLTB"/>
      <sheetName val="Thuong DCTH"/>
      <sheetName val="Hiện hữu"/>
      <sheetName val="Cong bo Tbo thực tăng"/>
      <sheetName val="TBO PTTB"/>
      <sheetName val="TBO DCTH"/>
      <sheetName val="Bang luong"/>
      <sheetName val="Thu nhap"/>
      <sheetName val="Bao hiem"/>
      <sheetName val="Tam ứng"/>
      <sheetName val="Quy luong doanh thu"/>
      <sheetName val="Khen thuong"/>
      <sheetName val="Quỹ lương"/>
      <sheetName val="Dthu 2017"/>
      <sheetName val="Quỹ lương tổ"/>
      <sheetName val="Cong bo Dthu"/>
      <sheetName val="Thông báo"/>
      <sheetName val="Doanh thu CNTT"/>
      <sheetName val="KDTM"/>
      <sheetName val="Theo dõi luong"/>
      <sheetName val="Dthu duy tri"/>
      <sheetName val="Dthu thuc hien"/>
    </sheetNames>
    <sheetDataSet>
      <sheetData sheetId="0">
        <row r="5">
          <cell r="A5" t="str">
            <v>75018</v>
          </cell>
          <cell r="Z5" t="str">
            <v>05/2019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7">
          <cell r="A7" t="str">
            <v>75018</v>
          </cell>
        </row>
      </sheetData>
      <sheetData sheetId="16">
        <row r="3">
          <cell r="B3" t="str">
            <v>75018</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ma"/>
      <sheetName val="Thong tin"/>
      <sheetName val="an 01"/>
      <sheetName val="chung 02"/>
      <sheetName val="hung 03"/>
      <sheetName val="huê thi 04"/>
      <sheetName val="a thi 05"/>
      <sheetName val="qhao 06"/>
      <sheetName val="huy 07"/>
      <sheetName val="minh 08"/>
      <sheetName val="ẩn"/>
      <sheetName val="hào"/>
      <sheetName val="Tổng hợp"/>
      <sheetName val="ATM_ChuyenLuong"/>
      <sheetName val="Tổng hợp (2)"/>
      <sheetName val="Chuyen luong_2"/>
      <sheetName val="Sheet1"/>
    </sheetNames>
    <sheetDataSet>
      <sheetData sheetId="0"/>
      <sheetData sheetId="1">
        <row r="1">
          <cell r="B1" t="str">
            <v>Chợ Lách</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ma"/>
      <sheetName val="Thong tin"/>
      <sheetName val="minh01"/>
      <sheetName val="hào 02"/>
      <sheetName val="huy 03"/>
      <sheetName val="huệ thi 04"/>
      <sheetName val="an 05"/>
      <sheetName val="anh thi 06"/>
      <sheetName val="chung 07"/>
      <sheetName val="ẩn 08"/>
      <sheetName val="Tổng hợp"/>
      <sheetName val="NH"/>
      <sheetName val="Tổng hợp (2)"/>
      <sheetName val="Chuyen luong_2"/>
    </sheetNames>
    <sheetDataSet>
      <sheetData sheetId="0"/>
      <sheetData sheetId="1"/>
      <sheetData sheetId="2"/>
      <sheetData sheetId="3"/>
      <sheetData sheetId="4"/>
      <sheetData sheetId="5"/>
      <sheetData sheetId="6">
        <row r="42">
          <cell r="E42">
            <v>5102500</v>
          </cell>
        </row>
      </sheetData>
      <sheetData sheetId="7"/>
      <sheetData sheetId="8"/>
      <sheetData sheetId="9"/>
      <sheetData sheetId="10"/>
      <sheetData sheetId="1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h sách CTV"/>
      <sheetName val="Trang_tính1"/>
    </sheetNames>
    <sheetDataSet>
      <sheetData sheetId="0">
        <row r="3">
          <cell r="A3" t="str">
            <v>CTV023047</v>
          </cell>
          <cell r="B3" t="str">
            <v>VNP0230101</v>
          </cell>
          <cell r="C3" t="str">
            <v>Lê Thị Mộng Thủy</v>
          </cell>
          <cell r="D3" t="str">
            <v>LDGT</v>
          </cell>
          <cell r="E3">
            <v>4451200</v>
          </cell>
          <cell r="F3">
            <v>467376</v>
          </cell>
          <cell r="G3">
            <v>4718700</v>
          </cell>
        </row>
        <row r="4">
          <cell r="A4" t="str">
            <v>CTV020462</v>
          </cell>
          <cell r="B4" t="str">
            <v>VNP0230107</v>
          </cell>
          <cell r="C4" t="str">
            <v>Lê Trang Mỹ Nhiên</v>
          </cell>
          <cell r="D4" t="str">
            <v>LDGT</v>
          </cell>
          <cell r="E4">
            <v>3894800</v>
          </cell>
          <cell r="F4">
            <v>408954</v>
          </cell>
          <cell r="G4">
            <v>4130200.0000000005</v>
          </cell>
        </row>
        <row r="5">
          <cell r="A5" t="str">
            <v>CTV023011</v>
          </cell>
          <cell r="B5" t="str">
            <v>VNP0230102</v>
          </cell>
          <cell r="C5" t="str">
            <v>Nguyễn Thị Thu Hằng</v>
          </cell>
          <cell r="D5" t="str">
            <v>LDGT</v>
          </cell>
          <cell r="E5">
            <v>4451200</v>
          </cell>
          <cell r="F5">
            <v>467376</v>
          </cell>
          <cell r="G5">
            <v>4718700</v>
          </cell>
        </row>
        <row r="6">
          <cell r="A6" t="str">
            <v>CTV028284</v>
          </cell>
          <cell r="B6" t="str">
            <v>VNP0230110</v>
          </cell>
          <cell r="C6" t="str">
            <v>Trần Lâm Minh Thu</v>
          </cell>
          <cell r="D6" t="str">
            <v>LDGT</v>
          </cell>
          <cell r="E6">
            <v>4451200</v>
          </cell>
          <cell r="F6">
            <v>467376</v>
          </cell>
          <cell r="G6">
            <v>4718700</v>
          </cell>
        </row>
        <row r="7">
          <cell r="A7" t="str">
            <v>CTV028376</v>
          </cell>
          <cell r="B7" t="str">
            <v>VNP0230102</v>
          </cell>
          <cell r="C7" t="str">
            <v>Nguyễn Thị Huỳnh Ngân</v>
          </cell>
          <cell r="D7" t="str">
            <v>LDGT</v>
          </cell>
          <cell r="E7">
            <v>4451200</v>
          </cell>
          <cell r="F7">
            <v>467376</v>
          </cell>
          <cell r="G7">
            <v>4718700</v>
          </cell>
        </row>
        <row r="8">
          <cell r="A8" t="str">
            <v>CTV054887</v>
          </cell>
          <cell r="B8" t="str">
            <v>VNP0230113</v>
          </cell>
          <cell r="C8" t="str">
            <v>Nguyễn Thị Diệu Hương</v>
          </cell>
          <cell r="D8" t="str">
            <v>LDGT</v>
          </cell>
          <cell r="E8">
            <v>3894800</v>
          </cell>
          <cell r="F8">
            <v>408954</v>
          </cell>
          <cell r="G8">
            <v>4718700</v>
          </cell>
        </row>
        <row r="9">
          <cell r="A9" t="str">
            <v>CTV036516</v>
          </cell>
          <cell r="B9" t="str">
            <v>VNP0230102</v>
          </cell>
          <cell r="C9" t="str">
            <v>Nguyễn Dương Ngọc Linh</v>
          </cell>
          <cell r="D9" t="str">
            <v>LDGT</v>
          </cell>
          <cell r="E9">
            <v>4451200</v>
          </cell>
          <cell r="F9">
            <v>467376</v>
          </cell>
          <cell r="G9">
            <v>4718700</v>
          </cell>
        </row>
        <row r="10">
          <cell r="A10" t="str">
            <v>CTV075444</v>
          </cell>
          <cell r="B10" t="str">
            <v>VNP0230102</v>
          </cell>
          <cell r="C10" t="str">
            <v>Nguyễn Thị Cẩm Trúc</v>
          </cell>
          <cell r="D10" t="str">
            <v>LDGT</v>
          </cell>
          <cell r="E10">
            <v>4451200</v>
          </cell>
          <cell r="F10">
            <v>467376</v>
          </cell>
          <cell r="G10">
            <v>4718700</v>
          </cell>
        </row>
        <row r="11">
          <cell r="A11" t="str">
            <v>CTV086734</v>
          </cell>
          <cell r="B11" t="str">
            <v>VNP0230102</v>
          </cell>
          <cell r="C11" t="str">
            <v>Trần Thị Phương Dung</v>
          </cell>
          <cell r="D11" t="str">
            <v>LDGT</v>
          </cell>
          <cell r="E11">
            <v>4451200</v>
          </cell>
          <cell r="F11">
            <v>467376</v>
          </cell>
          <cell r="G11">
            <v>4718700</v>
          </cell>
        </row>
        <row r="12">
          <cell r="A12" t="str">
            <v>CTV040279</v>
          </cell>
          <cell r="B12" t="str">
            <v>VNP0230103</v>
          </cell>
          <cell r="C12" t="str">
            <v>Nguyễn Châu Đoan</v>
          </cell>
          <cell r="D12" t="str">
            <v>LDGT</v>
          </cell>
          <cell r="E12">
            <v>4451200</v>
          </cell>
          <cell r="F12">
            <v>467376</v>
          </cell>
          <cell r="G12">
            <v>4718700</v>
          </cell>
        </row>
        <row r="13">
          <cell r="A13" t="str">
            <v>CTV043657</v>
          </cell>
          <cell r="B13" t="str">
            <v>VNP0230103</v>
          </cell>
          <cell r="C13" t="str">
            <v>Võ Ngọc Ẩn</v>
          </cell>
          <cell r="D13" t="str">
            <v>LDGT</v>
          </cell>
          <cell r="E13">
            <v>4451200</v>
          </cell>
          <cell r="F13">
            <v>467376</v>
          </cell>
          <cell r="G13">
            <v>4718700</v>
          </cell>
        </row>
        <row r="14">
          <cell r="A14" t="str">
            <v>CTV054886</v>
          </cell>
          <cell r="B14" t="str">
            <v>VNP0230104</v>
          </cell>
          <cell r="C14" t="str">
            <v>Nguyễn Lê Hữu Duy</v>
          </cell>
          <cell r="D14" t="str">
            <v>LDGT</v>
          </cell>
          <cell r="E14">
            <v>4451200</v>
          </cell>
          <cell r="F14">
            <v>467376</v>
          </cell>
          <cell r="G14">
            <v>4718700</v>
          </cell>
        </row>
        <row r="15">
          <cell r="A15" t="str">
            <v>CTV023013</v>
          </cell>
          <cell r="B15" t="str">
            <v>VNP0230106</v>
          </cell>
          <cell r="C15" t="str">
            <v>Phạm Thị Thanh Thúy</v>
          </cell>
          <cell r="D15" t="str">
            <v>LDGT</v>
          </cell>
          <cell r="E15">
            <v>4451200</v>
          </cell>
          <cell r="F15">
            <v>467376</v>
          </cell>
          <cell r="G15">
            <v>4718700</v>
          </cell>
        </row>
        <row r="16">
          <cell r="A16" t="str">
            <v>CTV083931</v>
          </cell>
          <cell r="B16" t="str">
            <v>VNP0230106</v>
          </cell>
          <cell r="C16" t="str">
            <v>Võ Thị Thiên Kiều</v>
          </cell>
          <cell r="D16" t="str">
            <v>LDTT</v>
          </cell>
          <cell r="E16">
            <v>4451200</v>
          </cell>
          <cell r="F16">
            <v>467376</v>
          </cell>
          <cell r="G16">
            <v>4718700</v>
          </cell>
        </row>
        <row r="17">
          <cell r="A17" t="str">
            <v>CTV036515</v>
          </cell>
          <cell r="B17" t="str">
            <v>VNP0230106</v>
          </cell>
          <cell r="C17" t="str">
            <v>Huỳnh Thy Nga</v>
          </cell>
          <cell r="D17" t="str">
            <v>LDGT</v>
          </cell>
          <cell r="E17">
            <v>4451200</v>
          </cell>
          <cell r="F17">
            <v>467376</v>
          </cell>
          <cell r="G17">
            <v>4718700</v>
          </cell>
        </row>
        <row r="18">
          <cell r="A18" t="str">
            <v>CTV023023</v>
          </cell>
          <cell r="B18" t="str">
            <v>VNP0230107</v>
          </cell>
          <cell r="C18" t="str">
            <v>Dương Thị Kim Thoa</v>
          </cell>
          <cell r="D18" t="str">
            <v>LDTT</v>
          </cell>
          <cell r="E18">
            <v>3894800</v>
          </cell>
          <cell r="F18">
            <v>408954</v>
          </cell>
          <cell r="G18">
            <v>4130200.0000000005</v>
          </cell>
        </row>
        <row r="19">
          <cell r="A19" t="str">
            <v>CTV023024</v>
          </cell>
          <cell r="B19" t="str">
            <v>VNP0230107</v>
          </cell>
          <cell r="C19" t="str">
            <v>Bùi Thị Thu Trang</v>
          </cell>
          <cell r="D19" t="str">
            <v>LDGT</v>
          </cell>
          <cell r="E19">
            <v>3894800</v>
          </cell>
          <cell r="F19">
            <v>408954</v>
          </cell>
          <cell r="G19">
            <v>4130200.0000000005</v>
          </cell>
        </row>
        <row r="20">
          <cell r="A20" t="str">
            <v>CTV023032</v>
          </cell>
          <cell r="B20" t="str">
            <v>VNP0230108</v>
          </cell>
          <cell r="C20" t="str">
            <v>Nguyễn Thị Vỹ Hương Linh</v>
          </cell>
          <cell r="D20" t="str">
            <v>LDGT</v>
          </cell>
          <cell r="E20">
            <v>3477500</v>
          </cell>
          <cell r="F20">
            <v>365138</v>
          </cell>
          <cell r="G20">
            <v>3691500</v>
          </cell>
        </row>
        <row r="21">
          <cell r="A21" t="str">
            <v>CTV020464</v>
          </cell>
          <cell r="B21" t="str">
            <v>VNP0230109</v>
          </cell>
          <cell r="C21" t="str">
            <v>Nguyễn Thị Kim Thi</v>
          </cell>
          <cell r="D21" t="str">
            <v>LDGT</v>
          </cell>
          <cell r="E21">
            <v>3477500</v>
          </cell>
          <cell r="F21">
            <v>365138</v>
          </cell>
          <cell r="G21">
            <v>3691500</v>
          </cell>
        </row>
        <row r="22">
          <cell r="A22" t="str">
            <v>CTV045659</v>
          </cell>
          <cell r="B22" t="str">
            <v>VNP0230110</v>
          </cell>
          <cell r="C22" t="str">
            <v>Phan Thị Quyên</v>
          </cell>
          <cell r="D22" t="str">
            <v>LDGT</v>
          </cell>
          <cell r="E22">
            <v>4451200</v>
          </cell>
          <cell r="F22">
            <v>467376</v>
          </cell>
          <cell r="G22">
            <v>4718700</v>
          </cell>
        </row>
        <row r="23">
          <cell r="A23" t="str">
            <v>CTV023043</v>
          </cell>
          <cell r="B23" t="str">
            <v>VNP0230113</v>
          </cell>
          <cell r="C23" t="str">
            <v>Võ Phạm Huỳnh Trang</v>
          </cell>
          <cell r="D23" t="str">
            <v>LDGT</v>
          </cell>
          <cell r="E23">
            <v>3894800</v>
          </cell>
          <cell r="F23">
            <v>408954</v>
          </cell>
          <cell r="G23">
            <v>4130200.0000000005</v>
          </cell>
        </row>
        <row r="24">
          <cell r="A24" t="str">
            <v>CTV023224</v>
          </cell>
          <cell r="B24" t="str">
            <v>VNP0230105</v>
          </cell>
          <cell r="C24" t="str">
            <v>Huỳnh Thị Hoàng Linh</v>
          </cell>
          <cell r="D24" t="str">
            <v>LDTT</v>
          </cell>
          <cell r="E24">
            <v>4451200</v>
          </cell>
          <cell r="F24">
            <v>467376</v>
          </cell>
          <cell r="G24">
            <v>4718700</v>
          </cell>
        </row>
        <row r="25">
          <cell r="A25" t="str">
            <v>CTV023225</v>
          </cell>
          <cell r="B25" t="str">
            <v>VNP0230105</v>
          </cell>
          <cell r="C25" t="str">
            <v>Nguyễn Thị Diện</v>
          </cell>
          <cell r="D25" t="str">
            <v>LDTT</v>
          </cell>
          <cell r="E25">
            <v>4451200</v>
          </cell>
          <cell r="F25">
            <v>467376</v>
          </cell>
          <cell r="G25">
            <v>4718700</v>
          </cell>
        </row>
        <row r="26">
          <cell r="A26" t="str">
            <v>CTV023012</v>
          </cell>
          <cell r="B26" t="str">
            <v>VNP0230106</v>
          </cell>
          <cell r="C26" t="str">
            <v>Lê Thị Hồng Nhung</v>
          </cell>
          <cell r="D26" t="str">
            <v>LDTT</v>
          </cell>
          <cell r="E26">
            <v>4451200</v>
          </cell>
          <cell r="F26">
            <v>467376</v>
          </cell>
          <cell r="G26">
            <v>4718700</v>
          </cell>
        </row>
        <row r="27">
          <cell r="A27" t="str">
            <v>CTV023014</v>
          </cell>
          <cell r="B27" t="str">
            <v>VNP0230110</v>
          </cell>
          <cell r="C27" t="str">
            <v>Trần Thị Thanh Trúc</v>
          </cell>
          <cell r="D27" t="str">
            <v>LDTT</v>
          </cell>
          <cell r="E27">
            <v>4451200</v>
          </cell>
          <cell r="F27">
            <v>467376</v>
          </cell>
          <cell r="G27">
            <v>4718700</v>
          </cell>
        </row>
        <row r="28">
          <cell r="A28" t="str">
            <v>CTV023015</v>
          </cell>
          <cell r="B28" t="str">
            <v>VNP0230106</v>
          </cell>
          <cell r="C28" t="str">
            <v>Đào Thị Thúy An</v>
          </cell>
          <cell r="D28" t="str">
            <v>LDTT</v>
          </cell>
          <cell r="E28">
            <v>4451200</v>
          </cell>
          <cell r="F28">
            <v>467376</v>
          </cell>
          <cell r="G28">
            <v>4718700</v>
          </cell>
        </row>
        <row r="29">
          <cell r="A29" t="str">
            <v>CTV023018</v>
          </cell>
          <cell r="B29" t="str">
            <v>VNP0230106</v>
          </cell>
          <cell r="C29" t="str">
            <v>Võ Thị Tuyết Vân</v>
          </cell>
          <cell r="D29" t="str">
            <v>LDTT</v>
          </cell>
          <cell r="E29">
            <v>4451200</v>
          </cell>
          <cell r="F29">
            <v>467376</v>
          </cell>
          <cell r="G29">
            <v>4718700</v>
          </cell>
        </row>
        <row r="30">
          <cell r="A30" t="str">
            <v>CTV028578</v>
          </cell>
          <cell r="B30" t="str">
            <v>VNP0230103</v>
          </cell>
          <cell r="C30" t="str">
            <v>Hồ Như Gương</v>
          </cell>
          <cell r="D30" t="str">
            <v>LDGT</v>
          </cell>
          <cell r="E30">
            <v>4451200</v>
          </cell>
          <cell r="F30">
            <v>467376</v>
          </cell>
          <cell r="G30">
            <v>4718700</v>
          </cell>
        </row>
        <row r="31">
          <cell r="A31" t="str">
            <v>CTV086353</v>
          </cell>
          <cell r="B31" t="str">
            <v>VNP0230106</v>
          </cell>
          <cell r="C31" t="str">
            <v>Mai Thị Hoa Lan</v>
          </cell>
          <cell r="D31" t="str">
            <v>LDTT</v>
          </cell>
          <cell r="E31">
            <v>4451200</v>
          </cell>
          <cell r="F31">
            <v>467376</v>
          </cell>
          <cell r="G31">
            <v>4718700</v>
          </cell>
        </row>
        <row r="32">
          <cell r="A32" t="str">
            <v>CTV074412</v>
          </cell>
          <cell r="B32" t="str">
            <v>VNP0230106</v>
          </cell>
          <cell r="C32" t="str">
            <v>Phan Thị Kim Đính</v>
          </cell>
          <cell r="D32" t="str">
            <v>LDTT</v>
          </cell>
          <cell r="E32">
            <v>4451200</v>
          </cell>
          <cell r="F32">
            <v>467376</v>
          </cell>
          <cell r="G32">
            <v>4718700</v>
          </cell>
        </row>
        <row r="33">
          <cell r="A33" t="str">
            <v>CTV079091</v>
          </cell>
          <cell r="B33" t="str">
            <v>VNP0230106</v>
          </cell>
          <cell r="C33" t="str">
            <v>Nguyễn Thị Xuân Lan</v>
          </cell>
          <cell r="D33" t="str">
            <v>LDTT</v>
          </cell>
          <cell r="E33">
            <v>4451200</v>
          </cell>
          <cell r="F33">
            <v>467376</v>
          </cell>
          <cell r="G33">
            <v>4718700</v>
          </cell>
        </row>
        <row r="34">
          <cell r="A34" t="str">
            <v>CTV076984</v>
          </cell>
          <cell r="B34" t="str">
            <v>VNP0230111</v>
          </cell>
          <cell r="C34" t="str">
            <v>Võ Trường Thịnh</v>
          </cell>
          <cell r="D34" t="str">
            <v>LDTT</v>
          </cell>
          <cell r="E34">
            <v>3477500</v>
          </cell>
          <cell r="F34">
            <v>365138</v>
          </cell>
          <cell r="G34">
            <v>3691500</v>
          </cell>
        </row>
        <row r="35">
          <cell r="A35" t="str">
            <v>CTV082602</v>
          </cell>
          <cell r="B35" t="str">
            <v>VNP0230106</v>
          </cell>
          <cell r="C35" t="str">
            <v>Ngô Nguyễn Huỳnh Như</v>
          </cell>
          <cell r="D35" t="str">
            <v>LDTT</v>
          </cell>
          <cell r="E35">
            <v>4451200</v>
          </cell>
          <cell r="F35">
            <v>467376</v>
          </cell>
          <cell r="G35">
            <v>4718700</v>
          </cell>
        </row>
        <row r="36">
          <cell r="A36" t="str">
            <v>CTV085393</v>
          </cell>
          <cell r="B36" t="str">
            <v>VNP0230106</v>
          </cell>
          <cell r="C36" t="str">
            <v>Nguyễn Lê Nguyệt Lâm</v>
          </cell>
          <cell r="D36" t="str">
            <v>LDTT</v>
          </cell>
          <cell r="E36">
            <v>4451200</v>
          </cell>
          <cell r="F36">
            <v>467376</v>
          </cell>
          <cell r="G36">
            <v>4718700</v>
          </cell>
        </row>
        <row r="37">
          <cell r="A37" t="str">
            <v>CTV023026</v>
          </cell>
          <cell r="B37" t="str">
            <v>VNP0230107</v>
          </cell>
          <cell r="C37" t="str">
            <v>Lê Thanh Quyên</v>
          </cell>
          <cell r="D37" t="str">
            <v>LDTT</v>
          </cell>
          <cell r="E37">
            <v>3894800</v>
          </cell>
          <cell r="F37">
            <v>408954</v>
          </cell>
          <cell r="G37">
            <v>4130200.0000000005</v>
          </cell>
        </row>
        <row r="38">
          <cell r="A38" t="str">
            <v>CTV023027</v>
          </cell>
          <cell r="B38" t="str">
            <v>VNP0230107</v>
          </cell>
          <cell r="C38" t="str">
            <v>Lê Thị Kim Loan</v>
          </cell>
          <cell r="D38" t="str">
            <v>LDTT</v>
          </cell>
          <cell r="E38">
            <v>3894800</v>
          </cell>
          <cell r="F38">
            <v>408954</v>
          </cell>
          <cell r="G38">
            <v>4130200.0000000005</v>
          </cell>
        </row>
        <row r="39">
          <cell r="A39" t="str">
            <v>CTV023069</v>
          </cell>
          <cell r="B39" t="str">
            <v>VNP0230107</v>
          </cell>
          <cell r="C39" t="str">
            <v>Nguyễn Lê Thanh</v>
          </cell>
          <cell r="D39" t="str">
            <v>LDTT</v>
          </cell>
          <cell r="E39">
            <v>3894800</v>
          </cell>
          <cell r="F39">
            <v>408954</v>
          </cell>
          <cell r="G39">
            <v>4130200.0000000005</v>
          </cell>
        </row>
        <row r="40">
          <cell r="A40" t="str">
            <v>CTV023071</v>
          </cell>
          <cell r="B40" t="str">
            <v>VNP0230107</v>
          </cell>
          <cell r="C40" t="str">
            <v>Trần Văn Cảnh</v>
          </cell>
          <cell r="D40" t="str">
            <v>LDTT</v>
          </cell>
          <cell r="E40">
            <v>3894800</v>
          </cell>
          <cell r="F40">
            <v>408954</v>
          </cell>
          <cell r="G40">
            <v>4130200.0000000005</v>
          </cell>
        </row>
        <row r="41">
          <cell r="A41" t="str">
            <v>CTV023207</v>
          </cell>
          <cell r="B41" t="str">
            <v>VNP0230107</v>
          </cell>
          <cell r="C41" t="str">
            <v>Nguyễn Thị Ngọc Diệp</v>
          </cell>
          <cell r="D41" t="str">
            <v>LDTT</v>
          </cell>
          <cell r="E41">
            <v>3894800</v>
          </cell>
          <cell r="F41">
            <v>408954</v>
          </cell>
          <cell r="G41">
            <v>4130200.0000000005</v>
          </cell>
        </row>
        <row r="42">
          <cell r="A42" t="str">
            <v>CTV028599</v>
          </cell>
          <cell r="B42" t="str">
            <v>VNP0230107</v>
          </cell>
          <cell r="C42" t="str">
            <v>Nguyễn Thị Trúc Mai</v>
          </cell>
          <cell r="D42" t="str">
            <v>LDTT</v>
          </cell>
          <cell r="E42">
            <v>3894800</v>
          </cell>
          <cell r="F42">
            <v>408954</v>
          </cell>
          <cell r="G42">
            <v>4130200.0000000005</v>
          </cell>
        </row>
        <row r="43">
          <cell r="A43" t="str">
            <v>CTV028603</v>
          </cell>
          <cell r="B43" t="str">
            <v>VNP0230107</v>
          </cell>
          <cell r="C43" t="str">
            <v>Lữ Thị Tuyết Loan</v>
          </cell>
          <cell r="D43" t="str">
            <v>LDTT</v>
          </cell>
          <cell r="E43">
            <v>3894800</v>
          </cell>
          <cell r="F43">
            <v>408954</v>
          </cell>
          <cell r="G43">
            <v>4130200.0000000005</v>
          </cell>
        </row>
        <row r="44">
          <cell r="A44" t="str">
            <v>CTV055530</v>
          </cell>
          <cell r="B44" t="str">
            <v>VNP0230107</v>
          </cell>
          <cell r="C44" t="str">
            <v>Phạm Trung Quân</v>
          </cell>
          <cell r="D44" t="str">
            <v>LDTT</v>
          </cell>
          <cell r="E44">
            <v>3894800</v>
          </cell>
          <cell r="F44">
            <v>408954</v>
          </cell>
          <cell r="G44">
            <v>4130200.0000000005</v>
          </cell>
        </row>
        <row r="45">
          <cell r="A45" t="str">
            <v>CTV072905</v>
          </cell>
          <cell r="B45" t="str">
            <v>VNP0230107</v>
          </cell>
          <cell r="C45" t="str">
            <v>Nguyễn Thành Trung</v>
          </cell>
          <cell r="D45" t="str">
            <v>LDTT</v>
          </cell>
          <cell r="E45">
            <v>3894800</v>
          </cell>
          <cell r="F45">
            <v>408954</v>
          </cell>
          <cell r="G45">
            <v>4130200.0000000005</v>
          </cell>
        </row>
        <row r="46">
          <cell r="A46" t="str">
            <v>CTV083203</v>
          </cell>
          <cell r="B46" t="str">
            <v>VNP0230107</v>
          </cell>
          <cell r="C46" t="str">
            <v>Lưu Thị Trúc Giang</v>
          </cell>
          <cell r="D46" t="str">
            <v>LDGT</v>
          </cell>
          <cell r="E46">
            <v>3894800</v>
          </cell>
          <cell r="F46">
            <v>408954</v>
          </cell>
          <cell r="G46">
            <v>4130200.0000000005</v>
          </cell>
        </row>
        <row r="47">
          <cell r="A47" t="str">
            <v>CTV080670</v>
          </cell>
          <cell r="B47" t="str">
            <v>VNP0230107</v>
          </cell>
          <cell r="C47" t="str">
            <v>Trần Thị Phượng Linh</v>
          </cell>
          <cell r="D47" t="str">
            <v>LDTT</v>
          </cell>
          <cell r="E47">
            <v>3894800</v>
          </cell>
          <cell r="F47">
            <v>408954</v>
          </cell>
          <cell r="G47">
            <v>4130200.0000000005</v>
          </cell>
        </row>
        <row r="48">
          <cell r="A48" t="str">
            <v>CTV023131</v>
          </cell>
          <cell r="B48" t="str">
            <v>VNP0230108</v>
          </cell>
          <cell r="C48" t="str">
            <v>Lê Thị Linh Phương</v>
          </cell>
          <cell r="D48" t="str">
            <v>LDTT</v>
          </cell>
          <cell r="E48">
            <v>3477500</v>
          </cell>
          <cell r="F48">
            <v>365138</v>
          </cell>
          <cell r="G48">
            <v>3691500</v>
          </cell>
        </row>
        <row r="49">
          <cell r="A49" t="str">
            <v>CTV028655</v>
          </cell>
          <cell r="B49" t="str">
            <v>VNP0230108</v>
          </cell>
          <cell r="C49" t="str">
            <v>Nguyễn Khắc Huy</v>
          </cell>
          <cell r="D49" t="str">
            <v>LDTT</v>
          </cell>
          <cell r="E49">
            <v>3477500</v>
          </cell>
          <cell r="F49">
            <v>365138</v>
          </cell>
          <cell r="G49">
            <v>3691500</v>
          </cell>
        </row>
        <row r="50">
          <cell r="A50" t="str">
            <v>CTV038176</v>
          </cell>
          <cell r="B50" t="str">
            <v>VNP0230108</v>
          </cell>
          <cell r="C50" t="str">
            <v>Nguyễn Thanh Hằng</v>
          </cell>
          <cell r="D50" t="str">
            <v>LDTT</v>
          </cell>
          <cell r="E50">
            <v>3477500</v>
          </cell>
          <cell r="F50">
            <v>365138</v>
          </cell>
          <cell r="G50">
            <v>3691500</v>
          </cell>
        </row>
        <row r="51">
          <cell r="A51" t="str">
            <v>CTV082451</v>
          </cell>
          <cell r="B51" t="str">
            <v>VNP0230108</v>
          </cell>
          <cell r="C51" t="str">
            <v>Phan Nguyễn Lan Phương</v>
          </cell>
          <cell r="D51" t="str">
            <v>LDTT</v>
          </cell>
          <cell r="E51">
            <v>3477500</v>
          </cell>
          <cell r="F51">
            <v>365138</v>
          </cell>
          <cell r="G51">
            <v>3691500</v>
          </cell>
        </row>
        <row r="52">
          <cell r="A52" t="str">
            <v>CTV082450</v>
          </cell>
          <cell r="B52" t="str">
            <v>VNP0230108</v>
          </cell>
          <cell r="C52" t="str">
            <v>Phan Thành Hiếu</v>
          </cell>
          <cell r="D52" t="str">
            <v>LDTT</v>
          </cell>
          <cell r="E52">
            <v>3477500</v>
          </cell>
          <cell r="F52">
            <v>365138</v>
          </cell>
          <cell r="G52">
            <v>3691500</v>
          </cell>
        </row>
        <row r="53">
          <cell r="A53" t="str">
            <v>CTV086349</v>
          </cell>
          <cell r="B53" t="str">
            <v>VNP0230108</v>
          </cell>
          <cell r="C53" t="str">
            <v>Nguyễn Thị Tuyết Sang</v>
          </cell>
          <cell r="D53" t="str">
            <v>LDTT</v>
          </cell>
          <cell r="E53">
            <v>3477500</v>
          </cell>
          <cell r="F53">
            <v>365138</v>
          </cell>
          <cell r="G53">
            <v>3691500</v>
          </cell>
        </row>
        <row r="54">
          <cell r="A54" t="str">
            <v>CTV023029</v>
          </cell>
          <cell r="B54" t="str">
            <v>VNP0230109</v>
          </cell>
          <cell r="C54" t="str">
            <v>Mai Thị Thùy</v>
          </cell>
          <cell r="D54" t="str">
            <v>LDTT</v>
          </cell>
          <cell r="E54">
            <v>3477500</v>
          </cell>
          <cell r="F54">
            <v>365138</v>
          </cell>
          <cell r="G54">
            <v>3691500</v>
          </cell>
        </row>
        <row r="55">
          <cell r="A55" t="str">
            <v>CTV023030</v>
          </cell>
          <cell r="B55" t="str">
            <v>VNP0230109</v>
          </cell>
          <cell r="C55" t="str">
            <v>Nguyễn Thị  Lan Phương</v>
          </cell>
          <cell r="D55" t="str">
            <v>LDTT</v>
          </cell>
          <cell r="E55">
            <v>3477500</v>
          </cell>
          <cell r="F55">
            <v>365138</v>
          </cell>
          <cell r="G55">
            <v>3691500</v>
          </cell>
        </row>
        <row r="56">
          <cell r="A56" t="str">
            <v>CTV028601</v>
          </cell>
          <cell r="B56" t="str">
            <v>VNP0230109</v>
          </cell>
          <cell r="C56" t="str">
            <v>Huỳnh Nguyễn Giao Hân</v>
          </cell>
          <cell r="D56" t="str">
            <v>LDTT</v>
          </cell>
          <cell r="E56">
            <v>3477500</v>
          </cell>
          <cell r="F56">
            <v>365138</v>
          </cell>
          <cell r="G56">
            <v>3691500</v>
          </cell>
        </row>
        <row r="57">
          <cell r="A57" t="str">
            <v>CTV035279</v>
          </cell>
          <cell r="B57" t="str">
            <v>VNP0230109</v>
          </cell>
          <cell r="C57" t="str">
            <v>Lê Văn Giàu</v>
          </cell>
          <cell r="D57" t="str">
            <v>LDTT</v>
          </cell>
          <cell r="E57">
            <v>3477500</v>
          </cell>
          <cell r="F57">
            <v>365138</v>
          </cell>
          <cell r="G57">
            <v>3691500</v>
          </cell>
        </row>
        <row r="58">
          <cell r="A58" t="str">
            <v>CTV036506</v>
          </cell>
          <cell r="B58" t="str">
            <v>VNP0230107</v>
          </cell>
          <cell r="C58" t="str">
            <v>Bùi Tấn Đạt</v>
          </cell>
          <cell r="D58" t="str">
            <v>LDTT</v>
          </cell>
          <cell r="E58">
            <v>3894800</v>
          </cell>
          <cell r="F58">
            <v>408954</v>
          </cell>
          <cell r="G58">
            <v>4130200.0000000005</v>
          </cell>
        </row>
        <row r="59">
          <cell r="A59" t="str">
            <v>CTV087041</v>
          </cell>
          <cell r="B59" t="str">
            <v>VNP0230109</v>
          </cell>
          <cell r="C59" t="str">
            <v>Nguyễn Ngọc Linh Đan</v>
          </cell>
          <cell r="D59" t="str">
            <v>LDTT</v>
          </cell>
          <cell r="E59">
            <v>3477500</v>
          </cell>
          <cell r="F59">
            <v>365138</v>
          </cell>
          <cell r="G59">
            <v>3691500</v>
          </cell>
        </row>
        <row r="60">
          <cell r="A60" t="str">
            <v>CTV023019</v>
          </cell>
          <cell r="B60" t="str">
            <v>VNP0230110</v>
          </cell>
          <cell r="C60" t="str">
            <v>Hồ Thanh Liêm</v>
          </cell>
          <cell r="D60" t="str">
            <v>LDTT</v>
          </cell>
          <cell r="E60">
            <v>4451200</v>
          </cell>
          <cell r="F60">
            <v>467376</v>
          </cell>
          <cell r="G60">
            <v>4718700</v>
          </cell>
        </row>
        <row r="61">
          <cell r="A61" t="str">
            <v>CTV028602</v>
          </cell>
          <cell r="B61" t="str">
            <v>VNP0230110</v>
          </cell>
          <cell r="C61" t="str">
            <v>Nguyễn Thanh Trúc</v>
          </cell>
          <cell r="D61" t="str">
            <v>LDTT</v>
          </cell>
          <cell r="E61">
            <v>4451200</v>
          </cell>
          <cell r="F61">
            <v>467376</v>
          </cell>
          <cell r="G61">
            <v>4718700</v>
          </cell>
        </row>
        <row r="62">
          <cell r="A62" t="str">
            <v>CTV031867</v>
          </cell>
          <cell r="B62" t="str">
            <v>VNP0230111</v>
          </cell>
          <cell r="C62" t="str">
            <v>Nguyễn Thị Ngọc Ngoan</v>
          </cell>
          <cell r="D62" t="str">
            <v>LDTT</v>
          </cell>
          <cell r="E62">
            <v>3477500</v>
          </cell>
          <cell r="F62">
            <v>365138</v>
          </cell>
          <cell r="G62">
            <v>3691500</v>
          </cell>
        </row>
        <row r="63">
          <cell r="A63" t="str">
            <v>CTV041732</v>
          </cell>
          <cell r="B63" t="str">
            <v>VNP0230110</v>
          </cell>
          <cell r="C63" t="str">
            <v>Lê Chí Cường</v>
          </cell>
          <cell r="D63" t="str">
            <v>LDTT</v>
          </cell>
          <cell r="E63">
            <v>4451200</v>
          </cell>
          <cell r="F63">
            <v>467376</v>
          </cell>
          <cell r="G63">
            <v>4718700</v>
          </cell>
        </row>
        <row r="64">
          <cell r="A64" t="str">
            <v>CTV059753</v>
          </cell>
          <cell r="B64" t="str">
            <v>VNP0230110</v>
          </cell>
          <cell r="C64" t="str">
            <v>Nguyễn Hữu Nhân</v>
          </cell>
          <cell r="D64" t="str">
            <v>LDTT</v>
          </cell>
          <cell r="E64">
            <v>4451200</v>
          </cell>
          <cell r="F64">
            <v>467376</v>
          </cell>
          <cell r="G64">
            <v>4718700</v>
          </cell>
        </row>
        <row r="65">
          <cell r="A65" t="str">
            <v>CTV075851</v>
          </cell>
          <cell r="B65" t="str">
            <v>VNP0230110</v>
          </cell>
          <cell r="C65" t="str">
            <v>Đoàn Thị Như Ý</v>
          </cell>
          <cell r="D65" t="str">
            <v>LDTT</v>
          </cell>
          <cell r="E65">
            <v>4451200</v>
          </cell>
          <cell r="F65">
            <v>467376</v>
          </cell>
          <cell r="G65">
            <v>4718700</v>
          </cell>
        </row>
        <row r="66">
          <cell r="A66" t="str">
            <v>CTV023034</v>
          </cell>
          <cell r="B66" t="str">
            <v>VNP0230111</v>
          </cell>
          <cell r="C66" t="str">
            <v>Nguyễn Văn Thanh Bình</v>
          </cell>
          <cell r="D66" t="str">
            <v>LDTT</v>
          </cell>
          <cell r="E66">
            <v>3477500</v>
          </cell>
          <cell r="F66">
            <v>365138</v>
          </cell>
          <cell r="G66">
            <v>3691500</v>
          </cell>
        </row>
        <row r="67">
          <cell r="A67" t="str">
            <v>CTV023035</v>
          </cell>
          <cell r="B67" t="str">
            <v>VNP0230111</v>
          </cell>
          <cell r="C67" t="str">
            <v>Trần Thị Bé Muội</v>
          </cell>
          <cell r="D67" t="str">
            <v>LDTT</v>
          </cell>
          <cell r="E67">
            <v>3477500</v>
          </cell>
          <cell r="F67">
            <v>365138</v>
          </cell>
          <cell r="G67">
            <v>3691500</v>
          </cell>
        </row>
        <row r="68">
          <cell r="A68" t="str">
            <v>CTV083070</v>
          </cell>
          <cell r="B68" t="str">
            <v>VNP0230111</v>
          </cell>
          <cell r="C68" t="str">
            <v>Lê Duy Thịnh</v>
          </cell>
          <cell r="D68" t="str">
            <v>LDTT</v>
          </cell>
          <cell r="E68">
            <v>3477500</v>
          </cell>
          <cell r="F68">
            <v>365138</v>
          </cell>
          <cell r="G68">
            <v>3691500</v>
          </cell>
        </row>
        <row r="69">
          <cell r="A69" t="str">
            <v>CTV023033</v>
          </cell>
          <cell r="B69" t="str">
            <v>VNP0230112</v>
          </cell>
          <cell r="C69" t="str">
            <v>Nguyễn Thị Thu Lan</v>
          </cell>
          <cell r="D69" t="str">
            <v>LDGT</v>
          </cell>
          <cell r="E69">
            <v>3894800</v>
          </cell>
          <cell r="F69">
            <v>408954</v>
          </cell>
          <cell r="G69">
            <v>4130200.0000000005</v>
          </cell>
        </row>
        <row r="70">
          <cell r="A70" t="str">
            <v>CTV086744</v>
          </cell>
          <cell r="B70" t="str">
            <v>VNP0230112</v>
          </cell>
          <cell r="C70" t="str">
            <v>Trần Ngô Thúy Vy</v>
          </cell>
          <cell r="D70" t="str">
            <v>LDTT</v>
          </cell>
          <cell r="E70">
            <v>3894800</v>
          </cell>
          <cell r="F70">
            <v>408954</v>
          </cell>
          <cell r="G70">
            <v>4130200.0000000005</v>
          </cell>
        </row>
        <row r="71">
          <cell r="A71" t="str">
            <v>CTV041556</v>
          </cell>
          <cell r="B71" t="str">
            <v>VNP0230112</v>
          </cell>
          <cell r="C71" t="str">
            <v>Đặng La Đô</v>
          </cell>
          <cell r="D71" t="str">
            <v>LDTT</v>
          </cell>
          <cell r="E71">
            <v>3894800</v>
          </cell>
          <cell r="F71">
            <v>408954</v>
          </cell>
          <cell r="G71">
            <v>4130200.0000000005</v>
          </cell>
        </row>
        <row r="72">
          <cell r="A72" t="str">
            <v>CTV049292</v>
          </cell>
          <cell r="B72" t="str">
            <v>VNP0230112</v>
          </cell>
          <cell r="C72" t="str">
            <v>Nguyễn Hữu Trọng</v>
          </cell>
          <cell r="D72" t="str">
            <v>LDTT</v>
          </cell>
          <cell r="E72">
            <v>3894800</v>
          </cell>
          <cell r="F72">
            <v>408954</v>
          </cell>
          <cell r="G72">
            <v>4130200.0000000005</v>
          </cell>
        </row>
        <row r="73">
          <cell r="A73" t="str">
            <v>CTV055621</v>
          </cell>
          <cell r="B73" t="str">
            <v>VNP0230112</v>
          </cell>
          <cell r="C73" t="str">
            <v>Nguyễn Phương Duy</v>
          </cell>
          <cell r="D73" t="str">
            <v>LDTT</v>
          </cell>
          <cell r="E73">
            <v>3894800</v>
          </cell>
          <cell r="F73">
            <v>408954</v>
          </cell>
          <cell r="G73">
            <v>4130200.0000000005</v>
          </cell>
        </row>
        <row r="74">
          <cell r="A74" t="str">
            <v>CTV085612</v>
          </cell>
          <cell r="B74" t="str">
            <v>VNP0230112</v>
          </cell>
          <cell r="C74" t="str">
            <v>Đào Thị Vỏi</v>
          </cell>
          <cell r="D74" t="str">
            <v>LDTT</v>
          </cell>
          <cell r="E74">
            <v>3894800</v>
          </cell>
          <cell r="F74">
            <v>408954</v>
          </cell>
          <cell r="G74">
            <v>4130200.0000000005</v>
          </cell>
        </row>
        <row r="75">
          <cell r="A75" t="str">
            <v>CTV023040</v>
          </cell>
          <cell r="B75" t="str">
            <v>VNP0230113</v>
          </cell>
          <cell r="C75" t="str">
            <v>Trần Thị Thảo Phương</v>
          </cell>
          <cell r="D75" t="str">
            <v>LDTT</v>
          </cell>
          <cell r="E75">
            <v>3894800</v>
          </cell>
          <cell r="F75">
            <v>408954</v>
          </cell>
          <cell r="G75">
            <v>4130200.0000000005</v>
          </cell>
        </row>
        <row r="76">
          <cell r="A76" t="str">
            <v>CTV023041</v>
          </cell>
          <cell r="B76" t="str">
            <v>VNP0230113</v>
          </cell>
          <cell r="C76" t="str">
            <v>Phan Thị Mỹ Hảo</v>
          </cell>
          <cell r="D76" t="str">
            <v>LDTT</v>
          </cell>
          <cell r="E76">
            <v>3894800</v>
          </cell>
          <cell r="F76">
            <v>408954</v>
          </cell>
          <cell r="G76">
            <v>4130200.0000000005</v>
          </cell>
        </row>
        <row r="77">
          <cell r="A77" t="str">
            <v>CTV023209</v>
          </cell>
          <cell r="B77" t="str">
            <v>VNP0230113</v>
          </cell>
          <cell r="C77" t="str">
            <v>Phan Trần Đức Ngân</v>
          </cell>
          <cell r="D77" t="str">
            <v>LDTT</v>
          </cell>
          <cell r="E77">
            <v>3894800</v>
          </cell>
          <cell r="F77">
            <v>408954</v>
          </cell>
          <cell r="G77">
            <v>4130200.0000000005</v>
          </cell>
        </row>
        <row r="78">
          <cell r="A78" t="str">
            <v>CTV036722</v>
          </cell>
          <cell r="B78" t="str">
            <v>VNP0230113</v>
          </cell>
          <cell r="C78" t="str">
            <v>Nguyễn Thành Long</v>
          </cell>
          <cell r="D78" t="str">
            <v>LDTT</v>
          </cell>
          <cell r="E78">
            <v>3894800</v>
          </cell>
          <cell r="F78">
            <v>408954</v>
          </cell>
          <cell r="G78">
            <v>4130200.0000000005</v>
          </cell>
        </row>
        <row r="79">
          <cell r="A79" t="str">
            <v>CTV036747</v>
          </cell>
          <cell r="B79" t="str">
            <v>VNP0230113</v>
          </cell>
          <cell r="C79" t="str">
            <v>Hà Thị Trúc Huỳnh</v>
          </cell>
          <cell r="D79" t="str">
            <v>LDTT</v>
          </cell>
          <cell r="E79">
            <v>3894800</v>
          </cell>
          <cell r="F79">
            <v>408954</v>
          </cell>
          <cell r="G79">
            <v>4130200.0000000005</v>
          </cell>
        </row>
        <row r="80">
          <cell r="A80" t="str">
            <v>CTV058438</v>
          </cell>
          <cell r="B80" t="str">
            <v>VNP0230113</v>
          </cell>
          <cell r="C80" t="str">
            <v>Trần Thị Ngọc Tuyền</v>
          </cell>
          <cell r="D80" t="str">
            <v>LDTT</v>
          </cell>
          <cell r="E80">
            <v>3894800</v>
          </cell>
          <cell r="F80">
            <v>408954</v>
          </cell>
          <cell r="G80">
            <v>4130200.0000000005</v>
          </cell>
        </row>
        <row r="81">
          <cell r="A81" t="str">
            <v>CTV040525</v>
          </cell>
          <cell r="B81" t="str">
            <v>VNP0230110</v>
          </cell>
          <cell r="C81" t="str">
            <v>Võ Ngọc Thảo</v>
          </cell>
          <cell r="D81" t="str">
            <v>LDTT</v>
          </cell>
          <cell r="E81">
            <v>4451200</v>
          </cell>
          <cell r="F81">
            <v>467376</v>
          </cell>
          <cell r="G81">
            <v>4718700</v>
          </cell>
        </row>
      </sheetData>
      <sheetData sheetId="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nSu"/>
      <sheetName val="Phụ lục"/>
    </sheetNames>
    <sheetDataSet>
      <sheetData sheetId="0">
        <row r="4">
          <cell r="D4" t="str">
            <v>Lê Thị Mộng Thủy</v>
          </cell>
          <cell r="E4" t="str">
            <v>8321905015</v>
          </cell>
        </row>
        <row r="5">
          <cell r="D5" t="str">
            <v>Lê Trang Mỹ Nhiên</v>
          </cell>
          <cell r="E5" t="str">
            <v>5502001961</v>
          </cell>
        </row>
        <row r="6">
          <cell r="D6" t="str">
            <v>Nguyễn Thị Thu Hằng</v>
          </cell>
          <cell r="E6" t="str">
            <v>8316007808</v>
          </cell>
        </row>
        <row r="7">
          <cell r="D7" t="str">
            <v>Trần Lâm Minh Thu</v>
          </cell>
          <cell r="E7" t="str">
            <v>8316017520</v>
          </cell>
        </row>
        <row r="8">
          <cell r="D8" t="str">
            <v>Nguyễn Thị Huỳnh Ngân</v>
          </cell>
          <cell r="E8" t="str">
            <v>8323045503</v>
          </cell>
        </row>
        <row r="9">
          <cell r="D9" t="str">
            <v>Nguyễn Thị Diệu Hương</v>
          </cell>
          <cell r="E9" t="str">
            <v>8322748885</v>
          </cell>
        </row>
        <row r="10">
          <cell r="D10" t="str">
            <v>Nguyễn Thị Cẩm Trúc</v>
          </cell>
          <cell r="E10" t="str">
            <v>8322979998</v>
          </cell>
        </row>
        <row r="11">
          <cell r="D11" t="str">
            <v>Trần Thị Phương Dung</v>
          </cell>
          <cell r="E11" t="str">
            <v>8322982818</v>
          </cell>
        </row>
        <row r="12">
          <cell r="D12" t="str">
            <v>Nguyễn Châu Đoan</v>
          </cell>
          <cell r="E12" t="str">
            <v xml:space="preserve">7938157197  </v>
          </cell>
        </row>
        <row r="13">
          <cell r="D13" t="str">
            <v>Võ Ngọc Ẩn</v>
          </cell>
          <cell r="E13" t="str">
            <v>8310005668</v>
          </cell>
        </row>
        <row r="14">
          <cell r="D14" t="str">
            <v>Hồ Như Gương</v>
          </cell>
          <cell r="E14" t="str">
            <v>7916255895</v>
          </cell>
        </row>
        <row r="15">
          <cell r="D15" t="str">
            <v>Nguyễn Lê Hữu Duy</v>
          </cell>
          <cell r="E15" t="str">
            <v>7916573328</v>
          </cell>
        </row>
        <row r="16">
          <cell r="D16" t="str">
            <v>Huỳnh Thị Hoàng Linh</v>
          </cell>
          <cell r="E16" t="str">
            <v>8322499399</v>
          </cell>
        </row>
        <row r="17">
          <cell r="D17" t="str">
            <v>Nguyễn Thị Diện</v>
          </cell>
          <cell r="E17" t="str">
            <v>8321812591</v>
          </cell>
        </row>
        <row r="18">
          <cell r="D18" t="str">
            <v>Lê Thị Hồng Nhung</v>
          </cell>
          <cell r="E18" t="str">
            <v>8310001930</v>
          </cell>
        </row>
        <row r="19">
          <cell r="D19" t="str">
            <v>Phạm Thị Thanh Thúy</v>
          </cell>
          <cell r="E19" t="str">
            <v>8310005661</v>
          </cell>
        </row>
        <row r="20">
          <cell r="D20" t="str">
            <v>Đào Thị Thúy An</v>
          </cell>
          <cell r="E20" t="str">
            <v>8310002415</v>
          </cell>
        </row>
        <row r="21">
          <cell r="D21" t="str">
            <v>Võ Thị Tuyết Vân</v>
          </cell>
          <cell r="E21" t="str">
            <v>8313007771</v>
          </cell>
        </row>
        <row r="22">
          <cell r="D22" t="str">
            <v>Huỳnh Thy Nga</v>
          </cell>
          <cell r="E22" t="str">
            <v>0115017719</v>
          </cell>
        </row>
        <row r="23">
          <cell r="D23" t="str">
            <v>Nguyễn Dương Ngọc Linh</v>
          </cell>
          <cell r="E23" t="str">
            <v>8314006579</v>
          </cell>
        </row>
        <row r="24">
          <cell r="D24" t="str">
            <v>Phan Thị Kim Đính</v>
          </cell>
          <cell r="E24" t="str">
            <v>8316018975</v>
          </cell>
        </row>
        <row r="25">
          <cell r="D25" t="str">
            <v>Nguyễn Thị Xuân Lan</v>
          </cell>
          <cell r="E25" t="str">
            <v>7939489646</v>
          </cell>
        </row>
        <row r="26">
          <cell r="D26" t="str">
            <v>Ngô Nguyễn Huỳnh Như</v>
          </cell>
          <cell r="E26" t="str">
            <v>8321726977</v>
          </cell>
        </row>
        <row r="27">
          <cell r="D27" t="str">
            <v>Võ Thị Thiên Kiều</v>
          </cell>
          <cell r="E27" t="str">
            <v>8321287622</v>
          </cell>
        </row>
        <row r="28">
          <cell r="D28" t="str">
            <v>Nguyễn Lê Nguyệt Lâm</v>
          </cell>
          <cell r="E28" t="str">
            <v>7931987452</v>
          </cell>
        </row>
        <row r="29">
          <cell r="D29" t="str">
            <v>Mai Thị Hoa Lan</v>
          </cell>
          <cell r="E29" t="str">
            <v>8322952988</v>
          </cell>
        </row>
        <row r="30">
          <cell r="D30" t="str">
            <v>Dương Thị Kim Thoa</v>
          </cell>
          <cell r="E30" t="str">
            <v>8316007485</v>
          </cell>
        </row>
        <row r="31">
          <cell r="D31" t="str">
            <v>Bùi Thị Thu Trang</v>
          </cell>
          <cell r="E31" t="str">
            <v>8316008907</v>
          </cell>
        </row>
        <row r="32">
          <cell r="D32" t="str">
            <v>Lê Thanh Quyên</v>
          </cell>
          <cell r="E32" t="str">
            <v>8316023957</v>
          </cell>
        </row>
        <row r="33">
          <cell r="D33" t="str">
            <v>Lê Thị Kim Loan</v>
          </cell>
          <cell r="E33" t="str">
            <v>7409250997</v>
          </cell>
        </row>
        <row r="34">
          <cell r="D34" t="str">
            <v>Nguyễn Lê Thanh</v>
          </cell>
          <cell r="E34" t="str">
            <v>8322925488</v>
          </cell>
        </row>
        <row r="35">
          <cell r="D35" t="str">
            <v>Trần Văn Cảnh</v>
          </cell>
          <cell r="E35" t="str">
            <v>8321675033</v>
          </cell>
        </row>
        <row r="36">
          <cell r="D36" t="str">
            <v>Nguyễn Thị Ngọc Diệp</v>
          </cell>
          <cell r="E36" t="str">
            <v>7908392153</v>
          </cell>
        </row>
        <row r="37">
          <cell r="D37" t="str">
            <v>Nguyễn Thị Trúc Mai</v>
          </cell>
          <cell r="E37" t="str">
            <v>8323045505</v>
          </cell>
        </row>
        <row r="38">
          <cell r="D38" t="str">
            <v>Lữ Thị Tuyết Loan</v>
          </cell>
          <cell r="E38" t="str">
            <v>7416131252</v>
          </cell>
        </row>
        <row r="39">
          <cell r="D39" t="str">
            <v>Bùi Tấn Đạt</v>
          </cell>
          <cell r="E39" t="str">
            <v>8322548856</v>
          </cell>
        </row>
        <row r="40">
          <cell r="D40" t="str">
            <v>Phạm Trung Quân</v>
          </cell>
          <cell r="E40" t="str">
            <v>7908358938</v>
          </cell>
        </row>
        <row r="41">
          <cell r="D41" t="str">
            <v>Trần Thị Phượng Linh</v>
          </cell>
          <cell r="E41" t="str">
            <v>8321546425</v>
          </cell>
        </row>
        <row r="42">
          <cell r="D42" t="str">
            <v>Lưu Thị Trúc Giang</v>
          </cell>
          <cell r="E42" t="str">
            <v>7911244505</v>
          </cell>
        </row>
        <row r="43">
          <cell r="D43" t="str">
            <v>Nguyễn Thị Vỹ Hương Linh</v>
          </cell>
          <cell r="E43" t="str">
            <v>8316005091</v>
          </cell>
        </row>
        <row r="44">
          <cell r="D44" t="str">
            <v>Lê Thị Linh Phương</v>
          </cell>
          <cell r="E44" t="str">
            <v>8321636513</v>
          </cell>
        </row>
        <row r="45">
          <cell r="D45" t="str">
            <v>Nguyễn Khắc Huy</v>
          </cell>
          <cell r="E45" t="str">
            <v>8321638122</v>
          </cell>
        </row>
        <row r="46">
          <cell r="D46" t="str">
            <v>Nguyễn Thanh Hằng</v>
          </cell>
          <cell r="E46" t="str">
            <v>8322712925</v>
          </cell>
        </row>
        <row r="47">
          <cell r="D47" t="str">
            <v>Phan Thành Hiếu</v>
          </cell>
          <cell r="E47" t="str">
            <v>8321581348</v>
          </cell>
        </row>
        <row r="48">
          <cell r="D48" t="str">
            <v>Phan Nguyễn Lan Phương</v>
          </cell>
          <cell r="E48" t="str">
            <v>8321598354</v>
          </cell>
        </row>
        <row r="49">
          <cell r="D49" t="str">
            <v>Nguyễn Thị Tuyết Sang</v>
          </cell>
          <cell r="E49" t="str">
            <v>8322561162</v>
          </cell>
        </row>
        <row r="50">
          <cell r="D50" t="str">
            <v>Nguyễn Tự Minh Tiến</v>
          </cell>
          <cell r="E50" t="str">
            <v>7915028868</v>
          </cell>
        </row>
        <row r="51">
          <cell r="D51" t="str">
            <v>Nguyễn Thị Kim Thi</v>
          </cell>
          <cell r="E51" t="str">
            <v>8311002007</v>
          </cell>
        </row>
        <row r="52">
          <cell r="D52" t="str">
            <v>Mai Thị Thùy</v>
          </cell>
          <cell r="E52" t="str">
            <v>8316014515</v>
          </cell>
        </row>
        <row r="53">
          <cell r="D53" t="str">
            <v>Nguyễn Thị Lan Phương</v>
          </cell>
          <cell r="E53" t="str">
            <v>8309000247</v>
          </cell>
        </row>
        <row r="54">
          <cell r="D54" t="str">
            <v>Huỳnh Nguyễn Giao Hân</v>
          </cell>
          <cell r="E54" t="str">
            <v>8323135531</v>
          </cell>
        </row>
        <row r="55">
          <cell r="D55" t="str">
            <v>Lê Văn Giàu</v>
          </cell>
          <cell r="E55" t="str">
            <v>8322409598</v>
          </cell>
        </row>
        <row r="56">
          <cell r="D56" t="str">
            <v>Nguyễn Ngọc Linh Đan</v>
          </cell>
          <cell r="E56" t="str">
            <v>9221383710</v>
          </cell>
        </row>
        <row r="57">
          <cell r="D57" t="str">
            <v>Trần Thị Thanh Trúc</v>
          </cell>
          <cell r="E57" t="str">
            <v>8321378801</v>
          </cell>
        </row>
        <row r="58">
          <cell r="D58" t="str">
            <v>Hồ Thanh Liêm</v>
          </cell>
          <cell r="E58" t="str">
            <v>8311002589</v>
          </cell>
        </row>
        <row r="59">
          <cell r="D59" t="str">
            <v>Nguyễn Thanh Trúc</v>
          </cell>
          <cell r="E59" t="str">
            <v>0116347982</v>
          </cell>
        </row>
        <row r="60">
          <cell r="D60" t="str">
            <v>Võ Ngọc Thảo</v>
          </cell>
          <cell r="E60" t="str">
            <v>8321846063</v>
          </cell>
        </row>
        <row r="61">
          <cell r="D61" t="str">
            <v>Hồ Thanh Tuyền</v>
          </cell>
          <cell r="E61" t="str">
            <v>8323116964</v>
          </cell>
        </row>
        <row r="62">
          <cell r="D62" t="str">
            <v>Lê Chí Cường</v>
          </cell>
          <cell r="E62" t="str">
            <v>8323075123</v>
          </cell>
        </row>
        <row r="63">
          <cell r="D63" t="str">
            <v>Phan Thị Quyên</v>
          </cell>
          <cell r="E63" t="str">
            <v>4807016222</v>
          </cell>
        </row>
        <row r="64">
          <cell r="D64" t="str">
            <v>Nguyễn Hữu Nhân</v>
          </cell>
          <cell r="E64" t="str">
            <v>8223672610</v>
          </cell>
        </row>
        <row r="65">
          <cell r="D65" t="str">
            <v>Nguyễn Văn Thanh Bình</v>
          </cell>
          <cell r="E65" t="str">
            <v>8322720359</v>
          </cell>
        </row>
        <row r="66">
          <cell r="D66" t="str">
            <v>Trần Thị Bé Muội</v>
          </cell>
          <cell r="E66" t="str">
            <v>8316008262</v>
          </cell>
        </row>
        <row r="67">
          <cell r="D67" t="str">
            <v>Nguyễn Thị Ngọc Ngoan</v>
          </cell>
          <cell r="E67" t="str">
            <v>8323008357</v>
          </cell>
        </row>
        <row r="68">
          <cell r="D68" t="str">
            <v>Võ Trường Thịnh</v>
          </cell>
          <cell r="E68" t="str">
            <v>9718634506</v>
          </cell>
        </row>
        <row r="69">
          <cell r="D69" t="str">
            <v>Lê Duy Thịnh</v>
          </cell>
          <cell r="E69" t="str">
            <v>8321870974</v>
          </cell>
        </row>
        <row r="70">
          <cell r="D70" t="str">
            <v>Nguyễn Thị Thu Lan</v>
          </cell>
          <cell r="E70" t="str">
            <v>8313014270</v>
          </cell>
        </row>
        <row r="71">
          <cell r="D71" t="str">
            <v>Đặng La Đô</v>
          </cell>
          <cell r="E71" t="str">
            <v>8321932655</v>
          </cell>
        </row>
        <row r="72">
          <cell r="D72" t="str">
            <v>Nguyễn Hữu Trọng</v>
          </cell>
          <cell r="E72" t="str">
            <v>8310002344</v>
          </cell>
        </row>
        <row r="73">
          <cell r="D73" t="str">
            <v>Nguyễn Phương Duy</v>
          </cell>
          <cell r="E73" t="str">
            <v>8223777996</v>
          </cell>
        </row>
        <row r="74">
          <cell r="D74" t="str">
            <v>Nguyễn Tiến Trọng</v>
          </cell>
          <cell r="E74" t="str">
            <v xml:space="preserve">8322977075  </v>
          </cell>
        </row>
        <row r="75">
          <cell r="D75" t="str">
            <v>Đào Thị Vỏi</v>
          </cell>
          <cell r="E75" t="str">
            <v>8321941272</v>
          </cell>
        </row>
        <row r="76">
          <cell r="D76" t="str">
            <v>Trần Ngô Thúy Vy</v>
          </cell>
          <cell r="E76" t="str">
            <v>8323109440</v>
          </cell>
        </row>
        <row r="77">
          <cell r="D77" t="str">
            <v>Trần Thị Thảo Phương</v>
          </cell>
          <cell r="E77" t="str">
            <v>8316008418</v>
          </cell>
        </row>
        <row r="78">
          <cell r="D78" t="str">
            <v>Phan Thị Mỹ Hảo</v>
          </cell>
          <cell r="E78" t="str">
            <v>8322013908</v>
          </cell>
        </row>
        <row r="79">
          <cell r="D79" t="str">
            <v>Võ Phạm Huỳnh Trang</v>
          </cell>
          <cell r="E79" t="str">
            <v>7913281950</v>
          </cell>
        </row>
        <row r="80">
          <cell r="D80" t="str">
            <v>Phan Trần Đức Ngân</v>
          </cell>
          <cell r="E80" t="str">
            <v>8322027400</v>
          </cell>
        </row>
        <row r="81">
          <cell r="D81" t="str">
            <v>Nguyễn Thành Long</v>
          </cell>
          <cell r="E81" t="str">
            <v>8322757665</v>
          </cell>
        </row>
        <row r="82">
          <cell r="D82" t="str">
            <v>Trần Thị Ngọc Tuyền</v>
          </cell>
          <cell r="E82" t="str">
            <v>8322664341</v>
          </cell>
        </row>
        <row r="83">
          <cell r="D83" t="str">
            <v>Bùi Thị Như Liên</v>
          </cell>
          <cell r="E83" t="str">
            <v>5596018402</v>
          </cell>
        </row>
        <row r="84">
          <cell r="D84" t="str">
            <v>Mai Trần Sang</v>
          </cell>
          <cell r="E84" t="str">
            <v>8323044646</v>
          </cell>
        </row>
        <row r="85">
          <cell r="D85" t="str">
            <v>Đoàn Thị Như Ý</v>
          </cell>
          <cell r="E85" t="str">
            <v>8321738889</v>
          </cell>
        </row>
        <row r="86">
          <cell r="D86" t="str">
            <v>Hà Thị Trúc Huỳnh</v>
          </cell>
          <cell r="E86" t="str">
            <v>8322049749</v>
          </cell>
        </row>
      </sheetData>
      <sheetData sheetId="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ương CTV"/>
      <sheetName val="Luong CNCNV"/>
      <sheetName val="Lương KK_CBCBV"/>
      <sheetName val="Lương KK_CTV"/>
      <sheetName val="In bao cao"/>
      <sheetName val="CTV thuê lại"/>
    </sheetNames>
    <sheetDataSet>
      <sheetData sheetId="0" refreshError="1"/>
      <sheetData sheetId="1" refreshError="1"/>
      <sheetData sheetId="2" refreshError="1"/>
      <sheetData sheetId="3" refreshError="1"/>
      <sheetData sheetId="4" refreshError="1"/>
      <sheetData sheetId="5">
        <row r="9">
          <cell r="B9" t="str">
            <v>CTV023047</v>
          </cell>
          <cell r="C9" t="str">
            <v>Lê Thị Mộng Thủy</v>
          </cell>
          <cell r="D9" t="str">
            <v>PNSTH</v>
          </cell>
          <cell r="E9" t="str">
            <v>Tạp vụ</v>
          </cell>
          <cell r="F9">
            <v>933601</v>
          </cell>
        </row>
        <row r="10">
          <cell r="B10" t="str">
            <v>CTV028284</v>
          </cell>
          <cell r="C10" t="str">
            <v>Trần Lâm Minh Thu</v>
          </cell>
          <cell r="D10" t="str">
            <v>PKTKH</v>
          </cell>
          <cell r="E10" t="str">
            <v>Kế toán</v>
          </cell>
          <cell r="F10">
            <v>2898985</v>
          </cell>
        </row>
        <row r="11">
          <cell r="B11" t="str">
            <v>CTV028376</v>
          </cell>
          <cell r="C11" t="str">
            <v>Nguyễn Thị Huỳnh Ngân</v>
          </cell>
          <cell r="D11" t="str">
            <v>PKTKH</v>
          </cell>
          <cell r="E11" t="str">
            <v>Kế toán</v>
          </cell>
          <cell r="F11">
            <v>2422054</v>
          </cell>
        </row>
        <row r="12">
          <cell r="B12" t="str">
            <v>CTV023011</v>
          </cell>
          <cell r="C12" t="str">
            <v>Nguyễn Thị Thu Hằng</v>
          </cell>
          <cell r="D12" t="str">
            <v>PKTKH</v>
          </cell>
          <cell r="E12" t="str">
            <v>Thủ quỹ, thủ kho</v>
          </cell>
          <cell r="F12">
            <v>1514943</v>
          </cell>
        </row>
        <row r="13">
          <cell r="B13" t="str">
            <v>CTV086734</v>
          </cell>
          <cell r="C13" t="str">
            <v>Trần Thị Phương Dung</v>
          </cell>
          <cell r="D13" t="str">
            <v>PKTKH</v>
          </cell>
          <cell r="E13" t="str">
            <v>Kế toán</v>
          </cell>
          <cell r="F13">
            <v>1281166</v>
          </cell>
        </row>
        <row r="14">
          <cell r="B14" t="str">
            <v>CTV040279</v>
          </cell>
          <cell r="C14" t="str">
            <v>Nguyễn Châu Đoan</v>
          </cell>
          <cell r="D14" t="str">
            <v>PĐHNV</v>
          </cell>
          <cell r="E14" t="str">
            <v>Quản lý dịch vụ và chính sách CSKH</v>
          </cell>
          <cell r="F14">
            <v>2318541</v>
          </cell>
        </row>
        <row r="15">
          <cell r="B15" t="str">
            <v>CTV043657</v>
          </cell>
          <cell r="C15" t="str">
            <v>Võ Ngọc Ẩn</v>
          </cell>
          <cell r="D15" t="str">
            <v>PĐHNV</v>
          </cell>
          <cell r="E15" t="str">
            <v>Quản lý dịch vụ và chính sách CSKH</v>
          </cell>
          <cell r="F15">
            <v>3220213</v>
          </cell>
        </row>
        <row r="16">
          <cell r="B16" t="str">
            <v>CTV054886</v>
          </cell>
          <cell r="C16" t="str">
            <v>Nguyễn Lê Hữu Duy</v>
          </cell>
          <cell r="D16" t="str">
            <v>P.KHTCDN</v>
          </cell>
          <cell r="E16" t="str">
            <v>AM</v>
          </cell>
          <cell r="F16">
            <v>2981889</v>
          </cell>
        </row>
        <row r="17">
          <cell r="B17" t="str">
            <v>CTV023224</v>
          </cell>
          <cell r="C17" t="str">
            <v>Huỳnh Thị Hoàng Linh</v>
          </cell>
          <cell r="D17" t="str">
            <v>PBH OL</v>
          </cell>
          <cell r="E17" t="str">
            <v>Kinh doanh online</v>
          </cell>
          <cell r="F17">
            <v>2323511</v>
          </cell>
        </row>
        <row r="18">
          <cell r="B18" t="str">
            <v>CTV023225</v>
          </cell>
          <cell r="C18" t="str">
            <v>Nguyễn Thị Diện</v>
          </cell>
          <cell r="D18" t="str">
            <v>PBH OL</v>
          </cell>
          <cell r="E18" t="str">
            <v>Kinh doanh online</v>
          </cell>
          <cell r="F18">
            <v>2318144</v>
          </cell>
        </row>
        <row r="19">
          <cell r="B19" t="str">
            <v>CTV036516</v>
          </cell>
          <cell r="C19" t="str">
            <v>Nguyễn Dương Ngọc Linh</v>
          </cell>
          <cell r="D19" t="str">
            <v>PBH TPO</v>
          </cell>
          <cell r="E19" t="str">
            <v>Kế toán</v>
          </cell>
          <cell r="F19">
            <v>2468009</v>
          </cell>
        </row>
        <row r="20">
          <cell r="B20" t="str">
            <v>CTV036515</v>
          </cell>
          <cell r="C20" t="str">
            <v>Huỳnh Thy Nga</v>
          </cell>
          <cell r="D20" t="str">
            <v>PBH TPO</v>
          </cell>
          <cell r="E20" t="str">
            <v>Nhân viên Quản lý cước</v>
          </cell>
          <cell r="F20">
            <v>2743328</v>
          </cell>
        </row>
        <row r="21">
          <cell r="B21" t="str">
            <v>CTV023012</v>
          </cell>
          <cell r="C21" t="str">
            <v>Lê Thị Hồng Nhung</v>
          </cell>
          <cell r="D21" t="str">
            <v>PBH TPO</v>
          </cell>
          <cell r="E21" t="str">
            <v xml:space="preserve">Nhân viên Giao dịch </v>
          </cell>
          <cell r="F21">
            <v>4673538</v>
          </cell>
        </row>
        <row r="22">
          <cell r="B22" t="str">
            <v>CTV023014</v>
          </cell>
          <cell r="C22" t="str">
            <v>Trần Thị Thanh Trúc</v>
          </cell>
          <cell r="D22" t="str">
            <v>PBH CTH</v>
          </cell>
          <cell r="E22" t="str">
            <v xml:space="preserve">Nhân viên Giao dịch </v>
          </cell>
          <cell r="F22">
            <v>1940272</v>
          </cell>
        </row>
        <row r="23">
          <cell r="B23" t="str">
            <v>CTV023015</v>
          </cell>
          <cell r="C23" t="str">
            <v>Đào Thị Thúy An</v>
          </cell>
          <cell r="D23" t="str">
            <v>PBH TPO</v>
          </cell>
          <cell r="E23" t="str">
            <v xml:space="preserve">Nhân viên Giao dịch </v>
          </cell>
          <cell r="F23">
            <v>2350021</v>
          </cell>
        </row>
        <row r="24">
          <cell r="B24" t="str">
            <v>CTV023013</v>
          </cell>
          <cell r="C24" t="str">
            <v>Phạm Thị Thanh Thúy</v>
          </cell>
          <cell r="D24" t="str">
            <v>PBH TPO</v>
          </cell>
          <cell r="E24" t="str">
            <v>Nhân viên Quản lý cước</v>
          </cell>
          <cell r="F24">
            <v>2257366</v>
          </cell>
        </row>
        <row r="25">
          <cell r="B25" t="str">
            <v>CTV023018</v>
          </cell>
          <cell r="C25" t="str">
            <v>Võ Thị Tuyết Vân</v>
          </cell>
          <cell r="D25" t="str">
            <v>PBH TPO</v>
          </cell>
          <cell r="E25" t="str">
            <v xml:space="preserve">Nhân viên Giao dịch </v>
          </cell>
          <cell r="F25">
            <v>1891623</v>
          </cell>
        </row>
        <row r="26">
          <cell r="B26" t="str">
            <v>CTV085393</v>
          </cell>
          <cell r="C26" t="str">
            <v>Nguyễn Lê Nguyệt Lâm</v>
          </cell>
          <cell r="D26" t="str">
            <v>PBH TPO</v>
          </cell>
          <cell r="E26" t="str">
            <v xml:space="preserve">Nhân viên Giao dịch </v>
          </cell>
          <cell r="F26">
            <v>1711536</v>
          </cell>
        </row>
        <row r="27">
          <cell r="B27" t="str">
            <v>CTV086353</v>
          </cell>
          <cell r="C27" t="str">
            <v>Mai Thị Hoa Lan</v>
          </cell>
          <cell r="D27" t="str">
            <v>PBH TPO</v>
          </cell>
          <cell r="E27" t="str">
            <v xml:space="preserve">Nhân viên Giao dịch </v>
          </cell>
          <cell r="F27">
            <v>1276558</v>
          </cell>
        </row>
        <row r="28">
          <cell r="B28" t="str">
            <v>CTV028578</v>
          </cell>
          <cell r="C28" t="str">
            <v>Hồ Như Gương</v>
          </cell>
          <cell r="D28" t="str">
            <v>PĐHNV</v>
          </cell>
          <cell r="E28" t="str">
            <v>Quản lý dịch vụ và chính sách CSKH</v>
          </cell>
          <cell r="F28">
            <v>1554963</v>
          </cell>
        </row>
        <row r="29">
          <cell r="B29" t="str">
            <v>CTV074412</v>
          </cell>
          <cell r="C29" t="str">
            <v>Phan Thị Kim Đính</v>
          </cell>
          <cell r="D29" t="str">
            <v>PBH TPO</v>
          </cell>
          <cell r="E29" t="str">
            <v xml:space="preserve">Nhân viên Giao dịch </v>
          </cell>
          <cell r="F29">
            <v>2034312</v>
          </cell>
        </row>
        <row r="30">
          <cell r="B30" t="str">
            <v>CTV075444</v>
          </cell>
          <cell r="C30" t="str">
            <v>Nguyễn Thị Cẩm Trúc</v>
          </cell>
          <cell r="D30" t="str">
            <v>Phòng KTKH</v>
          </cell>
          <cell r="E30" t="str">
            <v>Kế toán</v>
          </cell>
          <cell r="F30">
            <v>2124876</v>
          </cell>
        </row>
        <row r="31">
          <cell r="B31" t="str">
            <v>CTV079091</v>
          </cell>
          <cell r="C31" t="str">
            <v>Nguyễn Thị Xuân Lan</v>
          </cell>
          <cell r="D31" t="str">
            <v>PBH TPO</v>
          </cell>
          <cell r="E31" t="str">
            <v xml:space="preserve">Nhân viên Giao dịch </v>
          </cell>
          <cell r="F31">
            <v>2430366</v>
          </cell>
        </row>
        <row r="32">
          <cell r="B32" t="str">
            <v>CTV076984</v>
          </cell>
          <cell r="C32" t="str">
            <v>Võ Trường Thịnh</v>
          </cell>
          <cell r="D32" t="str">
            <v>PBH GTM</v>
          </cell>
          <cell r="E32" t="str">
            <v>Quản lý địa bàn</v>
          </cell>
          <cell r="F32">
            <v>1243297</v>
          </cell>
        </row>
        <row r="33">
          <cell r="B33" t="str">
            <v>CTV082602</v>
          </cell>
          <cell r="C33" t="str">
            <v>Ngô Nguyễn Huỳnh Như</v>
          </cell>
          <cell r="D33" t="str">
            <v>PBH TPO</v>
          </cell>
          <cell r="E33" t="str">
            <v>Quản lý kênh</v>
          </cell>
          <cell r="F33">
            <v>1844362</v>
          </cell>
        </row>
        <row r="34">
          <cell r="B34" t="str">
            <v>CTV083931</v>
          </cell>
          <cell r="C34" t="str">
            <v>Võ Thị Thiên Kiều</v>
          </cell>
          <cell r="D34" t="str">
            <v>PBH TPO</v>
          </cell>
          <cell r="E34" t="str">
            <v xml:space="preserve">Nhân viên Giao dịch </v>
          </cell>
          <cell r="F34">
            <v>1879011</v>
          </cell>
        </row>
        <row r="35">
          <cell r="B35" t="str">
            <v>CTV055530</v>
          </cell>
          <cell r="C35" t="str">
            <v>Phạm Trung Quân</v>
          </cell>
          <cell r="D35" t="str">
            <v>PBH MCY</v>
          </cell>
          <cell r="E35" t="str">
            <v>Quản lý điểm bán</v>
          </cell>
          <cell r="F35">
            <v>2538447</v>
          </cell>
        </row>
        <row r="36">
          <cell r="B36" t="str">
            <v>CTV020462</v>
          </cell>
          <cell r="C36" t="str">
            <v>Lê Trang Mỹ Nhiên</v>
          </cell>
          <cell r="D36" t="str">
            <v>PBH MCY</v>
          </cell>
          <cell r="E36" t="str">
            <v>Kế toán</v>
          </cell>
          <cell r="F36">
            <v>2947828</v>
          </cell>
        </row>
        <row r="37">
          <cell r="B37" t="str">
            <v>CTV023024</v>
          </cell>
          <cell r="C37" t="str">
            <v>Bùi Thị Thu Trang</v>
          </cell>
          <cell r="D37" t="str">
            <v>PBH MCY</v>
          </cell>
          <cell r="E37" t="str">
            <v>Nhân viên Quản lý cước</v>
          </cell>
          <cell r="F37">
            <v>2263655</v>
          </cell>
        </row>
        <row r="38">
          <cell r="B38" t="str">
            <v>CTV023023</v>
          </cell>
          <cell r="C38" t="str">
            <v>Dương Thị Kim Thoa</v>
          </cell>
          <cell r="D38" t="str">
            <v>PBH MCY</v>
          </cell>
          <cell r="E38" t="str">
            <v xml:space="preserve">Nhân viên Giao dịch </v>
          </cell>
          <cell r="F38">
            <v>2872440</v>
          </cell>
        </row>
        <row r="39">
          <cell r="B39" t="str">
            <v>CTV023026</v>
          </cell>
          <cell r="C39" t="str">
            <v>Lê Thanh Quyên</v>
          </cell>
          <cell r="D39" t="str">
            <v>PBH MCY</v>
          </cell>
          <cell r="E39" t="str">
            <v xml:space="preserve">Nhân viên Giao dịch </v>
          </cell>
          <cell r="F39">
            <v>1532601</v>
          </cell>
        </row>
        <row r="40">
          <cell r="B40" t="str">
            <v>CTV023027</v>
          </cell>
          <cell r="C40" t="str">
            <v>Lê Thị Kim Loan</v>
          </cell>
          <cell r="D40" t="str">
            <v>PBH MCY</v>
          </cell>
          <cell r="E40" t="str">
            <v xml:space="preserve">Nhân viên Giao dịch </v>
          </cell>
          <cell r="F40">
            <v>2061527</v>
          </cell>
        </row>
        <row r="41">
          <cell r="B41" t="str">
            <v>CTV023207</v>
          </cell>
          <cell r="C41" t="str">
            <v>Nguyễn Thị Ngọc Diệp</v>
          </cell>
          <cell r="D41" t="str">
            <v>PBH MCY</v>
          </cell>
          <cell r="E41" t="str">
            <v xml:space="preserve">Nhân viên Giao dịch </v>
          </cell>
          <cell r="F41">
            <v>2953279</v>
          </cell>
        </row>
        <row r="42">
          <cell r="B42" t="str">
            <v>CTV028599</v>
          </cell>
          <cell r="C42" t="str">
            <v>Nguyễn Thị Trúc Mai</v>
          </cell>
          <cell r="D42" t="str">
            <v>PBH MCY</v>
          </cell>
          <cell r="E42" t="str">
            <v xml:space="preserve">Nhân viên Giao dịch </v>
          </cell>
          <cell r="F42">
            <v>2722736</v>
          </cell>
        </row>
        <row r="43">
          <cell r="B43" t="str">
            <v>CTV028603</v>
          </cell>
          <cell r="C43" t="str">
            <v>Lữ Thị Tuyết Loan</v>
          </cell>
          <cell r="D43" t="str">
            <v>PBH MCY</v>
          </cell>
          <cell r="E43" t="str">
            <v>Nhân viên Giao dịch</v>
          </cell>
          <cell r="F43">
            <v>1989761</v>
          </cell>
        </row>
        <row r="44">
          <cell r="B44" t="str">
            <v>CTV023069</v>
          </cell>
          <cell r="C44" t="str">
            <v>Nguyễn Lê Thanh</v>
          </cell>
          <cell r="D44" t="str">
            <v>PBH MCY</v>
          </cell>
          <cell r="E44" t="str">
            <v>Nhân viên quản lý địa bàn và BHTT</v>
          </cell>
          <cell r="F44">
            <v>726695</v>
          </cell>
        </row>
        <row r="45">
          <cell r="B45" t="str">
            <v>CTV023071</v>
          </cell>
          <cell r="C45" t="str">
            <v>Trần Văn Cảnh</v>
          </cell>
          <cell r="D45" t="str">
            <v>PBH MCY</v>
          </cell>
          <cell r="E45" t="str">
            <v>Nhân viên quản lý địa bàn và BHTT</v>
          </cell>
          <cell r="F45">
            <v>1645750</v>
          </cell>
        </row>
        <row r="46">
          <cell r="B46" t="str">
            <v>CTV083203</v>
          </cell>
          <cell r="C46" t="str">
            <v>Lưu Thị Trúc Giang</v>
          </cell>
          <cell r="D46" t="str">
            <v>PBH MCY</v>
          </cell>
          <cell r="E46" t="str">
            <v>Nhân viên Tổng hợp</v>
          </cell>
          <cell r="F46">
            <v>2094565</v>
          </cell>
        </row>
        <row r="47">
          <cell r="B47" t="str">
            <v>CTV080670</v>
          </cell>
          <cell r="C47" t="str">
            <v>Trần Thị Phượng Linh</v>
          </cell>
          <cell r="D47" t="str">
            <v>PBH MCY</v>
          </cell>
          <cell r="E47" t="str">
            <v>Nhân viên quản lý địa bàn và BHTT</v>
          </cell>
          <cell r="F47">
            <v>294798</v>
          </cell>
        </row>
        <row r="48">
          <cell r="B48" t="str">
            <v>CTV038176</v>
          </cell>
          <cell r="C48" t="str">
            <v>Nguyễn Thanh Hằng</v>
          </cell>
          <cell r="D48" t="str">
            <v>PBH CLH</v>
          </cell>
          <cell r="E48" t="str">
            <v>Nhân viên Giao dịch</v>
          </cell>
          <cell r="F48">
            <v>1428247</v>
          </cell>
        </row>
        <row r="49">
          <cell r="B49" t="str">
            <v>CTV023032</v>
          </cell>
          <cell r="C49" t="str">
            <v>Nguyễn Thị Vỹ Hương Linh</v>
          </cell>
          <cell r="D49" t="str">
            <v>PBH CLH</v>
          </cell>
          <cell r="E49" t="str">
            <v>Nhân viên Quản lý cước</v>
          </cell>
          <cell r="F49">
            <v>2078775</v>
          </cell>
        </row>
        <row r="50">
          <cell r="B50" t="str">
            <v>CTV028655</v>
          </cell>
          <cell r="C50" t="str">
            <v>Nguyễn Khắc Huy</v>
          </cell>
          <cell r="D50" t="str">
            <v>PBH CLH</v>
          </cell>
          <cell r="E50" t="str">
            <v>Nhân viên quản lý địa bàn và BHTT</v>
          </cell>
          <cell r="F50">
            <v>1905265</v>
          </cell>
        </row>
        <row r="51">
          <cell r="B51" t="str">
            <v>CTV023131</v>
          </cell>
          <cell r="C51" t="str">
            <v>Lê Thị Linh Phương</v>
          </cell>
          <cell r="D51" t="str">
            <v>PBH CLH</v>
          </cell>
          <cell r="E51" t="str">
            <v>Nhân viên quản lý địa bàn và BHTT</v>
          </cell>
          <cell r="F51">
            <v>2035600</v>
          </cell>
        </row>
        <row r="52">
          <cell r="B52" t="str">
            <v>CTV082450</v>
          </cell>
          <cell r="C52" t="str">
            <v>Phan Thành Hiếu</v>
          </cell>
          <cell r="D52" t="str">
            <v>PBH CLH</v>
          </cell>
          <cell r="E52" t="str">
            <v>AM</v>
          </cell>
          <cell r="F52">
            <v>2782125</v>
          </cell>
        </row>
        <row r="53">
          <cell r="B53" t="str">
            <v>CTV082451</v>
          </cell>
          <cell r="C53" t="str">
            <v>Phan Nguyễn Lan Phương</v>
          </cell>
          <cell r="D53" t="str">
            <v>PBH CLH</v>
          </cell>
          <cell r="E53" t="str">
            <v>Nhân viên Giao dịch</v>
          </cell>
          <cell r="F53">
            <v>1495876</v>
          </cell>
        </row>
        <row r="54">
          <cell r="B54" t="str">
            <v>CTV086349</v>
          </cell>
          <cell r="C54" t="str">
            <v>Nguyễn Thị Tuyết Sang</v>
          </cell>
          <cell r="D54" t="str">
            <v>PBH CLH</v>
          </cell>
          <cell r="E54" t="str">
            <v>Nhân viên Giao dịch</v>
          </cell>
          <cell r="F54">
            <v>959408</v>
          </cell>
        </row>
        <row r="55">
          <cell r="B55" t="str">
            <v>CTV086350</v>
          </cell>
          <cell r="C55" t="str">
            <v>Nguyễn Tự Minh Tiến</v>
          </cell>
          <cell r="D55" t="str">
            <v>PBH CLH</v>
          </cell>
          <cell r="E55" t="str">
            <v>Nhân viên quản lý địa bàn và BHTT</v>
          </cell>
          <cell r="F55">
            <v>215446</v>
          </cell>
        </row>
        <row r="56">
          <cell r="B56" t="str">
            <v>CTV020464</v>
          </cell>
          <cell r="C56" t="str">
            <v>Nguyễn Thị Kim Thi</v>
          </cell>
          <cell r="D56" t="str">
            <v>PBH TPU</v>
          </cell>
          <cell r="E56" t="str">
            <v>Nhân viên Quản lý cước</v>
          </cell>
          <cell r="F56">
            <v>1531792</v>
          </cell>
        </row>
        <row r="57">
          <cell r="B57" t="str">
            <v>CTV023029</v>
          </cell>
          <cell r="C57" t="str">
            <v>Mai Thị Thùy</v>
          </cell>
          <cell r="D57" t="str">
            <v>PBH TPU</v>
          </cell>
          <cell r="E57" t="str">
            <v xml:space="preserve">Nhân viên Giao dịch </v>
          </cell>
          <cell r="F57">
            <v>3464711</v>
          </cell>
        </row>
        <row r="58">
          <cell r="B58" t="str">
            <v>CTV023030</v>
          </cell>
          <cell r="C58" t="str">
            <v>Nguyễn Thị  Lan Phương</v>
          </cell>
          <cell r="D58" t="str">
            <v>PBH TPU</v>
          </cell>
          <cell r="E58" t="str">
            <v>Nhân viên Giao dịch</v>
          </cell>
          <cell r="F58">
            <v>999188</v>
          </cell>
        </row>
        <row r="59">
          <cell r="B59" t="str">
            <v>CTV035279</v>
          </cell>
          <cell r="C59" t="str">
            <v>Lê Văn Giàu</v>
          </cell>
          <cell r="D59" t="str">
            <v>PBH TPU</v>
          </cell>
          <cell r="E59" t="str">
            <v>Nhân viên quản lý địa bàn và BHTT</v>
          </cell>
          <cell r="F59">
            <v>2695727</v>
          </cell>
        </row>
        <row r="60">
          <cell r="B60" t="str">
            <v>CTV028601</v>
          </cell>
          <cell r="C60" t="str">
            <v>Huỳnh Nguyễn Giao Hân</v>
          </cell>
          <cell r="D60" t="str">
            <v>PBH TPU</v>
          </cell>
          <cell r="E60" t="str">
            <v>Nhân viên quản lý địa bàn và BHTT</v>
          </cell>
          <cell r="F60">
            <v>1519624</v>
          </cell>
        </row>
        <row r="61">
          <cell r="B61" t="str">
            <v>CTV036506</v>
          </cell>
          <cell r="C61" t="str">
            <v>Bùi Tấn Đạt</v>
          </cell>
          <cell r="D61" t="str">
            <v>PBH MCY</v>
          </cell>
          <cell r="E61" t="str">
            <v>AM</v>
          </cell>
          <cell r="F61">
            <v>2349288</v>
          </cell>
        </row>
        <row r="62">
          <cell r="B62" t="str">
            <v>CTV087041</v>
          </cell>
          <cell r="C62" t="str">
            <v>Nguyễn Ngọc Linh Đan</v>
          </cell>
          <cell r="D62" t="str">
            <v>PBH TPU</v>
          </cell>
          <cell r="E62" t="str">
            <v>Nhân viên Giao dịch</v>
          </cell>
          <cell r="F62">
            <v>943286</v>
          </cell>
        </row>
        <row r="63">
          <cell r="B63" t="str">
            <v>CTV054887</v>
          </cell>
          <cell r="C63" t="str">
            <v>Nguyễn Thị Diệu Hương</v>
          </cell>
          <cell r="D63" t="str">
            <v>PBH BĐI</v>
          </cell>
          <cell r="E63" t="str">
            <v>Kế toán</v>
          </cell>
          <cell r="F63">
            <v>2288483</v>
          </cell>
        </row>
        <row r="64">
          <cell r="B64" t="str">
            <v>CTV041732</v>
          </cell>
          <cell r="C64" t="str">
            <v>Lê Chí Cường</v>
          </cell>
          <cell r="D64" t="str">
            <v>PBH CTH</v>
          </cell>
          <cell r="E64" t="str">
            <v>Nhân viên quản lý địa bàn và BHTT</v>
          </cell>
          <cell r="F64">
            <v>4214304</v>
          </cell>
        </row>
        <row r="65">
          <cell r="B65" t="str">
            <v>CTV045659</v>
          </cell>
          <cell r="C65" t="str">
            <v>Phan Thị Quyên</v>
          </cell>
          <cell r="D65" t="str">
            <v>PBH CTH</v>
          </cell>
          <cell r="E65" t="str">
            <v>Nhân viên Quản lý hóa đơn  cước</v>
          </cell>
          <cell r="F65">
            <v>1709509</v>
          </cell>
        </row>
        <row r="66">
          <cell r="B66" t="str">
            <v>CTV023019</v>
          </cell>
          <cell r="C66" t="str">
            <v>Hồ Thanh Liêm</v>
          </cell>
          <cell r="D66" t="str">
            <v>PBH CTH</v>
          </cell>
          <cell r="E66" t="str">
            <v>AM</v>
          </cell>
          <cell r="F66">
            <v>3814444</v>
          </cell>
        </row>
        <row r="67">
          <cell r="B67" t="str">
            <v>CTV040535</v>
          </cell>
          <cell r="C67" t="str">
            <v>Hồ Thanh Tuyền</v>
          </cell>
          <cell r="D67" t="str">
            <v>PBH CTH</v>
          </cell>
          <cell r="E67" t="str">
            <v xml:space="preserve">Nhân viên Giao dịch </v>
          </cell>
          <cell r="F67">
            <v>399180</v>
          </cell>
        </row>
        <row r="68">
          <cell r="B68" t="str">
            <v>CTV028602</v>
          </cell>
          <cell r="C68" t="str">
            <v>Nguyễn Thanh Trúc</v>
          </cell>
          <cell r="D68" t="str">
            <v>PBH CTH</v>
          </cell>
          <cell r="E68" t="str">
            <v xml:space="preserve">Nhân viên Giao dịch </v>
          </cell>
          <cell r="F68">
            <v>1698477</v>
          </cell>
        </row>
        <row r="69">
          <cell r="B69" t="str">
            <v>CTV031867</v>
          </cell>
          <cell r="C69" t="str">
            <v>Nguyễn Thị Ngọc Ngoan</v>
          </cell>
          <cell r="D69" t="str">
            <v>PBH CTH</v>
          </cell>
          <cell r="E69" t="str">
            <v xml:space="preserve">Nhân viên Giao dịch </v>
          </cell>
          <cell r="F69">
            <v>1683061</v>
          </cell>
        </row>
        <row r="70">
          <cell r="B70" t="str">
            <v>CTV075851</v>
          </cell>
          <cell r="C70" t="str">
            <v>Đoàn Thị Như Ý</v>
          </cell>
          <cell r="D70" t="str">
            <v>PBH CTH</v>
          </cell>
          <cell r="E70" t="str">
            <v xml:space="preserve">Nhân viên Giao dịch </v>
          </cell>
          <cell r="F70">
            <v>1077308</v>
          </cell>
        </row>
        <row r="71">
          <cell r="B71" t="str">
            <v>CTV040525</v>
          </cell>
          <cell r="C71" t="str">
            <v>Võ Ngọc Thảo</v>
          </cell>
          <cell r="D71" t="str">
            <v>PBH CTH</v>
          </cell>
          <cell r="E71" t="str">
            <v>Quản lý kênh</v>
          </cell>
          <cell r="F71">
            <v>3126187</v>
          </cell>
        </row>
        <row r="72">
          <cell r="B72" t="str">
            <v>CTV023033</v>
          </cell>
          <cell r="C72" t="str">
            <v>Nguyễn Thị Thu Lan</v>
          </cell>
          <cell r="D72" t="str">
            <v>PBH BTI</v>
          </cell>
          <cell r="E72" t="str">
            <v>Nhân viên Giao dịch</v>
          </cell>
          <cell r="F72">
            <v>1866786</v>
          </cell>
        </row>
        <row r="73">
          <cell r="B73" t="str">
            <v>CTV023034</v>
          </cell>
          <cell r="C73" t="str">
            <v>Nguyễn Văn Thanh Bình</v>
          </cell>
          <cell r="D73" t="str">
            <v>PBH GTM</v>
          </cell>
          <cell r="E73" t="str">
            <v>AM</v>
          </cell>
          <cell r="F73">
            <v>3318525</v>
          </cell>
        </row>
        <row r="74">
          <cell r="B74" t="str">
            <v>CTV023035</v>
          </cell>
          <cell r="C74" t="str">
            <v>Trần Thị Bé Muội</v>
          </cell>
          <cell r="D74" t="str">
            <v>PBH GTM</v>
          </cell>
          <cell r="E74" t="str">
            <v xml:space="preserve">Nhân viên Giao dịch </v>
          </cell>
          <cell r="F74">
            <v>3650745</v>
          </cell>
        </row>
        <row r="75">
          <cell r="B75" t="str">
            <v>CTV083070</v>
          </cell>
          <cell r="C75" t="str">
            <v>Lê Duy Thịnh</v>
          </cell>
          <cell r="D75" t="str">
            <v>PBH GTM</v>
          </cell>
          <cell r="E75" t="str">
            <v>AM</v>
          </cell>
          <cell r="F75">
            <v>760520</v>
          </cell>
        </row>
        <row r="76">
          <cell r="B76" t="str">
            <v>CTV049292</v>
          </cell>
          <cell r="C76" t="str">
            <v>Nguyễn Hữu Trọng</v>
          </cell>
          <cell r="D76" t="str">
            <v>PBH BTI</v>
          </cell>
          <cell r="E76" t="str">
            <v>AM</v>
          </cell>
          <cell r="F76">
            <v>1939245</v>
          </cell>
        </row>
        <row r="77">
          <cell r="B77" t="str">
            <v>CTV041556</v>
          </cell>
          <cell r="C77" t="str">
            <v>Đặng La Đô</v>
          </cell>
          <cell r="D77" t="str">
            <v>PBH BTI</v>
          </cell>
          <cell r="E77" t="str">
            <v>Nhân viên quản lý địa bàn và BHTT</v>
          </cell>
          <cell r="F77">
            <v>411486</v>
          </cell>
        </row>
        <row r="78">
          <cell r="B78" t="str">
            <v>CTV055621</v>
          </cell>
          <cell r="C78" t="str">
            <v>Nguyễn Phương Duy</v>
          </cell>
          <cell r="D78" t="str">
            <v>PBH BTI</v>
          </cell>
          <cell r="E78" t="str">
            <v>Nhân viên quản lý địa bàn và BHTT</v>
          </cell>
          <cell r="F78">
            <v>596300</v>
          </cell>
        </row>
        <row r="79">
          <cell r="B79" t="str">
            <v>CTV085612</v>
          </cell>
          <cell r="C79" t="str">
            <v>Đào Thị Vỏi</v>
          </cell>
          <cell r="D79" t="str">
            <v>PBH BTI</v>
          </cell>
          <cell r="E79" t="str">
            <v xml:space="preserve">Nhân viên Giao dịch </v>
          </cell>
          <cell r="F79">
            <v>1324851</v>
          </cell>
        </row>
        <row r="80">
          <cell r="B80" t="str">
            <v>CTV086744</v>
          </cell>
          <cell r="C80" t="str">
            <v>Trần Ngô Thúy Vy</v>
          </cell>
          <cell r="D80" t="str">
            <v>PBH BTI</v>
          </cell>
          <cell r="E80" t="str">
            <v xml:space="preserve">Nhân viên Giao dịch </v>
          </cell>
          <cell r="F80">
            <v>902636</v>
          </cell>
        </row>
        <row r="81">
          <cell r="B81" t="str">
            <v>CTV076920</v>
          </cell>
          <cell r="C81" t="str">
            <v>Nguyễn Tiến Trọng</v>
          </cell>
          <cell r="D81" t="str">
            <v>PBH BTI</v>
          </cell>
          <cell r="E81" t="str">
            <v>AM</v>
          </cell>
          <cell r="F81">
            <v>403968</v>
          </cell>
        </row>
        <row r="82">
          <cell r="B82" t="str">
            <v>CTV023209</v>
          </cell>
          <cell r="C82" t="str">
            <v>Phan Trần Đức Ngân</v>
          </cell>
          <cell r="D82" t="str">
            <v>PBH BĐI</v>
          </cell>
          <cell r="E82" t="str">
            <v>Nhân viên quản lý địa bàn và BHTT</v>
          </cell>
          <cell r="F82">
            <v>3130320</v>
          </cell>
        </row>
        <row r="83">
          <cell r="B83" t="str">
            <v>CTV023043</v>
          </cell>
          <cell r="C83" t="str">
            <v>Võ Phạm Huỳnh Trang</v>
          </cell>
          <cell r="D83" t="str">
            <v>PBH BĐI</v>
          </cell>
          <cell r="E83" t="str">
            <v>Nhân viên Quản lý hóa đơn  cước</v>
          </cell>
          <cell r="F83">
            <v>1845153</v>
          </cell>
        </row>
        <row r="84">
          <cell r="B84" t="str">
            <v>CTV023040</v>
          </cell>
          <cell r="C84" t="str">
            <v>Trần Thị Thảo Phương</v>
          </cell>
          <cell r="D84" t="str">
            <v>PBH BĐI</v>
          </cell>
          <cell r="E84" t="str">
            <v>Nhân viên Giao dịch</v>
          </cell>
          <cell r="F84">
            <v>2226844</v>
          </cell>
        </row>
        <row r="85">
          <cell r="B85" t="str">
            <v>CTV023041</v>
          </cell>
          <cell r="C85" t="str">
            <v>Phan Thị Mỹ Hảo</v>
          </cell>
          <cell r="D85" t="str">
            <v>PBH BĐI</v>
          </cell>
          <cell r="E85" t="str">
            <v>Nhân viên Giao dịch</v>
          </cell>
          <cell r="F85">
            <v>1902795</v>
          </cell>
        </row>
        <row r="86">
          <cell r="B86" t="str">
            <v>CTV036747</v>
          </cell>
          <cell r="C86" t="str">
            <v>Hà Thị Trúc Huỳnh</v>
          </cell>
          <cell r="D86" t="str">
            <v>PBH BĐI</v>
          </cell>
          <cell r="E86" t="str">
            <v>Nhân viên quản lý địa bàn và BHTT</v>
          </cell>
          <cell r="F86">
            <v>1299494</v>
          </cell>
        </row>
        <row r="87">
          <cell r="B87" t="str">
            <v>CTV036722</v>
          </cell>
          <cell r="C87" t="str">
            <v>Nguyễn Thành Long</v>
          </cell>
          <cell r="D87" t="str">
            <v>PBH BĐI</v>
          </cell>
          <cell r="E87" t="str">
            <v>Nhân viên quản lý địa bàn và BHTT</v>
          </cell>
          <cell r="F87">
            <v>2861499</v>
          </cell>
        </row>
        <row r="88">
          <cell r="B88" t="str">
            <v>CTV059753</v>
          </cell>
          <cell r="C88" t="str">
            <v>Nguyễn Hữu Nhân</v>
          </cell>
          <cell r="D88" t="str">
            <v>PBH CTH</v>
          </cell>
          <cell r="E88" t="str">
            <v>Nhân viên quản lý địa bàn và BHTT</v>
          </cell>
          <cell r="F88">
            <v>3106039</v>
          </cell>
        </row>
        <row r="89">
          <cell r="B89" t="str">
            <v>CTV083584</v>
          </cell>
          <cell r="C89" t="str">
            <v>Bùi Thị Như Liên</v>
          </cell>
          <cell r="D89" t="str">
            <v>PBH BĐI</v>
          </cell>
          <cell r="E89" t="str">
            <v>Quản lý cước</v>
          </cell>
          <cell r="F89">
            <v>2022194</v>
          </cell>
        </row>
        <row r="90">
          <cell r="B90" t="str">
            <v>CTV058438</v>
          </cell>
          <cell r="C90" t="str">
            <v>Trần Thị Ngọc Tuyền</v>
          </cell>
          <cell r="D90" t="str">
            <v>PBH BĐI</v>
          </cell>
          <cell r="E90" t="str">
            <v>Nhân viên Giao dịch</v>
          </cell>
          <cell r="F90">
            <v>734722</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s>
    <sheetDataSet>
      <sheetData sheetId="0">
        <row r="7">
          <cell r="B7" t="str">
            <v>Lê Trang Mỹ Nhiên</v>
          </cell>
          <cell r="C7">
            <v>4130200</v>
          </cell>
          <cell r="D7">
            <v>887993</v>
          </cell>
          <cell r="E7">
            <v>433671</v>
          </cell>
          <cell r="F7">
            <v>1321664</v>
          </cell>
        </row>
        <row r="8">
          <cell r="B8" t="str">
            <v>Nguyễn Thị Thu Hằng</v>
          </cell>
          <cell r="C8">
            <v>4718700</v>
          </cell>
          <cell r="D8">
            <v>1014520.5</v>
          </cell>
          <cell r="E8">
            <v>495463.5</v>
          </cell>
          <cell r="F8">
            <v>1509984</v>
          </cell>
        </row>
        <row r="9">
          <cell r="B9" t="str">
            <v>Trần Lâm Minh Thu</v>
          </cell>
          <cell r="C9">
            <v>4718700</v>
          </cell>
          <cell r="D9">
            <v>1014520.5</v>
          </cell>
          <cell r="E9">
            <v>495463.5</v>
          </cell>
          <cell r="F9">
            <v>1509984</v>
          </cell>
        </row>
        <row r="10">
          <cell r="B10" t="str">
            <v>Nguyễn Thị Huỳnh Ngân</v>
          </cell>
          <cell r="C10">
            <v>4718700</v>
          </cell>
          <cell r="D10">
            <v>1014520.5</v>
          </cell>
          <cell r="E10">
            <v>495463.5</v>
          </cell>
          <cell r="F10">
            <v>1509984</v>
          </cell>
        </row>
        <row r="11">
          <cell r="B11" t="str">
            <v>Nguyễn Thị Diệu Hương</v>
          </cell>
          <cell r="C11">
            <v>4718700</v>
          </cell>
          <cell r="D11">
            <v>1014520.5</v>
          </cell>
          <cell r="E11">
            <v>495463.5</v>
          </cell>
          <cell r="F11">
            <v>1509984</v>
          </cell>
        </row>
        <row r="12">
          <cell r="B12" t="str">
            <v>Nguyễn Thị Cẩm Trúc</v>
          </cell>
          <cell r="C12">
            <v>4718700</v>
          </cell>
          <cell r="D12">
            <v>1014520.5</v>
          </cell>
          <cell r="E12">
            <v>495463.5</v>
          </cell>
          <cell r="F12">
            <v>1509984</v>
          </cell>
        </row>
        <row r="13">
          <cell r="B13" t="str">
            <v>Trần Thị Phương Dung</v>
          </cell>
          <cell r="C13">
            <v>4718700</v>
          </cell>
          <cell r="D13">
            <v>1014520.5</v>
          </cell>
          <cell r="E13">
            <v>495463.5</v>
          </cell>
          <cell r="F13">
            <v>1509984</v>
          </cell>
        </row>
        <row r="14">
          <cell r="B14" t="str">
            <v>Nguyễn Châu Đoan</v>
          </cell>
          <cell r="C14">
            <v>4718700</v>
          </cell>
          <cell r="D14">
            <v>1014520.5</v>
          </cell>
          <cell r="E14">
            <v>495463.5</v>
          </cell>
          <cell r="F14">
            <v>1509984</v>
          </cell>
        </row>
        <row r="15">
          <cell r="B15" t="str">
            <v>Võ Ngọc Ẩn</v>
          </cell>
          <cell r="C15">
            <v>4718700</v>
          </cell>
          <cell r="D15">
            <v>1014520.5</v>
          </cell>
          <cell r="E15">
            <v>495463.5</v>
          </cell>
          <cell r="F15">
            <v>1509984</v>
          </cell>
        </row>
        <row r="16">
          <cell r="B16" t="str">
            <v>Hồ Như Gương</v>
          </cell>
          <cell r="C16">
            <v>4718700</v>
          </cell>
          <cell r="D16">
            <v>1014520.5</v>
          </cell>
          <cell r="E16">
            <v>495463.5</v>
          </cell>
          <cell r="F16">
            <v>1509984</v>
          </cell>
        </row>
        <row r="17">
          <cell r="B17" t="str">
            <v>Huỳnh Thị Hoàng Linh</v>
          </cell>
          <cell r="C17">
            <v>4718700</v>
          </cell>
          <cell r="D17">
            <v>1014520.5</v>
          </cell>
          <cell r="E17">
            <v>495463.5</v>
          </cell>
          <cell r="F17">
            <v>1509984</v>
          </cell>
        </row>
        <row r="18">
          <cell r="B18" t="str">
            <v>Nguyễn Thị Diện</v>
          </cell>
          <cell r="C18">
            <v>4718700</v>
          </cell>
          <cell r="D18">
            <v>1014520.5</v>
          </cell>
          <cell r="E18">
            <v>495463.5</v>
          </cell>
          <cell r="F18">
            <v>1509984</v>
          </cell>
        </row>
        <row r="19">
          <cell r="B19" t="str">
            <v>Lê Thị Hồng Nhung</v>
          </cell>
          <cell r="C19">
            <v>4718700</v>
          </cell>
          <cell r="D19">
            <v>1014520.5</v>
          </cell>
          <cell r="E19">
            <v>495463.5</v>
          </cell>
          <cell r="F19">
            <v>1509984</v>
          </cell>
        </row>
        <row r="20">
          <cell r="B20" t="str">
            <v>Phạm Thị Thanh Thúy</v>
          </cell>
          <cell r="C20">
            <v>4718700</v>
          </cell>
          <cell r="D20">
            <v>1014520.5</v>
          </cell>
          <cell r="E20">
            <v>495463.5</v>
          </cell>
          <cell r="F20">
            <v>1509984</v>
          </cell>
        </row>
        <row r="21">
          <cell r="B21" t="str">
            <v>Đào Thị Thúy An</v>
          </cell>
          <cell r="C21">
            <v>4718700</v>
          </cell>
          <cell r="D21">
            <v>1014520.5</v>
          </cell>
          <cell r="E21">
            <v>495463.5</v>
          </cell>
          <cell r="F21">
            <v>1509984</v>
          </cell>
        </row>
        <row r="22">
          <cell r="B22" t="str">
            <v>Võ Thị Tuyết Vân</v>
          </cell>
          <cell r="C22">
            <v>4718700</v>
          </cell>
          <cell r="D22">
            <v>1014520.5</v>
          </cell>
          <cell r="E22">
            <v>495463.5</v>
          </cell>
          <cell r="F22">
            <v>1509984</v>
          </cell>
        </row>
        <row r="23">
          <cell r="B23" t="str">
            <v>Huỳnh Thy Nga</v>
          </cell>
          <cell r="C23">
            <v>4718700</v>
          </cell>
          <cell r="D23">
            <v>1014520.5</v>
          </cell>
          <cell r="E23">
            <v>495463.5</v>
          </cell>
          <cell r="F23">
            <v>1509984</v>
          </cell>
        </row>
        <row r="24">
          <cell r="B24" t="str">
            <v>Nguyễn Dương Ngọc Linh</v>
          </cell>
          <cell r="C24">
            <v>4718700</v>
          </cell>
          <cell r="D24">
            <v>1014520.5</v>
          </cell>
          <cell r="E24">
            <v>495463.5</v>
          </cell>
          <cell r="F24">
            <v>1509984</v>
          </cell>
        </row>
        <row r="25">
          <cell r="B25" t="str">
            <v>Phan Thị Kim Đính</v>
          </cell>
          <cell r="C25">
            <v>4718700</v>
          </cell>
          <cell r="D25">
            <v>1014520.5</v>
          </cell>
          <cell r="E25">
            <v>495463.5</v>
          </cell>
          <cell r="F25">
            <v>1509984</v>
          </cell>
        </row>
        <row r="26">
          <cell r="B26" t="str">
            <v>Nguyễn Thị Xuân Lan</v>
          </cell>
          <cell r="C26">
            <v>4718700</v>
          </cell>
          <cell r="D26">
            <v>1014520.5</v>
          </cell>
          <cell r="E26">
            <v>495463.5</v>
          </cell>
          <cell r="F26">
            <v>1509984</v>
          </cell>
        </row>
        <row r="27">
          <cell r="B27" t="str">
            <v>Ngô Nguyễn Huỳnh Như</v>
          </cell>
          <cell r="C27">
            <v>4718700</v>
          </cell>
          <cell r="D27">
            <v>1014520.5</v>
          </cell>
          <cell r="E27">
            <v>495463.5</v>
          </cell>
          <cell r="F27">
            <v>1509984</v>
          </cell>
        </row>
        <row r="28">
          <cell r="B28" t="str">
            <v>Võ Thị Thiên Kiều</v>
          </cell>
          <cell r="C28">
            <v>4718700</v>
          </cell>
          <cell r="D28">
            <v>1014520.5</v>
          </cell>
          <cell r="E28">
            <v>495463.5</v>
          </cell>
          <cell r="F28">
            <v>1509984</v>
          </cell>
        </row>
        <row r="29">
          <cell r="B29" t="str">
            <v>Nguyễn Lê Nguyệt Lâm</v>
          </cell>
          <cell r="C29">
            <v>4718700</v>
          </cell>
          <cell r="D29">
            <v>1014520.5</v>
          </cell>
          <cell r="E29">
            <v>495463.5</v>
          </cell>
          <cell r="F29">
            <v>1509984</v>
          </cell>
        </row>
        <row r="30">
          <cell r="B30" t="str">
            <v>Mai Thị Hoa Lan</v>
          </cell>
          <cell r="C30">
            <v>4718700</v>
          </cell>
          <cell r="D30">
            <v>1014520.5</v>
          </cell>
          <cell r="E30">
            <v>495463.5</v>
          </cell>
          <cell r="F30">
            <v>1509984</v>
          </cell>
        </row>
        <row r="31">
          <cell r="B31" t="str">
            <v>Dương Thị Kim Thoa</v>
          </cell>
          <cell r="C31">
            <v>4130200</v>
          </cell>
          <cell r="D31">
            <v>887993</v>
          </cell>
          <cell r="E31">
            <v>433671</v>
          </cell>
          <cell r="F31">
            <v>1321664</v>
          </cell>
        </row>
        <row r="32">
          <cell r="B32" t="str">
            <v>Bùi Thị Thu Trang</v>
          </cell>
          <cell r="C32">
            <v>4130200</v>
          </cell>
          <cell r="D32">
            <v>887993</v>
          </cell>
          <cell r="E32">
            <v>433671</v>
          </cell>
          <cell r="F32">
            <v>1321664</v>
          </cell>
        </row>
        <row r="33">
          <cell r="B33" t="str">
            <v>Lê Thanh Quyên</v>
          </cell>
          <cell r="C33">
            <v>4130200</v>
          </cell>
          <cell r="D33">
            <v>887993</v>
          </cell>
          <cell r="E33">
            <v>433671</v>
          </cell>
          <cell r="F33">
            <v>1321664</v>
          </cell>
        </row>
        <row r="34">
          <cell r="B34" t="str">
            <v>Lê Thị Kim Loan</v>
          </cell>
          <cell r="C34">
            <v>4130200</v>
          </cell>
          <cell r="D34">
            <v>887993</v>
          </cell>
          <cell r="E34">
            <v>433671</v>
          </cell>
          <cell r="F34">
            <v>1321664</v>
          </cell>
        </row>
        <row r="35">
          <cell r="B35" t="str">
            <v>Nguyễn Lê Thanh</v>
          </cell>
          <cell r="C35">
            <v>4130200</v>
          </cell>
          <cell r="D35">
            <v>887993</v>
          </cell>
          <cell r="E35">
            <v>433671</v>
          </cell>
          <cell r="F35">
            <v>1321664</v>
          </cell>
        </row>
        <row r="36">
          <cell r="B36" t="str">
            <v>Trần Văn Cảnh</v>
          </cell>
          <cell r="C36">
            <v>4130200</v>
          </cell>
          <cell r="D36">
            <v>887993</v>
          </cell>
          <cell r="E36">
            <v>433671</v>
          </cell>
          <cell r="F36">
            <v>1321664</v>
          </cell>
        </row>
        <row r="37">
          <cell r="B37" t="str">
            <v>Nguyễn Thị Ngọc Diệp</v>
          </cell>
          <cell r="C37">
            <v>4130200</v>
          </cell>
          <cell r="D37">
            <v>887993</v>
          </cell>
          <cell r="E37">
            <v>433671</v>
          </cell>
          <cell r="F37">
            <v>1321664</v>
          </cell>
        </row>
        <row r="38">
          <cell r="B38" t="str">
            <v>Nguyễn Thị Trúc Mai</v>
          </cell>
          <cell r="C38">
            <v>4130200</v>
          </cell>
          <cell r="D38">
            <v>887993</v>
          </cell>
          <cell r="E38">
            <v>433671</v>
          </cell>
          <cell r="F38">
            <v>1321664</v>
          </cell>
        </row>
        <row r="39">
          <cell r="B39" t="str">
            <v>Lữ Thị Tuyết Loan</v>
          </cell>
          <cell r="C39">
            <v>4130200</v>
          </cell>
          <cell r="D39">
            <v>887993</v>
          </cell>
          <cell r="E39">
            <v>433671</v>
          </cell>
          <cell r="F39">
            <v>1321664</v>
          </cell>
        </row>
        <row r="40">
          <cell r="B40" t="str">
            <v>Bùi Tấn Đạt</v>
          </cell>
          <cell r="C40">
            <v>4130200</v>
          </cell>
          <cell r="D40">
            <v>887993</v>
          </cell>
          <cell r="E40">
            <v>433671</v>
          </cell>
          <cell r="F40">
            <v>1321664</v>
          </cell>
        </row>
        <row r="41">
          <cell r="B41" t="str">
            <v>Phạm Trung Quân</v>
          </cell>
          <cell r="C41">
            <v>4130200</v>
          </cell>
          <cell r="D41">
            <v>887993</v>
          </cell>
          <cell r="E41">
            <v>433671</v>
          </cell>
          <cell r="F41">
            <v>1321664</v>
          </cell>
        </row>
        <row r="42">
          <cell r="B42" t="str">
            <v>Trần Thị Phượng Linh</v>
          </cell>
          <cell r="C42">
            <v>4130200</v>
          </cell>
          <cell r="D42">
            <v>887993</v>
          </cell>
          <cell r="E42">
            <v>433671</v>
          </cell>
          <cell r="F42">
            <v>1321664</v>
          </cell>
        </row>
        <row r="43">
          <cell r="B43" t="str">
            <v>Lưu Thị Trúc Giang</v>
          </cell>
          <cell r="C43">
            <v>4130200</v>
          </cell>
          <cell r="D43">
            <v>887993</v>
          </cell>
          <cell r="E43">
            <v>433671</v>
          </cell>
          <cell r="F43">
            <v>1321664</v>
          </cell>
        </row>
        <row r="44">
          <cell r="B44" t="str">
            <v>Nguyễn Thị Vỹ Hương Linh</v>
          </cell>
          <cell r="C44">
            <v>3691500</v>
          </cell>
          <cell r="D44">
            <v>793672.5</v>
          </cell>
          <cell r="E44">
            <v>387607.5</v>
          </cell>
          <cell r="F44">
            <v>1181280</v>
          </cell>
        </row>
        <row r="45">
          <cell r="B45" t="str">
            <v>Lê Thị Linh Phương</v>
          </cell>
          <cell r="C45">
            <v>3691500</v>
          </cell>
          <cell r="D45">
            <v>793672.5</v>
          </cell>
          <cell r="E45">
            <v>387607.5</v>
          </cell>
          <cell r="F45">
            <v>1181280</v>
          </cell>
        </row>
        <row r="46">
          <cell r="B46" t="str">
            <v>Nguyễn Khắc Huy</v>
          </cell>
          <cell r="C46">
            <v>3691500</v>
          </cell>
          <cell r="D46">
            <v>793672.5</v>
          </cell>
          <cell r="E46">
            <v>387607.5</v>
          </cell>
          <cell r="F46">
            <v>1181280</v>
          </cell>
        </row>
        <row r="47">
          <cell r="B47" t="str">
            <v>Nguyễn Thanh Hằng</v>
          </cell>
          <cell r="C47">
            <v>3691500</v>
          </cell>
          <cell r="D47">
            <v>793672.5</v>
          </cell>
          <cell r="E47">
            <v>387607.5</v>
          </cell>
          <cell r="F47">
            <v>1181280</v>
          </cell>
        </row>
        <row r="48">
          <cell r="B48" t="str">
            <v>Phan Thành Hiếu</v>
          </cell>
          <cell r="C48">
            <v>3691500</v>
          </cell>
          <cell r="D48">
            <v>793672.5</v>
          </cell>
          <cell r="E48">
            <v>387607.5</v>
          </cell>
          <cell r="F48">
            <v>1181280</v>
          </cell>
        </row>
        <row r="49">
          <cell r="B49" t="str">
            <v>Phan Nguyễn Lan Phương</v>
          </cell>
          <cell r="C49">
            <v>3691500</v>
          </cell>
          <cell r="D49">
            <v>793672.5</v>
          </cell>
          <cell r="E49">
            <v>387607.5</v>
          </cell>
          <cell r="F49">
            <v>1181280</v>
          </cell>
        </row>
        <row r="50">
          <cell r="B50" t="str">
            <v>Nguyễn Thị Tuyết Sang</v>
          </cell>
          <cell r="C50">
            <v>3691500</v>
          </cell>
          <cell r="D50">
            <v>793672.5</v>
          </cell>
          <cell r="E50">
            <v>387607.5</v>
          </cell>
          <cell r="F50">
            <v>1181280</v>
          </cell>
        </row>
        <row r="51">
          <cell r="B51" t="str">
            <v>Nguyễn Tự Minh Tiến</v>
          </cell>
          <cell r="C51">
            <v>3691500</v>
          </cell>
          <cell r="D51">
            <v>793672.5</v>
          </cell>
          <cell r="E51">
            <v>387607.5</v>
          </cell>
          <cell r="F51">
            <v>1181280</v>
          </cell>
        </row>
        <row r="52">
          <cell r="B52" t="str">
            <v>Nguyễn Thị Kim Thi</v>
          </cell>
          <cell r="C52">
            <v>3691500</v>
          </cell>
          <cell r="D52">
            <v>793672.5</v>
          </cell>
          <cell r="E52">
            <v>387607.5</v>
          </cell>
          <cell r="F52">
            <v>1181280</v>
          </cell>
        </row>
        <row r="53">
          <cell r="B53" t="str">
            <v>Mai Thị Thùy</v>
          </cell>
          <cell r="C53">
            <v>3691500</v>
          </cell>
          <cell r="D53">
            <v>793672.5</v>
          </cell>
          <cell r="E53">
            <v>387607.5</v>
          </cell>
          <cell r="F53">
            <v>1181280</v>
          </cell>
        </row>
        <row r="54">
          <cell r="B54" t="str">
            <v>Nguyễn Thị  Lan Phương</v>
          </cell>
          <cell r="C54">
            <v>3691500</v>
          </cell>
          <cell r="D54">
            <v>793672.5</v>
          </cell>
          <cell r="E54">
            <v>387607.5</v>
          </cell>
          <cell r="F54">
            <v>1181280</v>
          </cell>
        </row>
        <row r="55">
          <cell r="B55" t="str">
            <v>Huỳnh Nguyễn Giao Hân</v>
          </cell>
          <cell r="C55">
            <v>3691500</v>
          </cell>
          <cell r="D55">
            <v>793672.5</v>
          </cell>
          <cell r="E55">
            <v>387607.5</v>
          </cell>
          <cell r="F55">
            <v>1181280</v>
          </cell>
        </row>
        <row r="56">
          <cell r="B56" t="str">
            <v>Lê Văn Giàu</v>
          </cell>
          <cell r="C56">
            <v>3691500</v>
          </cell>
          <cell r="D56">
            <v>793672.5</v>
          </cell>
          <cell r="E56">
            <v>387607.5</v>
          </cell>
          <cell r="F56">
            <v>1181280</v>
          </cell>
        </row>
        <row r="57">
          <cell r="B57" t="str">
            <v>Nguyễn Ngọc Linh Đan</v>
          </cell>
          <cell r="C57">
            <v>3691500</v>
          </cell>
          <cell r="D57">
            <v>793672.5</v>
          </cell>
          <cell r="E57">
            <v>387607.5</v>
          </cell>
          <cell r="F57">
            <v>1181280</v>
          </cell>
        </row>
        <row r="58">
          <cell r="B58" t="str">
            <v>Trần Thị Thanh Trúc</v>
          </cell>
          <cell r="C58">
            <v>4718700</v>
          </cell>
          <cell r="D58">
            <v>1014520.5</v>
          </cell>
          <cell r="E58">
            <v>495463.5</v>
          </cell>
          <cell r="F58">
            <v>1509984</v>
          </cell>
        </row>
        <row r="59">
          <cell r="B59" t="str">
            <v>Hồ Thanh Liêm</v>
          </cell>
          <cell r="C59">
            <v>4718700</v>
          </cell>
          <cell r="D59">
            <v>1014520.5</v>
          </cell>
          <cell r="E59">
            <v>495463.5</v>
          </cell>
          <cell r="F59">
            <v>1509984</v>
          </cell>
        </row>
        <row r="60">
          <cell r="B60" t="str">
            <v>Nguyễn Thanh Trúc</v>
          </cell>
          <cell r="C60">
            <v>4718700</v>
          </cell>
          <cell r="D60">
            <v>1014520.5</v>
          </cell>
          <cell r="E60">
            <v>495463.5</v>
          </cell>
          <cell r="F60">
            <v>1509984</v>
          </cell>
        </row>
        <row r="61">
          <cell r="B61" t="str">
            <v>Võ Ngọc Thảo</v>
          </cell>
          <cell r="C61">
            <v>4718700</v>
          </cell>
          <cell r="D61">
            <v>1014520.5</v>
          </cell>
          <cell r="E61">
            <v>495463.5</v>
          </cell>
          <cell r="F61">
            <v>1509984</v>
          </cell>
        </row>
        <row r="62">
          <cell r="B62" t="str">
            <v>Hồ Thanh Tuyền</v>
          </cell>
          <cell r="C62">
            <v>4718700</v>
          </cell>
          <cell r="D62">
            <v>1014520.5</v>
          </cell>
          <cell r="E62">
            <v>495463.5</v>
          </cell>
          <cell r="F62">
            <v>1509984</v>
          </cell>
        </row>
        <row r="63">
          <cell r="B63" t="str">
            <v>Lê Chí Cường</v>
          </cell>
          <cell r="C63">
            <v>4718700</v>
          </cell>
          <cell r="D63">
            <v>1014520.5</v>
          </cell>
          <cell r="E63">
            <v>495463.5</v>
          </cell>
          <cell r="F63">
            <v>1509984</v>
          </cell>
        </row>
        <row r="64">
          <cell r="B64" t="str">
            <v>Phan Thị Quyên</v>
          </cell>
          <cell r="C64">
            <v>4718700</v>
          </cell>
          <cell r="D64">
            <v>1014520.5</v>
          </cell>
          <cell r="E64">
            <v>495463.5</v>
          </cell>
          <cell r="F64">
            <v>1509984</v>
          </cell>
        </row>
        <row r="65">
          <cell r="B65" t="str">
            <v>Nguyễn Hữu Nhân</v>
          </cell>
          <cell r="C65">
            <v>4718700</v>
          </cell>
          <cell r="D65">
            <v>1014520.5</v>
          </cell>
          <cell r="E65">
            <v>495463.5</v>
          </cell>
          <cell r="F65">
            <v>1509984</v>
          </cell>
        </row>
        <row r="66">
          <cell r="B66" t="str">
            <v>Nguyễn Văn Thanh Bình</v>
          </cell>
          <cell r="C66">
            <v>3691500</v>
          </cell>
          <cell r="D66">
            <v>793672.5</v>
          </cell>
          <cell r="E66">
            <v>387607.5</v>
          </cell>
          <cell r="F66">
            <v>1181280</v>
          </cell>
        </row>
        <row r="67">
          <cell r="B67" t="str">
            <v>Trần Thị Bé Muội</v>
          </cell>
          <cell r="C67">
            <v>3691500</v>
          </cell>
          <cell r="D67">
            <v>793672.5</v>
          </cell>
          <cell r="E67">
            <v>387607.5</v>
          </cell>
          <cell r="F67">
            <v>1181280</v>
          </cell>
        </row>
        <row r="68">
          <cell r="B68" t="str">
            <v>Nguyễn Thị Ngọc Ngoan</v>
          </cell>
          <cell r="C68">
            <v>3691500</v>
          </cell>
          <cell r="D68">
            <v>793672.5</v>
          </cell>
          <cell r="E68">
            <v>387607.5</v>
          </cell>
          <cell r="F68">
            <v>1181280</v>
          </cell>
        </row>
        <row r="69">
          <cell r="B69" t="str">
            <v>Võ Trường Thịnh</v>
          </cell>
          <cell r="C69">
            <v>3691500</v>
          </cell>
          <cell r="D69">
            <v>793672.5</v>
          </cell>
          <cell r="E69">
            <v>387607.5</v>
          </cell>
          <cell r="F69">
            <v>1181280</v>
          </cell>
        </row>
        <row r="70">
          <cell r="B70" t="str">
            <v>Lê Duy Thịnh</v>
          </cell>
          <cell r="C70">
            <v>3691500</v>
          </cell>
          <cell r="D70">
            <v>793672.5</v>
          </cell>
          <cell r="E70">
            <v>387607.5</v>
          </cell>
          <cell r="F70">
            <v>1181280</v>
          </cell>
        </row>
        <row r="71">
          <cell r="B71" t="str">
            <v>Nguyễn Thị Thu Lan</v>
          </cell>
          <cell r="C71">
            <v>3691500</v>
          </cell>
          <cell r="D71">
            <v>793672.5</v>
          </cell>
          <cell r="E71">
            <v>387607.5</v>
          </cell>
          <cell r="F71">
            <v>1181280</v>
          </cell>
        </row>
        <row r="72">
          <cell r="B72" t="str">
            <v>Đặng La Đô</v>
          </cell>
          <cell r="C72">
            <v>3691500</v>
          </cell>
          <cell r="D72">
            <v>793672.5</v>
          </cell>
          <cell r="E72">
            <v>387607.5</v>
          </cell>
          <cell r="F72">
            <v>1181280</v>
          </cell>
        </row>
        <row r="73">
          <cell r="B73" t="str">
            <v>Nguyễn Hữu Trọng</v>
          </cell>
          <cell r="C73">
            <v>3691500</v>
          </cell>
          <cell r="D73">
            <v>793672.5</v>
          </cell>
          <cell r="E73">
            <v>387607.5</v>
          </cell>
          <cell r="F73">
            <v>1181280</v>
          </cell>
        </row>
        <row r="74">
          <cell r="B74" t="str">
            <v>Nguyễn Phương Duy</v>
          </cell>
          <cell r="C74">
            <v>3691500</v>
          </cell>
          <cell r="D74">
            <v>793672.5</v>
          </cell>
          <cell r="E74">
            <v>387607.5</v>
          </cell>
          <cell r="F74">
            <v>1181280</v>
          </cell>
        </row>
        <row r="75">
          <cell r="B75" t="str">
            <v>Nguyễn Tiến Trọng</v>
          </cell>
          <cell r="C75">
            <v>3691500</v>
          </cell>
          <cell r="D75">
            <v>793672.5</v>
          </cell>
          <cell r="E75">
            <v>387607.5</v>
          </cell>
          <cell r="F75">
            <v>1181280</v>
          </cell>
        </row>
        <row r="76">
          <cell r="B76" t="str">
            <v>Đào Thị Vỏi</v>
          </cell>
          <cell r="C76">
            <v>3691500</v>
          </cell>
          <cell r="D76">
            <v>793672.5</v>
          </cell>
          <cell r="E76">
            <v>387607.5</v>
          </cell>
          <cell r="F76">
            <v>1181280</v>
          </cell>
        </row>
        <row r="77">
          <cell r="B77" t="str">
            <v>Trần Ngô Thúy Vy</v>
          </cell>
          <cell r="C77">
            <v>3691500</v>
          </cell>
          <cell r="D77">
            <v>793672.5</v>
          </cell>
          <cell r="E77">
            <v>387607.5</v>
          </cell>
          <cell r="F77">
            <v>1181280</v>
          </cell>
        </row>
        <row r="78">
          <cell r="B78" t="str">
            <v>Trần Thị Thảo Phương</v>
          </cell>
          <cell r="C78">
            <v>3691500</v>
          </cell>
          <cell r="D78">
            <v>793672.5</v>
          </cell>
          <cell r="E78">
            <v>387607.5</v>
          </cell>
          <cell r="F78">
            <v>1181280</v>
          </cell>
        </row>
        <row r="79">
          <cell r="B79" t="str">
            <v>Phan Thị Mỹ Hảo</v>
          </cell>
          <cell r="C79">
            <v>3691500</v>
          </cell>
          <cell r="D79">
            <v>793672.5</v>
          </cell>
          <cell r="E79">
            <v>387607.5</v>
          </cell>
          <cell r="F79">
            <v>1181280</v>
          </cell>
        </row>
        <row r="80">
          <cell r="B80" t="str">
            <v>Võ Phạm Huỳnh Trang</v>
          </cell>
          <cell r="C80">
            <v>3691500</v>
          </cell>
          <cell r="D80">
            <v>793672.5</v>
          </cell>
          <cell r="E80">
            <v>387607.5</v>
          </cell>
          <cell r="F80">
            <v>1181280</v>
          </cell>
        </row>
        <row r="81">
          <cell r="B81" t="str">
            <v>Phan Trần Đức Ngân</v>
          </cell>
          <cell r="C81">
            <v>3691500</v>
          </cell>
          <cell r="D81">
            <v>793672.5</v>
          </cell>
          <cell r="E81">
            <v>387607.5</v>
          </cell>
          <cell r="F81">
            <v>1181280</v>
          </cell>
        </row>
        <row r="82">
          <cell r="B82" t="str">
            <v>Nguyễn Thành Long</v>
          </cell>
          <cell r="C82">
            <v>3691500</v>
          </cell>
          <cell r="D82">
            <v>793672.5</v>
          </cell>
          <cell r="E82">
            <v>387607.5</v>
          </cell>
          <cell r="F82">
            <v>1181280</v>
          </cell>
        </row>
        <row r="83">
          <cell r="B83" t="str">
            <v>Trần Thị Ngọc Tuyền</v>
          </cell>
          <cell r="C83">
            <v>3691500</v>
          </cell>
          <cell r="D83">
            <v>793672.5</v>
          </cell>
          <cell r="E83">
            <v>387607.5</v>
          </cell>
          <cell r="F83">
            <v>1181280</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ngatang"/>
      <sheetName val="DSOAT-T1.2025"/>
      <sheetName val="Thuế TNCN T12"/>
      <sheetName val="bảng lương T12.2023"/>
      <sheetName val="BẢNG LƯƠNG"/>
      <sheetName val="338888-CTV"/>
      <sheetName val="338888_T12"/>
      <sheetName val="Sheet23"/>
      <sheetName val="Bảng lương t12"/>
      <sheetName val="Thuế TNCN _T1"/>
      <sheetName val="Bảng lương t1.2025"/>
      <sheetName val="338888_CTV T1.2025"/>
      <sheetName val="338888_TV_T11"/>
      <sheetName val="338888_CTV_T11"/>
      <sheetName val="338888_TV_T10"/>
      <sheetName val="338888_CTV_T10"/>
      <sheetName val="338888_CTV_T9"/>
      <sheetName val="Bảng lương T5.2024"/>
      <sheetName val="338888_TV"/>
      <sheetName val="338888_CTV"/>
      <sheetName val="BHXH, BHYT, PHÍ"/>
      <sheetName val="tỷ lệ dt"/>
      <sheetName val="HT"/>
      <sheetName val="THUẾ T4"/>
      <sheetName val="ĐNTT T4"/>
      <sheetName val="Bảng lương T4.2024"/>
      <sheetName val="338888-TV"/>
      <sheetName val="338888-CTV-T4"/>
      <sheetName val="Sheet1"/>
      <sheetName val="792"/>
      <sheetName val="795"/>
      <sheetName val="841"/>
      <sheetName val="840"/>
      <sheetName val="839"/>
      <sheetName val="817"/>
      <sheetName val="894"/>
      <sheetName val="893"/>
      <sheetName val="929"/>
      <sheetName val="928"/>
      <sheetName val="972"/>
      <sheetName val="975"/>
      <sheetName val="976"/>
      <sheetName val="994"/>
      <sheetName val="THUẾ T5"/>
      <sheetName val="ĐNTT T5"/>
      <sheetName val="1091"/>
      <sheetName val="1144"/>
      <sheetName val="tỷ lệ"/>
      <sheetName val="lương p1p3"/>
      <sheetName val="lương đơn giá"/>
      <sheetName val="Sheet2"/>
      <sheetName val="1223"/>
      <sheetName val="1214"/>
      <sheetName val="1295"/>
      <sheetName val="1355"/>
      <sheetName val="1381"/>
      <sheetName val="1383"/>
      <sheetName val="1407"/>
      <sheetName val="Sheet3"/>
      <sheetName val="1474"/>
      <sheetName val="1520"/>
      <sheetName val="1527"/>
      <sheetName val="1549"/>
      <sheetName val="1737"/>
      <sheetName val="1735"/>
      <sheetName val="1752"/>
      <sheetName val="1762"/>
      <sheetName val="1764"/>
      <sheetName val="1763"/>
      <sheetName val="1794"/>
      <sheetName val="Sheet4"/>
      <sheetName val="2107"/>
      <sheetName val="2121"/>
      <sheetName val="2149"/>
      <sheetName val="2198"/>
      <sheetName val="2218"/>
      <sheetName val="2245"/>
      <sheetName val="2304"/>
      <sheetName val="2309"/>
      <sheetName val="2328"/>
      <sheetName val="2406"/>
      <sheetName val="2460"/>
      <sheetName val="2521"/>
      <sheetName val="2566"/>
      <sheetName val="2567"/>
      <sheetName val="2761"/>
      <sheetName val="2659"/>
      <sheetName val="2721"/>
      <sheetName val="2722"/>
      <sheetName val="2790"/>
      <sheetName val="2791"/>
      <sheetName val="2815"/>
      <sheetName val="2814"/>
      <sheetName val="2830"/>
      <sheetName val="2831"/>
      <sheetName val="2832"/>
      <sheetName val="338888_COKY_1.2025"/>
      <sheetName val="HT "/>
      <sheetName val="Sheet8"/>
      <sheetName val="64"/>
      <sheetName val="210"/>
    </sheetNames>
    <sheetDataSet>
      <sheetData sheetId="0"/>
      <sheetData sheetId="1"/>
      <sheetData sheetId="2"/>
      <sheetData sheetId="3"/>
      <sheetData sheetId="4"/>
      <sheetData sheetId="5"/>
      <sheetData sheetId="6"/>
      <sheetData sheetId="7"/>
      <sheetData sheetId="8"/>
      <sheetData sheetId="9">
        <row r="9">
          <cell r="B9" t="str">
            <v>CTV028376</v>
          </cell>
          <cell r="C9" t="str">
            <v>Nguyễn Thị Huỳnh Ngân</v>
          </cell>
          <cell r="D9">
            <v>4718700</v>
          </cell>
          <cell r="E9">
            <v>13162045</v>
          </cell>
          <cell r="F9">
            <v>495464</v>
          </cell>
          <cell r="G9">
            <v>11000000</v>
          </cell>
          <cell r="H9">
            <v>1</v>
          </cell>
        </row>
        <row r="10">
          <cell r="B10" t="str">
            <v>CTV023207</v>
          </cell>
          <cell r="C10" t="str">
            <v>Nguyễn Thị Ngọc Diệp</v>
          </cell>
          <cell r="D10">
            <v>4130200.0000000005</v>
          </cell>
          <cell r="E10">
            <v>17347360</v>
          </cell>
          <cell r="F10">
            <v>433671</v>
          </cell>
          <cell r="G10">
            <v>11000000</v>
          </cell>
          <cell r="H10">
            <v>2</v>
          </cell>
        </row>
        <row r="11">
          <cell r="B11" t="str">
            <v>CTV040279</v>
          </cell>
          <cell r="C11" t="str">
            <v>Nguyễn Châu Đoan</v>
          </cell>
          <cell r="D11">
            <v>4718700</v>
          </cell>
          <cell r="E11">
            <v>12370605</v>
          </cell>
          <cell r="F11">
            <v>495464</v>
          </cell>
          <cell r="G11">
            <v>11000000</v>
          </cell>
          <cell r="H11">
            <v>0</v>
          </cell>
        </row>
        <row r="12">
          <cell r="B12" t="str">
            <v>CTV023011</v>
          </cell>
          <cell r="C12" t="str">
            <v>Nguyễn Thị Thu Hằng</v>
          </cell>
          <cell r="D12">
            <v>4718700</v>
          </cell>
          <cell r="E12">
            <v>8072357</v>
          </cell>
          <cell r="F12">
            <v>495464</v>
          </cell>
          <cell r="G12">
            <v>11000000</v>
          </cell>
          <cell r="H12">
            <v>1</v>
          </cell>
        </row>
        <row r="13">
          <cell r="B13" t="str">
            <v>CTV023224</v>
          </cell>
          <cell r="C13" t="str">
            <v>Huỳnh Thị Hoàng Linh</v>
          </cell>
          <cell r="D13">
            <v>4718700</v>
          </cell>
          <cell r="E13">
            <v>14323201</v>
          </cell>
          <cell r="F13">
            <v>495464</v>
          </cell>
          <cell r="G13">
            <v>11000000</v>
          </cell>
          <cell r="H13">
            <v>0</v>
          </cell>
        </row>
        <row r="14">
          <cell r="B14" t="str">
            <v>CTV023225</v>
          </cell>
          <cell r="C14" t="str">
            <v>Nguyễn Thị Diện</v>
          </cell>
          <cell r="D14">
            <v>4718700</v>
          </cell>
          <cell r="E14">
            <v>12985145</v>
          </cell>
          <cell r="F14">
            <v>495464</v>
          </cell>
          <cell r="G14">
            <v>11000000</v>
          </cell>
          <cell r="H14">
            <v>0</v>
          </cell>
        </row>
        <row r="15">
          <cell r="B15" t="str">
            <v>CTV043657</v>
          </cell>
          <cell r="C15" t="str">
            <v>Võ Ngọc Ẩn</v>
          </cell>
          <cell r="D15">
            <v>4718700</v>
          </cell>
          <cell r="E15">
            <v>14443575</v>
          </cell>
          <cell r="F15">
            <v>495464</v>
          </cell>
          <cell r="G15">
            <v>11000000</v>
          </cell>
          <cell r="H15">
            <v>0</v>
          </cell>
        </row>
        <row r="16">
          <cell r="B16" t="str">
            <v>CTV023047</v>
          </cell>
          <cell r="C16" t="str">
            <v>Lê Thị Mộng Thủy</v>
          </cell>
          <cell r="D16">
            <v>4718700</v>
          </cell>
          <cell r="E16">
            <v>1133601</v>
          </cell>
          <cell r="F16">
            <v>0</v>
          </cell>
          <cell r="G16">
            <v>11000000</v>
          </cell>
          <cell r="H16">
            <v>0</v>
          </cell>
        </row>
        <row r="17">
          <cell r="B17" t="str">
            <v>CTV028284</v>
          </cell>
          <cell r="C17" t="str">
            <v>Trần Lâm Minh Thu</v>
          </cell>
          <cell r="D17">
            <v>4718700</v>
          </cell>
          <cell r="E17">
            <v>15956082</v>
          </cell>
          <cell r="F17">
            <v>495464</v>
          </cell>
          <cell r="G17">
            <v>11000000</v>
          </cell>
          <cell r="H17">
            <v>1</v>
          </cell>
        </row>
        <row r="18">
          <cell r="B18" t="str">
            <v>CTV023013</v>
          </cell>
          <cell r="C18" t="str">
            <v>Phạm Thị Thanh Thúy</v>
          </cell>
          <cell r="D18">
            <v>4718700</v>
          </cell>
          <cell r="E18">
            <v>11509375</v>
          </cell>
          <cell r="F18">
            <v>495464</v>
          </cell>
          <cell r="G18">
            <v>11000000</v>
          </cell>
          <cell r="H18">
            <v>0</v>
          </cell>
        </row>
        <row r="19">
          <cell r="B19" t="str">
            <v>CTV023014</v>
          </cell>
          <cell r="C19" t="str">
            <v>Trần Thị Thanh Trúc</v>
          </cell>
          <cell r="D19">
            <v>4718700</v>
          </cell>
          <cell r="E19">
            <v>8348369</v>
          </cell>
          <cell r="F19">
            <v>495464</v>
          </cell>
          <cell r="G19">
            <v>11000000</v>
          </cell>
          <cell r="H19">
            <v>3</v>
          </cell>
        </row>
        <row r="20">
          <cell r="B20" t="str">
            <v>CTV023015</v>
          </cell>
          <cell r="C20" t="str">
            <v>Đào Thị Thúy An</v>
          </cell>
          <cell r="D20">
            <v>4718700</v>
          </cell>
          <cell r="E20">
            <v>9223260</v>
          </cell>
          <cell r="F20">
            <v>495464</v>
          </cell>
          <cell r="G20">
            <v>11000000</v>
          </cell>
          <cell r="H20">
            <v>1</v>
          </cell>
        </row>
        <row r="21">
          <cell r="B21" t="str">
            <v>CTV023018</v>
          </cell>
          <cell r="C21" t="str">
            <v>Võ Thị Tuyết Vân</v>
          </cell>
          <cell r="D21">
            <v>4718700</v>
          </cell>
          <cell r="E21">
            <v>6488258</v>
          </cell>
          <cell r="F21">
            <v>495464</v>
          </cell>
          <cell r="G21">
            <v>11000000</v>
          </cell>
          <cell r="H21">
            <v>1</v>
          </cell>
        </row>
        <row r="22">
          <cell r="B22" t="str">
            <v>CTV028578</v>
          </cell>
          <cell r="C22" t="str">
            <v>Hồ Như Gương</v>
          </cell>
          <cell r="D22">
            <v>4718700</v>
          </cell>
          <cell r="E22">
            <v>10654852</v>
          </cell>
          <cell r="F22">
            <v>495464</v>
          </cell>
          <cell r="G22">
            <v>11000000</v>
          </cell>
          <cell r="H22">
            <v>0</v>
          </cell>
        </row>
        <row r="23">
          <cell r="B23" t="str">
            <v>CTV036515</v>
          </cell>
          <cell r="C23" t="str">
            <v>Huỳnh Thy Nga</v>
          </cell>
          <cell r="D23">
            <v>4718700</v>
          </cell>
          <cell r="E23">
            <v>13373744</v>
          </cell>
          <cell r="F23">
            <v>495464</v>
          </cell>
          <cell r="G23">
            <v>11000000</v>
          </cell>
          <cell r="H23">
            <v>0</v>
          </cell>
        </row>
        <row r="24">
          <cell r="B24" t="str">
            <v>CTV036516</v>
          </cell>
          <cell r="C24" t="str">
            <v>Nguyễn Dương Ngọc Linh</v>
          </cell>
          <cell r="D24">
            <v>4718700</v>
          </cell>
          <cell r="E24">
            <v>13693595</v>
          </cell>
          <cell r="F24">
            <v>495464</v>
          </cell>
          <cell r="G24">
            <v>11000000</v>
          </cell>
          <cell r="H24">
            <v>0</v>
          </cell>
        </row>
        <row r="25">
          <cell r="B25" t="str">
            <v>CTV023012</v>
          </cell>
          <cell r="C25" t="str">
            <v>Lê Thị Hồng Nhung</v>
          </cell>
          <cell r="D25">
            <v>4718700</v>
          </cell>
          <cell r="E25">
            <v>16813144</v>
          </cell>
          <cell r="F25">
            <v>495464</v>
          </cell>
          <cell r="G25">
            <v>11000000</v>
          </cell>
          <cell r="H25">
            <v>4</v>
          </cell>
        </row>
        <row r="26">
          <cell r="B26" t="str">
            <v>CTV020462</v>
          </cell>
          <cell r="C26" t="str">
            <v>Lê Trang Mỹ Nhiên</v>
          </cell>
          <cell r="D26">
            <v>4130200.0000000005</v>
          </cell>
          <cell r="E26">
            <v>16235963</v>
          </cell>
          <cell r="F26">
            <v>433671</v>
          </cell>
          <cell r="G26">
            <v>11000000</v>
          </cell>
          <cell r="H26">
            <v>1</v>
          </cell>
        </row>
        <row r="27">
          <cell r="B27" t="str">
            <v>CTV023024</v>
          </cell>
          <cell r="C27" t="str">
            <v>Bùi Thị Thu Trang</v>
          </cell>
          <cell r="D27">
            <v>4130200.0000000005</v>
          </cell>
          <cell r="E27">
            <v>11765118</v>
          </cell>
          <cell r="F27">
            <v>433671</v>
          </cell>
          <cell r="G27">
            <v>11000000</v>
          </cell>
          <cell r="H27">
            <v>1</v>
          </cell>
        </row>
        <row r="28">
          <cell r="B28" t="str">
            <v>CTV023026</v>
          </cell>
          <cell r="C28" t="str">
            <v>Lê Thanh Quyên</v>
          </cell>
          <cell r="D28">
            <v>4130200.0000000005</v>
          </cell>
          <cell r="E28">
            <v>5793574</v>
          </cell>
          <cell r="F28">
            <v>433671</v>
          </cell>
          <cell r="G28">
            <v>11000000</v>
          </cell>
          <cell r="H28">
            <v>1</v>
          </cell>
        </row>
        <row r="29">
          <cell r="B29" t="str">
            <v>CTV028599</v>
          </cell>
          <cell r="C29" t="str">
            <v>Nguyễn Thị Trúc Mai</v>
          </cell>
          <cell r="D29">
            <v>4130200.0000000005</v>
          </cell>
          <cell r="E29">
            <v>15912229</v>
          </cell>
          <cell r="F29">
            <v>433671</v>
          </cell>
          <cell r="G29">
            <v>11000000</v>
          </cell>
          <cell r="H29">
            <v>1</v>
          </cell>
        </row>
        <row r="30">
          <cell r="B30" t="str">
            <v>CTV028603</v>
          </cell>
          <cell r="C30" t="str">
            <v>Lữ Thị Tuyết Loan</v>
          </cell>
          <cell r="D30">
            <v>4130200.0000000005</v>
          </cell>
          <cell r="E30">
            <v>7196396</v>
          </cell>
          <cell r="F30">
            <v>433671</v>
          </cell>
          <cell r="G30">
            <v>11000000</v>
          </cell>
          <cell r="H30">
            <v>0</v>
          </cell>
        </row>
        <row r="31">
          <cell r="B31" t="str">
            <v>CTV023023</v>
          </cell>
          <cell r="C31" t="str">
            <v>Dương Thi Kim Thoa</v>
          </cell>
          <cell r="D31">
            <v>4130200.0000000005</v>
          </cell>
          <cell r="E31">
            <v>10353100</v>
          </cell>
          <cell r="F31">
            <v>433671</v>
          </cell>
          <cell r="G31">
            <v>11000000</v>
          </cell>
          <cell r="H31">
            <v>2</v>
          </cell>
        </row>
        <row r="32">
          <cell r="B32" t="str">
            <v>CTV055530</v>
          </cell>
          <cell r="C32" t="str">
            <v>Phạm Trung Quân</v>
          </cell>
          <cell r="D32">
            <v>4130200.0000000005</v>
          </cell>
          <cell r="E32">
            <v>14174897</v>
          </cell>
          <cell r="F32">
            <v>433671</v>
          </cell>
          <cell r="G32">
            <v>11000000</v>
          </cell>
          <cell r="H32">
            <v>2</v>
          </cell>
        </row>
        <row r="33">
          <cell r="B33" t="str">
            <v>CTV023069</v>
          </cell>
          <cell r="C33" t="str">
            <v>Nguyễn Lê Thanh</v>
          </cell>
          <cell r="D33">
            <v>4130200.0000000005</v>
          </cell>
          <cell r="E33">
            <v>9386046</v>
          </cell>
          <cell r="F33">
            <v>433671</v>
          </cell>
          <cell r="G33">
            <v>11000000</v>
          </cell>
          <cell r="H33">
            <v>0</v>
          </cell>
        </row>
        <row r="34">
          <cell r="B34" t="str">
            <v>CTV023071</v>
          </cell>
          <cell r="C34" t="str">
            <v>Trần Văn Cảnh</v>
          </cell>
          <cell r="D34">
            <v>4130200.0000000005</v>
          </cell>
          <cell r="E34">
            <v>13520690</v>
          </cell>
          <cell r="F34">
            <v>433671</v>
          </cell>
          <cell r="G34">
            <v>11000000</v>
          </cell>
          <cell r="H34">
            <v>4</v>
          </cell>
        </row>
        <row r="35">
          <cell r="B35" t="str">
            <v>CTV038176</v>
          </cell>
          <cell r="C35" t="str">
            <v>Nguyễn Thanh Hằng</v>
          </cell>
          <cell r="D35">
            <v>3691500</v>
          </cell>
          <cell r="E35">
            <v>5836668</v>
          </cell>
          <cell r="F35">
            <v>387608</v>
          </cell>
          <cell r="G35">
            <v>11000000</v>
          </cell>
          <cell r="H35">
            <v>0</v>
          </cell>
        </row>
        <row r="36">
          <cell r="B36" t="str">
            <v>CTV023032</v>
          </cell>
          <cell r="C36" t="str">
            <v>Nguyễn Thị Vỹ Hương Linh</v>
          </cell>
          <cell r="D36">
            <v>3691500</v>
          </cell>
          <cell r="E36">
            <v>8688870</v>
          </cell>
          <cell r="F36">
            <v>387608</v>
          </cell>
          <cell r="G36">
            <v>11000000</v>
          </cell>
          <cell r="H36">
            <v>1</v>
          </cell>
        </row>
        <row r="37">
          <cell r="B37" t="str">
            <v>CTV028655</v>
          </cell>
          <cell r="C37" t="str">
            <v>Nguyễn Khắc Huy</v>
          </cell>
          <cell r="D37">
            <v>3691500</v>
          </cell>
          <cell r="E37">
            <v>13454648</v>
          </cell>
          <cell r="F37">
            <v>387608</v>
          </cell>
          <cell r="G37">
            <v>11000000</v>
          </cell>
          <cell r="H37">
            <v>2</v>
          </cell>
        </row>
        <row r="38">
          <cell r="B38" t="str">
            <v>CTV023131</v>
          </cell>
          <cell r="C38" t="str">
            <v>Lê Thị Linh Phương</v>
          </cell>
          <cell r="D38">
            <v>3691500</v>
          </cell>
          <cell r="E38">
            <v>11446304</v>
          </cell>
          <cell r="F38">
            <v>387608</v>
          </cell>
          <cell r="G38">
            <v>11000000</v>
          </cell>
          <cell r="H38">
            <v>0</v>
          </cell>
        </row>
        <row r="39">
          <cell r="B39" t="str">
            <v>CTV020464</v>
          </cell>
          <cell r="C39" t="str">
            <v>Nguyễn Thị Kim Thi</v>
          </cell>
          <cell r="D39">
            <v>3691500</v>
          </cell>
          <cell r="E39">
            <v>9214188</v>
          </cell>
          <cell r="F39">
            <v>387608</v>
          </cell>
          <cell r="G39">
            <v>11000000</v>
          </cell>
          <cell r="H39">
            <v>0</v>
          </cell>
        </row>
        <row r="40">
          <cell r="B40" t="str">
            <v>CTV023029</v>
          </cell>
          <cell r="C40" t="str">
            <v>Mai Thị Thùy</v>
          </cell>
          <cell r="D40">
            <v>3691500</v>
          </cell>
          <cell r="E40">
            <v>17226382</v>
          </cell>
          <cell r="F40">
            <v>387608</v>
          </cell>
          <cell r="G40">
            <v>11000000</v>
          </cell>
          <cell r="H40">
            <v>1</v>
          </cell>
        </row>
        <row r="41">
          <cell r="B41" t="str">
            <v>CTV023030</v>
          </cell>
          <cell r="C41" t="str">
            <v>Nguyễn Thị Lan Phương</v>
          </cell>
          <cell r="D41">
            <v>3691500</v>
          </cell>
          <cell r="E41">
            <v>7715360</v>
          </cell>
          <cell r="F41">
            <v>387608</v>
          </cell>
          <cell r="G41">
            <v>11000000</v>
          </cell>
          <cell r="H41">
            <v>1</v>
          </cell>
        </row>
        <row r="42">
          <cell r="B42" t="str">
            <v>CTV035279</v>
          </cell>
          <cell r="C42" t="str">
            <v>Lê Văn Giàu</v>
          </cell>
          <cell r="D42">
            <v>3691500</v>
          </cell>
          <cell r="E42">
            <v>14315737</v>
          </cell>
          <cell r="F42">
            <v>387608</v>
          </cell>
          <cell r="G42">
            <v>11000000</v>
          </cell>
          <cell r="H42">
            <v>0</v>
          </cell>
        </row>
        <row r="43">
          <cell r="B43" t="str">
            <v>CTV028601</v>
          </cell>
          <cell r="C43" t="str">
            <v>Huỳnh Nguyễn Giao Hân</v>
          </cell>
          <cell r="D43">
            <v>3691500</v>
          </cell>
          <cell r="E43">
            <v>10048562</v>
          </cell>
          <cell r="F43">
            <v>387608</v>
          </cell>
          <cell r="G43">
            <v>11000000</v>
          </cell>
          <cell r="H43">
            <v>0</v>
          </cell>
        </row>
        <row r="44">
          <cell r="B44" t="str">
            <v>CTV036506</v>
          </cell>
          <cell r="C44" t="str">
            <v>Bùi Tấn Đạt</v>
          </cell>
          <cell r="D44">
            <v>4130200.0000000005</v>
          </cell>
          <cell r="E44">
            <v>31476720</v>
          </cell>
          <cell r="F44">
            <v>433671</v>
          </cell>
          <cell r="G44">
            <v>11000000</v>
          </cell>
          <cell r="H44">
            <v>2</v>
          </cell>
        </row>
        <row r="45">
          <cell r="B45" t="str">
            <v>CTV054887</v>
          </cell>
          <cell r="C45" t="str">
            <v xml:space="preserve">Nguyễn Thị Diệu Hương </v>
          </cell>
          <cell r="D45">
            <v>4718700</v>
          </cell>
          <cell r="E45">
            <v>12785925</v>
          </cell>
          <cell r="F45">
            <v>495464</v>
          </cell>
          <cell r="G45">
            <v>11000000</v>
          </cell>
          <cell r="H45">
            <v>2</v>
          </cell>
        </row>
        <row r="46">
          <cell r="B46" t="str">
            <v>CTV023019</v>
          </cell>
          <cell r="C46" t="str">
            <v>Hồ Thanh Liêm</v>
          </cell>
          <cell r="D46">
            <v>4718700</v>
          </cell>
          <cell r="E46">
            <v>45631298</v>
          </cell>
          <cell r="F46">
            <v>495464</v>
          </cell>
          <cell r="G46">
            <v>11000000</v>
          </cell>
          <cell r="H46">
            <v>2</v>
          </cell>
        </row>
        <row r="47">
          <cell r="B47" t="str">
            <v>CTV028602</v>
          </cell>
          <cell r="C47" t="str">
            <v>Nguyễn Thanh Trúc</v>
          </cell>
          <cell r="D47">
            <v>4718700</v>
          </cell>
          <cell r="E47">
            <v>7494468</v>
          </cell>
          <cell r="F47">
            <v>495464</v>
          </cell>
          <cell r="G47">
            <v>11000000</v>
          </cell>
          <cell r="H47">
            <v>1</v>
          </cell>
        </row>
        <row r="48">
          <cell r="B48" t="str">
            <v>CTV031867</v>
          </cell>
          <cell r="C48" t="str">
            <v>Nguyễn Thị Ngọc Ngoan</v>
          </cell>
          <cell r="D48">
            <v>3691500</v>
          </cell>
          <cell r="E48">
            <v>5689994</v>
          </cell>
          <cell r="F48">
            <v>387608</v>
          </cell>
          <cell r="G48">
            <v>11000000</v>
          </cell>
          <cell r="H48">
            <v>0</v>
          </cell>
        </row>
        <row r="49">
          <cell r="B49" t="str">
            <v>CTV045659</v>
          </cell>
          <cell r="C49" t="str">
            <v>Phan Thị Quyên</v>
          </cell>
          <cell r="D49">
            <v>4718700</v>
          </cell>
          <cell r="E49">
            <v>8576977</v>
          </cell>
          <cell r="F49">
            <v>495464</v>
          </cell>
          <cell r="G49">
            <v>11000000</v>
          </cell>
          <cell r="H49">
            <v>2</v>
          </cell>
        </row>
        <row r="50">
          <cell r="B50" t="str">
            <v>CTV041732</v>
          </cell>
          <cell r="C50" t="str">
            <v>Lê Chí Cường</v>
          </cell>
          <cell r="D50">
            <v>4718700</v>
          </cell>
          <cell r="E50">
            <v>32763853</v>
          </cell>
          <cell r="F50">
            <v>495464</v>
          </cell>
          <cell r="G50">
            <v>11000000</v>
          </cell>
          <cell r="H50">
            <v>4</v>
          </cell>
        </row>
        <row r="51">
          <cell r="B51" t="str">
            <v>CTV023033</v>
          </cell>
          <cell r="C51" t="str">
            <v>Nguyễn Thị Thu Lan</v>
          </cell>
          <cell r="D51">
            <v>4130200.0000000005</v>
          </cell>
          <cell r="E51">
            <v>9695532</v>
          </cell>
          <cell r="F51">
            <v>433671</v>
          </cell>
          <cell r="G51">
            <v>11000000</v>
          </cell>
          <cell r="H51">
            <v>0</v>
          </cell>
        </row>
        <row r="52">
          <cell r="B52" t="str">
            <v>CTV023034</v>
          </cell>
          <cell r="C52" t="str">
            <v>Nguyễn Văn Thanh Bình</v>
          </cell>
          <cell r="D52">
            <v>3691500</v>
          </cell>
          <cell r="E52">
            <v>28437927</v>
          </cell>
          <cell r="F52">
            <v>387608</v>
          </cell>
          <cell r="G52">
            <v>11000000</v>
          </cell>
          <cell r="H52">
            <v>1</v>
          </cell>
        </row>
        <row r="53">
          <cell r="B53" t="str">
            <v>CTV023035</v>
          </cell>
          <cell r="C53" t="str">
            <v>Trần Thị Bé Muội</v>
          </cell>
          <cell r="D53">
            <v>3691500</v>
          </cell>
          <cell r="E53">
            <v>20122370</v>
          </cell>
          <cell r="F53">
            <v>387608</v>
          </cell>
          <cell r="G53">
            <v>11000000</v>
          </cell>
          <cell r="H53">
            <v>2</v>
          </cell>
        </row>
        <row r="54">
          <cell r="B54" t="str">
            <v>CTV049292</v>
          </cell>
          <cell r="C54" t="str">
            <v>Nguyễn Hữu Trọng</v>
          </cell>
          <cell r="D54">
            <v>4130200.0000000005</v>
          </cell>
          <cell r="E54">
            <v>23239833</v>
          </cell>
          <cell r="F54">
            <v>433671</v>
          </cell>
          <cell r="G54">
            <v>11000000</v>
          </cell>
          <cell r="H54">
            <v>2</v>
          </cell>
        </row>
        <row r="55">
          <cell r="B55" t="str">
            <v>CTV041556</v>
          </cell>
          <cell r="C55" t="str">
            <v>Đặng La Đô</v>
          </cell>
          <cell r="D55">
            <v>4130200.0000000005</v>
          </cell>
          <cell r="E55">
            <v>6945786</v>
          </cell>
          <cell r="F55">
            <v>433671</v>
          </cell>
          <cell r="G55">
            <v>11000000</v>
          </cell>
          <cell r="H55">
            <v>0</v>
          </cell>
        </row>
        <row r="56">
          <cell r="B56" t="str">
            <v>CTV058438</v>
          </cell>
          <cell r="C56" t="str">
            <v>Trần Thị Ngọc Tuyền</v>
          </cell>
          <cell r="D56">
            <v>4130200.0000000005</v>
          </cell>
          <cell r="E56">
            <v>5424111</v>
          </cell>
          <cell r="F56">
            <v>433671</v>
          </cell>
          <cell r="G56">
            <v>11000000</v>
          </cell>
          <cell r="H56">
            <v>0</v>
          </cell>
        </row>
        <row r="57">
          <cell r="B57" t="str">
            <v>CTV023040</v>
          </cell>
          <cell r="C57" t="str">
            <v>Trần Thị Thảo Phương</v>
          </cell>
          <cell r="D57">
            <v>4130200.0000000005</v>
          </cell>
          <cell r="E57">
            <v>12317722</v>
          </cell>
          <cell r="F57">
            <v>433671</v>
          </cell>
          <cell r="G57">
            <v>11000000</v>
          </cell>
          <cell r="H57">
            <v>0</v>
          </cell>
        </row>
        <row r="58">
          <cell r="B58" t="str">
            <v>CTV023041</v>
          </cell>
          <cell r="C58" t="str">
            <v>Phan Thị Mỹ Hảo</v>
          </cell>
          <cell r="D58">
            <v>4130200.0000000005</v>
          </cell>
          <cell r="E58">
            <v>8620153</v>
          </cell>
          <cell r="F58">
            <v>433671</v>
          </cell>
          <cell r="G58">
            <v>11000000</v>
          </cell>
          <cell r="H58">
            <v>0</v>
          </cell>
        </row>
        <row r="59">
          <cell r="B59" t="str">
            <v>CTV023043</v>
          </cell>
          <cell r="C59" t="str">
            <v>Võ Phạm Huỳnh Trang</v>
          </cell>
          <cell r="D59">
            <v>4130200.0000000005</v>
          </cell>
          <cell r="E59">
            <v>8803146</v>
          </cell>
          <cell r="F59">
            <v>433671</v>
          </cell>
          <cell r="G59">
            <v>11000000</v>
          </cell>
          <cell r="H59">
            <v>1</v>
          </cell>
        </row>
        <row r="60">
          <cell r="B60" t="str">
            <v>CTV036747</v>
          </cell>
          <cell r="C60" t="str">
            <v>Hà Thị Trúc Huỳnh</v>
          </cell>
          <cell r="D60">
            <v>4130200.0000000005</v>
          </cell>
          <cell r="E60">
            <v>1499494</v>
          </cell>
          <cell r="F60">
            <v>0</v>
          </cell>
          <cell r="G60">
            <v>11000000</v>
          </cell>
          <cell r="H60">
            <v>0</v>
          </cell>
        </row>
        <row r="61">
          <cell r="B61" t="str">
            <v>CTV023209</v>
          </cell>
          <cell r="C61" t="str">
            <v>Phan Trần Đức Ngân</v>
          </cell>
          <cell r="D61">
            <v>4130200.0000000005</v>
          </cell>
          <cell r="E61">
            <v>14694412</v>
          </cell>
          <cell r="F61">
            <v>433671</v>
          </cell>
          <cell r="G61">
            <v>11000000</v>
          </cell>
          <cell r="H61">
            <v>2</v>
          </cell>
        </row>
        <row r="62">
          <cell r="B62" t="str">
            <v>CTV054886</v>
          </cell>
          <cell r="C62" t="str">
            <v>Nguyễn Lê Hữu Duy</v>
          </cell>
          <cell r="D62">
            <v>4718700</v>
          </cell>
          <cell r="E62">
            <v>3481889</v>
          </cell>
          <cell r="F62">
            <v>0</v>
          </cell>
          <cell r="G62">
            <v>11000000</v>
          </cell>
          <cell r="H62">
            <v>0</v>
          </cell>
        </row>
        <row r="63">
          <cell r="B63" t="str">
            <v>CTV036722</v>
          </cell>
          <cell r="C63" t="str">
            <v>Nguyễn Thành Long</v>
          </cell>
          <cell r="D63">
            <v>4130200.0000000005</v>
          </cell>
          <cell r="E63">
            <v>16973224</v>
          </cell>
          <cell r="F63">
            <v>433671</v>
          </cell>
          <cell r="G63">
            <v>11000000</v>
          </cell>
          <cell r="H63">
            <v>1</v>
          </cell>
        </row>
        <row r="64">
          <cell r="B64" t="str">
            <v>CTV059753</v>
          </cell>
          <cell r="C64" t="str">
            <v>Nguyễn Hữu Nhân</v>
          </cell>
          <cell r="D64">
            <v>4718700</v>
          </cell>
          <cell r="E64">
            <v>15524916</v>
          </cell>
          <cell r="F64">
            <v>495464</v>
          </cell>
          <cell r="G64">
            <v>11000000</v>
          </cell>
          <cell r="H64">
            <v>1</v>
          </cell>
        </row>
        <row r="65">
          <cell r="B65" t="str">
            <v>CTV074412</v>
          </cell>
          <cell r="C65" t="str">
            <v>Phan Thị Kim Đính</v>
          </cell>
          <cell r="D65">
            <v>4718700</v>
          </cell>
          <cell r="E65">
            <v>8487626</v>
          </cell>
          <cell r="F65">
            <v>495464</v>
          </cell>
          <cell r="G65">
            <v>11000000</v>
          </cell>
          <cell r="H65">
            <v>0</v>
          </cell>
        </row>
        <row r="66">
          <cell r="B66" t="str">
            <v>CTV072905</v>
          </cell>
          <cell r="C66" t="str">
            <v>Nguyễn Thành Trung</v>
          </cell>
          <cell r="D66">
            <v>4130200.0000000005</v>
          </cell>
          <cell r="E66">
            <v>5950240</v>
          </cell>
          <cell r="F66">
            <v>0</v>
          </cell>
          <cell r="G66">
            <v>11000000</v>
          </cell>
          <cell r="H66">
            <v>0</v>
          </cell>
        </row>
        <row r="67">
          <cell r="B67" t="str">
            <v>CTV055621</v>
          </cell>
          <cell r="C67" t="str">
            <v>Nguyễn Phương Duy</v>
          </cell>
          <cell r="D67">
            <v>4130200.0000000005</v>
          </cell>
          <cell r="E67">
            <v>6768775</v>
          </cell>
          <cell r="F67">
            <v>433671</v>
          </cell>
          <cell r="G67">
            <v>11000000</v>
          </cell>
          <cell r="H67">
            <v>0</v>
          </cell>
        </row>
        <row r="68">
          <cell r="B68" t="str">
            <v>CTV075444</v>
          </cell>
          <cell r="C68" t="str">
            <v>Nguyễn Thị Cẩm Trúc</v>
          </cell>
          <cell r="D68">
            <v>4718700</v>
          </cell>
          <cell r="E68">
            <v>11473947</v>
          </cell>
          <cell r="F68">
            <v>495464</v>
          </cell>
          <cell r="G68">
            <v>11000000</v>
          </cell>
          <cell r="H68">
            <v>0</v>
          </cell>
        </row>
        <row r="69">
          <cell r="B69" t="str">
            <v>CTV040525</v>
          </cell>
          <cell r="C69" t="str">
            <v>Võ Ngọc Thảo</v>
          </cell>
          <cell r="D69">
            <v>4718700</v>
          </cell>
          <cell r="E69">
            <v>20015200</v>
          </cell>
          <cell r="F69">
            <v>495464</v>
          </cell>
          <cell r="G69">
            <v>11000000</v>
          </cell>
          <cell r="H69">
            <v>1</v>
          </cell>
        </row>
        <row r="70">
          <cell r="B70" t="str">
            <v>CTV079091</v>
          </cell>
          <cell r="C70" t="str">
            <v>Nguyễn Thị Xuân Lan</v>
          </cell>
          <cell r="D70">
            <v>4718700</v>
          </cell>
          <cell r="E70">
            <v>9526023</v>
          </cell>
          <cell r="F70">
            <v>495464</v>
          </cell>
          <cell r="G70">
            <v>11000000</v>
          </cell>
          <cell r="H70">
            <v>0</v>
          </cell>
        </row>
        <row r="71">
          <cell r="B71" t="str">
            <v>CTV023027</v>
          </cell>
          <cell r="C71" t="str">
            <v>Lê Thị Kim Loan</v>
          </cell>
          <cell r="D71">
            <v>4130200.0000000005</v>
          </cell>
          <cell r="E71">
            <v>8182234</v>
          </cell>
          <cell r="F71">
            <v>433671</v>
          </cell>
          <cell r="G71">
            <v>11000000</v>
          </cell>
          <cell r="H71">
            <v>2</v>
          </cell>
        </row>
        <row r="72">
          <cell r="B72" t="str">
            <v>CTV076984</v>
          </cell>
          <cell r="C72" t="str">
            <v>Võ Trường Thịnh</v>
          </cell>
          <cell r="D72">
            <v>3691500</v>
          </cell>
          <cell r="E72">
            <v>7114891</v>
          </cell>
          <cell r="F72">
            <v>387608</v>
          </cell>
          <cell r="G72">
            <v>11000000</v>
          </cell>
          <cell r="H72">
            <v>0</v>
          </cell>
        </row>
        <row r="73">
          <cell r="B73" t="str">
            <v>CTV082602</v>
          </cell>
          <cell r="C73" t="str">
            <v>Ngô Nguyễn Huỳnh Như</v>
          </cell>
          <cell r="D73">
            <v>4718700</v>
          </cell>
          <cell r="E73">
            <v>11958730</v>
          </cell>
          <cell r="F73">
            <v>495464</v>
          </cell>
          <cell r="G73">
            <v>11000000</v>
          </cell>
          <cell r="H73">
            <v>0</v>
          </cell>
        </row>
        <row r="74">
          <cell r="B74" t="str">
            <v>CTV083203</v>
          </cell>
          <cell r="C74" t="str">
            <v>Lưu Thị Trúc Giang</v>
          </cell>
          <cell r="D74">
            <v>4130200.0000000005</v>
          </cell>
          <cell r="E74">
            <v>10560883</v>
          </cell>
          <cell r="F74">
            <v>433671</v>
          </cell>
          <cell r="G74">
            <v>11000000</v>
          </cell>
          <cell r="H74">
            <v>0</v>
          </cell>
        </row>
        <row r="75">
          <cell r="B75" t="str">
            <v>CTV082450</v>
          </cell>
          <cell r="C75" t="str">
            <v>Phan Thành Hiếu</v>
          </cell>
          <cell r="D75">
            <v>3691500</v>
          </cell>
          <cell r="E75">
            <v>11990352</v>
          </cell>
          <cell r="F75">
            <v>387608</v>
          </cell>
          <cell r="G75">
            <v>11000000</v>
          </cell>
          <cell r="H75">
            <v>0</v>
          </cell>
        </row>
        <row r="76">
          <cell r="B76" t="str">
            <v>CTV083584</v>
          </cell>
          <cell r="C76" t="str">
            <v>Bùi Thị Như Liên</v>
          </cell>
          <cell r="D76">
            <v>3691500</v>
          </cell>
          <cell r="E76">
            <v>10559996</v>
          </cell>
          <cell r="F76">
            <v>0</v>
          </cell>
          <cell r="G76">
            <v>11000000</v>
          </cell>
          <cell r="H76">
            <v>0</v>
          </cell>
        </row>
        <row r="77">
          <cell r="B77" t="str">
            <v>CTV082451</v>
          </cell>
          <cell r="C77" t="str">
            <v>Phan Nguyễn Lan Phương</v>
          </cell>
          <cell r="D77">
            <v>3691500</v>
          </cell>
          <cell r="E77">
            <v>7816107</v>
          </cell>
          <cell r="F77">
            <v>387608</v>
          </cell>
          <cell r="G77">
            <v>11000000</v>
          </cell>
          <cell r="H77">
            <v>0</v>
          </cell>
        </row>
        <row r="78">
          <cell r="B78" t="str">
            <v>CTV083931</v>
          </cell>
          <cell r="C78" t="str">
            <v>Võ Thị Thiên Kiều</v>
          </cell>
          <cell r="D78">
            <v>4718700</v>
          </cell>
          <cell r="E78">
            <v>7289048</v>
          </cell>
          <cell r="F78">
            <v>495464</v>
          </cell>
          <cell r="G78">
            <v>11000000</v>
          </cell>
          <cell r="H78">
            <v>0</v>
          </cell>
        </row>
        <row r="79">
          <cell r="B79" t="str">
            <v>CTV085393</v>
          </cell>
          <cell r="C79" t="str">
            <v>Nguyễn Lê Nguyệt Lâm</v>
          </cell>
          <cell r="D79">
            <v>4718700</v>
          </cell>
          <cell r="E79">
            <v>8073742</v>
          </cell>
          <cell r="F79">
            <v>495464</v>
          </cell>
          <cell r="G79">
            <v>11000000</v>
          </cell>
        </row>
        <row r="80">
          <cell r="B80" t="str">
            <v>CTV085612</v>
          </cell>
          <cell r="C80" t="str">
            <v>Đào Thị Vỏi</v>
          </cell>
          <cell r="D80">
            <v>4130200.0000000005</v>
          </cell>
          <cell r="E80">
            <v>7233883</v>
          </cell>
          <cell r="F80">
            <v>433671</v>
          </cell>
          <cell r="G80">
            <v>11000000</v>
          </cell>
        </row>
        <row r="81">
          <cell r="B81" t="str">
            <v>CTV086734</v>
          </cell>
          <cell r="C81" t="str">
            <v>Trần Thị Phương Dung</v>
          </cell>
          <cell r="D81">
            <v>4718700</v>
          </cell>
          <cell r="E81">
            <v>10220303</v>
          </cell>
          <cell r="F81">
            <v>495464</v>
          </cell>
          <cell r="G81">
            <v>11000000</v>
          </cell>
        </row>
        <row r="82">
          <cell r="B82" t="str">
            <v>CTV086349</v>
          </cell>
          <cell r="C82" t="str">
            <v>Nguyễn Thị Tuyết Sang</v>
          </cell>
          <cell r="D82">
            <v>3691500</v>
          </cell>
          <cell r="E82">
            <v>4750992</v>
          </cell>
          <cell r="F82">
            <v>387608</v>
          </cell>
          <cell r="G82">
            <v>11000000</v>
          </cell>
        </row>
        <row r="83">
          <cell r="B83" t="str">
            <v>CTV086353</v>
          </cell>
          <cell r="C83" t="str">
            <v>Mai Thị Hoa Lan</v>
          </cell>
          <cell r="D83">
            <v>4718700</v>
          </cell>
          <cell r="E83">
            <v>7503465</v>
          </cell>
          <cell r="F83">
            <v>495464</v>
          </cell>
          <cell r="G83">
            <v>11000000</v>
          </cell>
        </row>
        <row r="84">
          <cell r="B84" t="str">
            <v>CTV086744</v>
          </cell>
          <cell r="C84" t="str">
            <v>Trần Ngô Thúy Vy</v>
          </cell>
          <cell r="D84">
            <v>4130200.0000000005</v>
          </cell>
          <cell r="E84">
            <v>6725717</v>
          </cell>
          <cell r="F84">
            <v>433671</v>
          </cell>
          <cell r="G84">
            <v>11000000</v>
          </cell>
        </row>
        <row r="85">
          <cell r="B85" t="str">
            <v>CTV080670</v>
          </cell>
          <cell r="C85" t="str">
            <v>Trần Thị Phượng Linh</v>
          </cell>
          <cell r="D85">
            <v>4130200.0000000005</v>
          </cell>
          <cell r="E85">
            <v>11111868</v>
          </cell>
          <cell r="F85">
            <v>433671</v>
          </cell>
          <cell r="G85">
            <v>11000000</v>
          </cell>
        </row>
        <row r="86">
          <cell r="B86" t="str">
            <v>CTV087041</v>
          </cell>
          <cell r="C86" t="str">
            <v>Nguyễn Ngọc Linh Đan</v>
          </cell>
          <cell r="D86">
            <v>3691500</v>
          </cell>
          <cell r="E86">
            <v>5796171</v>
          </cell>
          <cell r="F86">
            <v>387608</v>
          </cell>
          <cell r="G86">
            <v>11000000</v>
          </cell>
        </row>
        <row r="87">
          <cell r="B87" t="str">
            <v>CTV083070</v>
          </cell>
          <cell r="C87" t="str">
            <v>Lê Duy Thịnh</v>
          </cell>
          <cell r="D87">
            <v>3691500</v>
          </cell>
          <cell r="E87">
            <v>12355786</v>
          </cell>
          <cell r="F87">
            <v>387608</v>
          </cell>
          <cell r="G87">
            <v>11000000</v>
          </cell>
        </row>
        <row r="88">
          <cell r="B88" t="str">
            <v>CTV086350</v>
          </cell>
          <cell r="C88" t="str">
            <v>Nguyễn Tự Minh Tiến</v>
          </cell>
          <cell r="D88">
            <v>3691500</v>
          </cell>
          <cell r="E88">
            <v>10253595</v>
          </cell>
          <cell r="F88">
            <v>387608</v>
          </cell>
          <cell r="G88">
            <v>11000000</v>
          </cell>
        </row>
        <row r="89">
          <cell r="B89" t="str">
            <v>CTV040535</v>
          </cell>
          <cell r="C89" t="str">
            <v>Hồ Thanh Tuyền</v>
          </cell>
          <cell r="D89">
            <v>4718700</v>
          </cell>
          <cell r="E89">
            <v>4934635</v>
          </cell>
          <cell r="F89">
            <v>495464</v>
          </cell>
          <cell r="G89">
            <v>11000000</v>
          </cell>
        </row>
        <row r="90">
          <cell r="B90" t="str">
            <v>CTV076920</v>
          </cell>
          <cell r="C90" t="str">
            <v>Nguyễn Tiến Trọng</v>
          </cell>
          <cell r="D90">
            <v>4130200.0000000005</v>
          </cell>
          <cell r="E90">
            <v>15708280</v>
          </cell>
          <cell r="F90">
            <v>433671</v>
          </cell>
          <cell r="G90">
            <v>11000000</v>
          </cell>
          <cell r="H90">
            <v>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ông tin chung"/>
      <sheetName val="Danh sách CTV"/>
      <sheetName val="P3-Ngày công"/>
      <sheetName val="Bảng lương"/>
      <sheetName val="Cong bo luong san luong"/>
      <sheetName val="Bảng lương P1P3"/>
      <sheetName val="Bảng lương sản lượng"/>
      <sheetName val="Thông báo"/>
      <sheetName val="Lương sản lượng"/>
      <sheetName val="Luong P1P3"/>
      <sheetName val="H.số sản lượng"/>
      <sheetName val="Thuế TNCN"/>
      <sheetName val="Tạm ứng"/>
      <sheetName val="Thu nhập khác"/>
      <sheetName val="Nhắn tin"/>
      <sheetName val="Thuế tạm thu"/>
      <sheetName val="Công bố"/>
      <sheetName val="Chat luong"/>
      <sheetName val="Hóa đơn cước"/>
      <sheetName val="Bậc 2"/>
      <sheetName val="THP_Ket qua thu cuoc"/>
    </sheetNames>
    <sheetDataSet>
      <sheetData sheetId="0" refreshError="1"/>
      <sheetData sheetId="1" refreshError="1"/>
      <sheetData sheetId="2" refreshError="1"/>
      <sheetData sheetId="3" refreshError="1">
        <row r="10">
          <cell r="B10" t="str">
            <v>CTV023010</v>
          </cell>
          <cell r="C10">
            <v>1</v>
          </cell>
          <cell r="D10" t="str">
            <v>Trà Thị Minh Lý</v>
          </cell>
          <cell r="E10">
            <v>335</v>
          </cell>
          <cell r="F10">
            <v>0</v>
          </cell>
          <cell r="G10">
            <v>0</v>
          </cell>
        </row>
        <row r="11">
          <cell r="B11" t="str">
            <v>CTV023047</v>
          </cell>
          <cell r="C11">
            <v>2</v>
          </cell>
          <cell r="D11" t="str">
            <v>Lê Thị Mộng Thủy</v>
          </cell>
          <cell r="E11">
            <v>226</v>
          </cell>
          <cell r="F11">
            <v>1</v>
          </cell>
          <cell r="G11">
            <v>22</v>
          </cell>
        </row>
        <row r="12">
          <cell r="B12" t="str">
            <v>CTV028376</v>
          </cell>
          <cell r="C12">
            <v>3</v>
          </cell>
          <cell r="D12" t="str">
            <v>Nguyễn Thị Huỳnh Ngân</v>
          </cell>
          <cell r="E12">
            <v>489</v>
          </cell>
          <cell r="F12">
            <v>0</v>
          </cell>
          <cell r="G12">
            <v>0</v>
          </cell>
        </row>
        <row r="13">
          <cell r="B13" t="str">
            <v>CTV028284</v>
          </cell>
          <cell r="C13">
            <v>4</v>
          </cell>
          <cell r="D13" t="str">
            <v>Trần Lâm Minh Thu</v>
          </cell>
          <cell r="E13">
            <v>513.45000000000005</v>
          </cell>
          <cell r="F13">
            <v>1.02</v>
          </cell>
          <cell r="G13">
            <v>22</v>
          </cell>
        </row>
        <row r="14">
          <cell r="B14" t="str">
            <v>CTV023011</v>
          </cell>
          <cell r="C14">
            <v>5</v>
          </cell>
          <cell r="D14" t="str">
            <v>Nguyễn Thị Thu Hằng</v>
          </cell>
          <cell r="E14">
            <v>290</v>
          </cell>
          <cell r="F14">
            <v>1.08</v>
          </cell>
          <cell r="G14">
            <v>22</v>
          </cell>
        </row>
        <row r="15">
          <cell r="B15" t="str">
            <v>CTV040279</v>
          </cell>
          <cell r="C15">
            <v>6</v>
          </cell>
          <cell r="D15" t="str">
            <v>Nguyễn Châu Đoan</v>
          </cell>
          <cell r="E15">
            <v>341</v>
          </cell>
          <cell r="F15">
            <v>1.01</v>
          </cell>
          <cell r="G15">
            <v>22</v>
          </cell>
        </row>
        <row r="16">
          <cell r="B16" t="str">
            <v>CTV043657</v>
          </cell>
          <cell r="C16">
            <v>7</v>
          </cell>
          <cell r="D16" t="str">
            <v>Võ Ngọc Ẩn</v>
          </cell>
          <cell r="E16">
            <v>341</v>
          </cell>
          <cell r="F16">
            <v>1.1299999999999999</v>
          </cell>
          <cell r="G16">
            <v>22</v>
          </cell>
        </row>
        <row r="17">
          <cell r="B17" t="str">
            <v>CTV054886</v>
          </cell>
          <cell r="C17">
            <v>8</v>
          </cell>
          <cell r="D17" t="str">
            <v>Nguyễn Lê Hữu Duy</v>
          </cell>
          <cell r="E17">
            <v>543</v>
          </cell>
          <cell r="F17">
            <v>1.27</v>
          </cell>
          <cell r="G17">
            <v>22</v>
          </cell>
        </row>
        <row r="18">
          <cell r="B18" t="str">
            <v>CTV036516</v>
          </cell>
          <cell r="C18">
            <v>9</v>
          </cell>
          <cell r="D18" t="str">
            <v>Nguyễn Dương Ngọc Linh</v>
          </cell>
          <cell r="E18">
            <v>489</v>
          </cell>
          <cell r="F18">
            <v>1.05</v>
          </cell>
          <cell r="G18">
            <v>22.5</v>
          </cell>
        </row>
        <row r="19">
          <cell r="B19" t="str">
            <v>CTV023225</v>
          </cell>
          <cell r="C19">
            <v>10</v>
          </cell>
          <cell r="D19" t="str">
            <v>Nguyễn Thị Diện</v>
          </cell>
          <cell r="E19">
            <v>355</v>
          </cell>
          <cell r="F19">
            <v>1.2</v>
          </cell>
          <cell r="G19">
            <v>22</v>
          </cell>
        </row>
        <row r="20">
          <cell r="B20" t="str">
            <v>CTV023224</v>
          </cell>
          <cell r="C20">
            <v>11</v>
          </cell>
          <cell r="D20" t="str">
            <v>Huỳnh Thị Hoàng Linh</v>
          </cell>
          <cell r="E20">
            <v>366</v>
          </cell>
          <cell r="F20">
            <v>1.1000000000000001</v>
          </cell>
          <cell r="G20">
            <v>22</v>
          </cell>
        </row>
        <row r="21">
          <cell r="B21" t="str">
            <v>CTV036515</v>
          </cell>
          <cell r="C21">
            <v>12</v>
          </cell>
          <cell r="D21" t="str">
            <v>Huỳnh Thy Nga</v>
          </cell>
          <cell r="E21">
            <v>438</v>
          </cell>
          <cell r="F21">
            <v>1.02</v>
          </cell>
          <cell r="G21">
            <v>22.5</v>
          </cell>
        </row>
        <row r="22">
          <cell r="B22" t="str">
            <v>CTV023012</v>
          </cell>
          <cell r="C22">
            <v>13</v>
          </cell>
          <cell r="D22" t="str">
            <v>Lê Thị Hồng Nhung</v>
          </cell>
          <cell r="E22">
            <v>418</v>
          </cell>
          <cell r="F22">
            <v>1.31</v>
          </cell>
          <cell r="G22">
            <v>23.5</v>
          </cell>
        </row>
        <row r="23">
          <cell r="B23" t="str">
            <v>CTV023013</v>
          </cell>
          <cell r="C23">
            <v>14</v>
          </cell>
          <cell r="D23" t="str">
            <v>Phạm Thị Thanh Thúy</v>
          </cell>
          <cell r="E23">
            <v>394</v>
          </cell>
          <cell r="F23">
            <v>0.98</v>
          </cell>
          <cell r="G23">
            <v>22.5</v>
          </cell>
        </row>
        <row r="24">
          <cell r="B24" t="str">
            <v>CTV023014</v>
          </cell>
          <cell r="C24">
            <v>15</v>
          </cell>
          <cell r="D24" t="str">
            <v>Trần Thị Thanh Trúc</v>
          </cell>
          <cell r="E24">
            <v>418</v>
          </cell>
          <cell r="F24">
            <v>1.25</v>
          </cell>
          <cell r="G24">
            <v>22.5</v>
          </cell>
        </row>
        <row r="25">
          <cell r="B25" t="str">
            <v>CTV023015</v>
          </cell>
          <cell r="C25">
            <v>16</v>
          </cell>
          <cell r="D25" t="str">
            <v>Đào Thị Thúy An</v>
          </cell>
          <cell r="E25">
            <v>418</v>
          </cell>
          <cell r="F25">
            <v>1.19</v>
          </cell>
          <cell r="G25">
            <v>26</v>
          </cell>
        </row>
        <row r="26">
          <cell r="B26" t="str">
            <v>CTV023018</v>
          </cell>
          <cell r="C26">
            <v>17</v>
          </cell>
          <cell r="D26" t="str">
            <v>Võ Thị Tuyết Vân</v>
          </cell>
          <cell r="E26">
            <v>418</v>
          </cell>
          <cell r="F26">
            <v>1.06</v>
          </cell>
          <cell r="G26">
            <v>22.5</v>
          </cell>
        </row>
        <row r="27">
          <cell r="B27" t="str">
            <v>CTV028578</v>
          </cell>
          <cell r="C27">
            <v>18</v>
          </cell>
          <cell r="D27" t="str">
            <v>Hồ Như Gương</v>
          </cell>
          <cell r="E27">
            <v>472</v>
          </cell>
          <cell r="F27">
            <v>1.1599999999999999</v>
          </cell>
          <cell r="G27">
            <v>22.5</v>
          </cell>
        </row>
        <row r="28">
          <cell r="B28" t="str">
            <v>CTV055531</v>
          </cell>
          <cell r="C28">
            <v>19</v>
          </cell>
          <cell r="D28" t="str">
            <v>Nguyễn Thị Thanh Trúc</v>
          </cell>
          <cell r="E28">
            <v>418</v>
          </cell>
          <cell r="F28">
            <v>1.17</v>
          </cell>
          <cell r="G28">
            <v>28</v>
          </cell>
        </row>
        <row r="29">
          <cell r="B29" t="str">
            <v>CTV055530</v>
          </cell>
          <cell r="C29">
            <v>20</v>
          </cell>
          <cell r="D29" t="str">
            <v>Phạm Trung Quân</v>
          </cell>
          <cell r="E29">
            <v>431</v>
          </cell>
          <cell r="F29">
            <v>1.07</v>
          </cell>
          <cell r="G29">
            <v>22.5</v>
          </cell>
        </row>
        <row r="30">
          <cell r="B30" t="str">
            <v>CTV020462</v>
          </cell>
          <cell r="C30">
            <v>21</v>
          </cell>
          <cell r="D30" t="str">
            <v>Lê Trang Mỹ Nhiên</v>
          </cell>
          <cell r="E30">
            <v>489</v>
          </cell>
          <cell r="F30">
            <v>1.04</v>
          </cell>
          <cell r="G30">
            <v>22</v>
          </cell>
        </row>
        <row r="31">
          <cell r="B31" t="str">
            <v>CTV023023</v>
          </cell>
          <cell r="C31">
            <v>22</v>
          </cell>
          <cell r="D31" t="str">
            <v>Dương Thị Kim Thoa</v>
          </cell>
          <cell r="E31">
            <v>355</v>
          </cell>
          <cell r="F31">
            <v>1.08</v>
          </cell>
          <cell r="G31">
            <v>22.5</v>
          </cell>
        </row>
        <row r="32">
          <cell r="B32" t="str">
            <v>CTV023024</v>
          </cell>
          <cell r="C32">
            <v>23</v>
          </cell>
          <cell r="D32" t="str">
            <v>Bùi Thị Thu Trang</v>
          </cell>
          <cell r="E32">
            <v>394</v>
          </cell>
          <cell r="F32">
            <v>1.0900000000000001</v>
          </cell>
          <cell r="G32">
            <v>22.5</v>
          </cell>
        </row>
        <row r="33">
          <cell r="B33" t="str">
            <v>CTV023026</v>
          </cell>
          <cell r="C33">
            <v>24</v>
          </cell>
          <cell r="D33" t="str">
            <v>Lê Thanh Quyên</v>
          </cell>
          <cell r="E33">
            <v>418</v>
          </cell>
          <cell r="F33">
            <v>0</v>
          </cell>
          <cell r="G33">
            <v>0</v>
          </cell>
        </row>
        <row r="34">
          <cell r="B34" t="str">
            <v>CTV023027</v>
          </cell>
          <cell r="C34">
            <v>25</v>
          </cell>
          <cell r="D34" t="str">
            <v>Lê Thị Kim Loan</v>
          </cell>
          <cell r="E34">
            <v>418</v>
          </cell>
          <cell r="F34">
            <v>1.32</v>
          </cell>
          <cell r="G34">
            <v>26</v>
          </cell>
        </row>
        <row r="35">
          <cell r="B35" t="str">
            <v>CTV023207</v>
          </cell>
          <cell r="C35">
            <v>26</v>
          </cell>
          <cell r="D35" t="str">
            <v>Nguyễn Thị Ngọc Diệp</v>
          </cell>
          <cell r="E35">
            <v>418</v>
          </cell>
          <cell r="F35">
            <v>1.31</v>
          </cell>
          <cell r="G35">
            <v>26</v>
          </cell>
        </row>
        <row r="36">
          <cell r="B36" t="str">
            <v>CTV028599</v>
          </cell>
          <cell r="C36">
            <v>27</v>
          </cell>
          <cell r="D36" t="str">
            <v>Nguyễn Thị Trúc Mai</v>
          </cell>
          <cell r="E36">
            <v>418</v>
          </cell>
          <cell r="F36">
            <v>1.32</v>
          </cell>
          <cell r="G36">
            <v>26</v>
          </cell>
        </row>
        <row r="37">
          <cell r="B37" t="str">
            <v>CTV028603</v>
          </cell>
          <cell r="C37">
            <v>28</v>
          </cell>
          <cell r="D37" t="str">
            <v>Lữ Thị Tuyết Loan</v>
          </cell>
          <cell r="E37">
            <v>418</v>
          </cell>
          <cell r="F37">
            <v>1.32</v>
          </cell>
          <cell r="G37">
            <v>26</v>
          </cell>
        </row>
        <row r="38">
          <cell r="B38" t="str">
            <v>CTV023069</v>
          </cell>
          <cell r="C38">
            <v>29</v>
          </cell>
          <cell r="D38" t="str">
            <v>Nguyễn Lê Thanh</v>
          </cell>
          <cell r="E38">
            <v>431</v>
          </cell>
          <cell r="F38">
            <v>0.78</v>
          </cell>
          <cell r="G38">
            <v>22.5</v>
          </cell>
        </row>
        <row r="39">
          <cell r="B39" t="str">
            <v>CTV023071</v>
          </cell>
          <cell r="C39">
            <v>30</v>
          </cell>
          <cell r="D39" t="str">
            <v>Trần Văn Cảnh</v>
          </cell>
          <cell r="E39">
            <v>431</v>
          </cell>
          <cell r="F39">
            <v>1.01</v>
          </cell>
          <cell r="G39">
            <v>22.5</v>
          </cell>
        </row>
        <row r="40">
          <cell r="B40" t="str">
            <v>CTV023032</v>
          </cell>
          <cell r="C40">
            <v>31</v>
          </cell>
          <cell r="D40" t="str">
            <v>Nguyễn Thị Vỹ Hương Linh</v>
          </cell>
          <cell r="E40">
            <v>335</v>
          </cell>
          <cell r="F40">
            <v>1.0900000000000001</v>
          </cell>
          <cell r="G40">
            <v>22.5</v>
          </cell>
        </row>
        <row r="41">
          <cell r="B41" t="str">
            <v>CTV023031</v>
          </cell>
          <cell r="C41">
            <v>32</v>
          </cell>
          <cell r="D41" t="str">
            <v>Nguyễn Thị Vỹ Hương Lan</v>
          </cell>
          <cell r="E41">
            <v>418</v>
          </cell>
          <cell r="F41">
            <v>0.84</v>
          </cell>
          <cell r="G41">
            <v>24</v>
          </cell>
        </row>
        <row r="42">
          <cell r="B42" t="str">
            <v>CTV023131</v>
          </cell>
          <cell r="C42">
            <v>33</v>
          </cell>
          <cell r="D42" t="str">
            <v>Lê Thị Linh Phương</v>
          </cell>
          <cell r="E42">
            <v>431</v>
          </cell>
          <cell r="F42">
            <v>1.19</v>
          </cell>
          <cell r="G42">
            <v>24</v>
          </cell>
        </row>
        <row r="43">
          <cell r="B43" t="str">
            <v>CTV038176</v>
          </cell>
          <cell r="C43">
            <v>34</v>
          </cell>
          <cell r="D43" t="str">
            <v>Nguyễn Thanh Hằng</v>
          </cell>
          <cell r="E43">
            <v>418</v>
          </cell>
          <cell r="F43">
            <v>0.97</v>
          </cell>
          <cell r="G43">
            <v>25</v>
          </cell>
        </row>
        <row r="44">
          <cell r="B44" t="str">
            <v>CTV028655</v>
          </cell>
          <cell r="C44">
            <v>35</v>
          </cell>
          <cell r="D44" t="str">
            <v>Nguyễn Khắc Huy</v>
          </cell>
          <cell r="E44">
            <v>431</v>
          </cell>
          <cell r="F44">
            <v>1.02</v>
          </cell>
          <cell r="G44">
            <v>24</v>
          </cell>
        </row>
        <row r="45">
          <cell r="B45" t="str">
            <v>CTV020464</v>
          </cell>
          <cell r="C45">
            <v>36</v>
          </cell>
          <cell r="D45" t="str">
            <v>Nguyễn Thị Kim Thi</v>
          </cell>
          <cell r="E45">
            <v>335</v>
          </cell>
          <cell r="F45">
            <v>1.02</v>
          </cell>
          <cell r="G45">
            <v>22.5</v>
          </cell>
        </row>
        <row r="46">
          <cell r="B46" t="str">
            <v>CTV023029</v>
          </cell>
          <cell r="C46">
            <v>37</v>
          </cell>
          <cell r="D46" t="str">
            <v>Mai Thị Thùy</v>
          </cell>
          <cell r="E46">
            <v>418</v>
          </cell>
          <cell r="F46">
            <v>1.06</v>
          </cell>
          <cell r="G46">
            <v>22.5</v>
          </cell>
        </row>
        <row r="47">
          <cell r="B47" t="str">
            <v>CTV023030</v>
          </cell>
          <cell r="C47">
            <v>38</v>
          </cell>
          <cell r="D47" t="str">
            <v>Nguyễn Thị  Lan Phương</v>
          </cell>
          <cell r="E47">
            <v>431</v>
          </cell>
          <cell r="F47">
            <v>0.68</v>
          </cell>
          <cell r="G47">
            <v>22.5</v>
          </cell>
        </row>
        <row r="48">
          <cell r="B48" t="str">
            <v>CTV023107</v>
          </cell>
          <cell r="C48">
            <v>39</v>
          </cell>
          <cell r="D48" t="str">
            <v>Nguyễn Thị Ngọc Hằng</v>
          </cell>
          <cell r="E48">
            <v>418</v>
          </cell>
          <cell r="F48">
            <v>1.04</v>
          </cell>
          <cell r="G48">
            <v>22.5</v>
          </cell>
        </row>
        <row r="49">
          <cell r="B49" t="str">
            <v>CTV028601</v>
          </cell>
          <cell r="C49">
            <v>40</v>
          </cell>
          <cell r="D49" t="str">
            <v>Huỳnh Nguyễn Giao Hân</v>
          </cell>
          <cell r="E49">
            <v>431</v>
          </cell>
          <cell r="F49">
            <v>0.98</v>
          </cell>
          <cell r="G49">
            <v>22.5</v>
          </cell>
        </row>
        <row r="50">
          <cell r="B50" t="str">
            <v>CTV035279</v>
          </cell>
          <cell r="C50">
            <v>41</v>
          </cell>
          <cell r="D50" t="str">
            <v>Lê Văn Giàu</v>
          </cell>
          <cell r="E50">
            <v>431</v>
          </cell>
          <cell r="F50">
            <v>0.99</v>
          </cell>
          <cell r="G50">
            <v>22.5</v>
          </cell>
        </row>
        <row r="51">
          <cell r="B51" t="str">
            <v>CTV036506</v>
          </cell>
          <cell r="C51">
            <v>42</v>
          </cell>
          <cell r="D51" t="str">
            <v>Bùi Tấn Đạt</v>
          </cell>
          <cell r="E51">
            <v>431</v>
          </cell>
          <cell r="F51">
            <v>0.72</v>
          </cell>
          <cell r="G51">
            <v>22.5</v>
          </cell>
        </row>
        <row r="52">
          <cell r="B52" t="str">
            <v>CTV045659</v>
          </cell>
          <cell r="C52">
            <v>43</v>
          </cell>
          <cell r="D52" t="str">
            <v>Phan Thị Quyên</v>
          </cell>
          <cell r="E52">
            <v>341</v>
          </cell>
          <cell r="F52">
            <v>0.91</v>
          </cell>
          <cell r="G52">
            <v>22.5</v>
          </cell>
        </row>
        <row r="53">
          <cell r="B53" t="str">
            <v>CTV054887</v>
          </cell>
          <cell r="C53">
            <v>44</v>
          </cell>
          <cell r="D53" t="str">
            <v>Nguyễn Thị Diệu Hương</v>
          </cell>
          <cell r="E53">
            <v>415</v>
          </cell>
          <cell r="F53">
            <v>0.98</v>
          </cell>
          <cell r="G53">
            <v>22</v>
          </cell>
        </row>
        <row r="54">
          <cell r="B54" t="str">
            <v>CTV023019</v>
          </cell>
          <cell r="C54">
            <v>45</v>
          </cell>
          <cell r="D54" t="str">
            <v>Hồ Thanh Liêm</v>
          </cell>
          <cell r="E54">
            <v>524</v>
          </cell>
          <cell r="F54">
            <v>1.28</v>
          </cell>
          <cell r="G54">
            <v>22.5</v>
          </cell>
        </row>
        <row r="55">
          <cell r="B55" t="str">
            <v>CTV028602</v>
          </cell>
          <cell r="C55">
            <v>46</v>
          </cell>
          <cell r="D55" t="str">
            <v>Nguyễn Thanh Trúc</v>
          </cell>
          <cell r="E55">
            <v>418</v>
          </cell>
          <cell r="F55">
            <v>0.89</v>
          </cell>
          <cell r="G55">
            <v>22.5</v>
          </cell>
        </row>
        <row r="56">
          <cell r="B56" t="str">
            <v>CTV031867</v>
          </cell>
          <cell r="C56">
            <v>47</v>
          </cell>
          <cell r="D56" t="str">
            <v>Nguyễn Thị Ngọc Ngoan</v>
          </cell>
          <cell r="E56">
            <v>418</v>
          </cell>
          <cell r="F56">
            <v>0.89</v>
          </cell>
          <cell r="G56">
            <v>22.5</v>
          </cell>
        </row>
        <row r="57">
          <cell r="B57" t="str">
            <v>CTV041732</v>
          </cell>
          <cell r="C57">
            <v>48</v>
          </cell>
          <cell r="D57" t="str">
            <v>Lê Chí Cường</v>
          </cell>
          <cell r="E57">
            <v>431</v>
          </cell>
          <cell r="F57">
            <v>0.71</v>
          </cell>
          <cell r="G57">
            <v>22.5</v>
          </cell>
        </row>
        <row r="58">
          <cell r="B58" t="str">
            <v>CTV023034</v>
          </cell>
          <cell r="C58">
            <v>49</v>
          </cell>
          <cell r="D58" t="str">
            <v>Nguyễn Văn Thanh Bình</v>
          </cell>
          <cell r="E58">
            <v>524</v>
          </cell>
          <cell r="F58">
            <v>1.37</v>
          </cell>
          <cell r="G58">
            <v>26</v>
          </cell>
        </row>
        <row r="59">
          <cell r="B59" t="str">
            <v>CTV023033</v>
          </cell>
          <cell r="C59">
            <v>50</v>
          </cell>
          <cell r="D59" t="str">
            <v>Nguyễn Thị Thu Lan</v>
          </cell>
          <cell r="E59">
            <v>418</v>
          </cell>
          <cell r="F59">
            <v>1.1299999999999999</v>
          </cell>
          <cell r="G59">
            <v>22.5</v>
          </cell>
        </row>
        <row r="60">
          <cell r="B60" t="str">
            <v>CTV023035</v>
          </cell>
          <cell r="C60">
            <v>51</v>
          </cell>
          <cell r="D60" t="str">
            <v>Trần Thị Bé Muội</v>
          </cell>
          <cell r="E60">
            <v>418</v>
          </cell>
          <cell r="F60">
            <v>1.17</v>
          </cell>
          <cell r="G60">
            <v>24</v>
          </cell>
        </row>
        <row r="61">
          <cell r="B61" t="str">
            <v>CTV023036</v>
          </cell>
          <cell r="C61">
            <v>52</v>
          </cell>
          <cell r="D61" t="str">
            <v>Từ Thị Trâm</v>
          </cell>
          <cell r="E61">
            <v>418</v>
          </cell>
          <cell r="F61">
            <v>1.18</v>
          </cell>
          <cell r="G61">
            <v>23.5</v>
          </cell>
        </row>
        <row r="62">
          <cell r="B62" t="str">
            <v>CTV038174</v>
          </cell>
          <cell r="C62">
            <v>53</v>
          </cell>
          <cell r="D62" t="str">
            <v>Hồ Thị Nhi</v>
          </cell>
          <cell r="E62">
            <v>418</v>
          </cell>
          <cell r="F62">
            <v>0.97</v>
          </cell>
          <cell r="G62">
            <v>25</v>
          </cell>
        </row>
        <row r="63">
          <cell r="B63" t="str">
            <v>CTV049292</v>
          </cell>
          <cell r="C63">
            <v>54</v>
          </cell>
          <cell r="D63" t="str">
            <v>Nguyễn Hữu Trọng</v>
          </cell>
          <cell r="E63">
            <v>524</v>
          </cell>
          <cell r="F63">
            <v>1.0900000000000001</v>
          </cell>
          <cell r="G63">
            <v>22.5</v>
          </cell>
        </row>
        <row r="64">
          <cell r="B64" t="str">
            <v>CTV041556</v>
          </cell>
          <cell r="C64">
            <v>55</v>
          </cell>
          <cell r="D64" t="str">
            <v>Đặng La Đô</v>
          </cell>
          <cell r="E64">
            <v>431</v>
          </cell>
          <cell r="F64">
            <v>0.63</v>
          </cell>
          <cell r="G64">
            <v>22.5</v>
          </cell>
        </row>
        <row r="65">
          <cell r="B65" t="str">
            <v>CTV062159</v>
          </cell>
          <cell r="C65">
            <v>56</v>
          </cell>
          <cell r="D65" t="str">
            <v>Trương Thị Huệ Phương</v>
          </cell>
          <cell r="E65">
            <v>418</v>
          </cell>
          <cell r="F65">
            <v>0.87</v>
          </cell>
          <cell r="G65">
            <v>22.5</v>
          </cell>
        </row>
        <row r="66">
          <cell r="B66" t="str">
            <v>CTV023043</v>
          </cell>
          <cell r="C66">
            <v>57</v>
          </cell>
          <cell r="D66" t="str">
            <v>Võ Phạm Huỳnh Trang</v>
          </cell>
          <cell r="E66">
            <v>355</v>
          </cell>
          <cell r="F66">
            <v>1.03</v>
          </cell>
          <cell r="G66">
            <v>22.5</v>
          </cell>
        </row>
        <row r="67">
          <cell r="B67" t="str">
            <v>CTV023040</v>
          </cell>
          <cell r="C67">
            <v>58</v>
          </cell>
          <cell r="D67" t="str">
            <v>Trần Thị Thảo Phương</v>
          </cell>
          <cell r="E67">
            <v>418</v>
          </cell>
          <cell r="F67">
            <v>1.05</v>
          </cell>
          <cell r="G67">
            <v>23</v>
          </cell>
        </row>
        <row r="68">
          <cell r="B68" t="str">
            <v>CTV023041</v>
          </cell>
          <cell r="C68">
            <v>59</v>
          </cell>
          <cell r="D68" t="str">
            <v>Phan Thị Mỹ Hảo</v>
          </cell>
          <cell r="E68">
            <v>418</v>
          </cell>
          <cell r="F68">
            <v>1.19</v>
          </cell>
          <cell r="G68">
            <v>22.5</v>
          </cell>
        </row>
        <row r="69">
          <cell r="B69" t="str">
            <v>CTV023042</v>
          </cell>
          <cell r="C69">
            <v>60</v>
          </cell>
          <cell r="D69" t="str">
            <v>Nguyễn Thị Mỹ Duyên</v>
          </cell>
          <cell r="E69">
            <v>431</v>
          </cell>
          <cell r="F69">
            <v>0.74</v>
          </cell>
          <cell r="G69">
            <v>22.5</v>
          </cell>
        </row>
        <row r="70">
          <cell r="B70" t="str">
            <v>CTV036747</v>
          </cell>
          <cell r="C70">
            <v>61</v>
          </cell>
          <cell r="D70" t="str">
            <v>Hà Thị Trúc Huỳnh</v>
          </cell>
          <cell r="E70">
            <v>431</v>
          </cell>
          <cell r="F70">
            <v>0.85</v>
          </cell>
          <cell r="G70">
            <v>22.5</v>
          </cell>
        </row>
        <row r="71">
          <cell r="B71" t="str">
            <v>CTV058438</v>
          </cell>
          <cell r="C71">
            <v>62</v>
          </cell>
          <cell r="D71" t="str">
            <v>Trần Thị Ngọc Tuyền</v>
          </cell>
          <cell r="E71">
            <v>418</v>
          </cell>
          <cell r="F71">
            <v>1.07</v>
          </cell>
          <cell r="G71">
            <v>23</v>
          </cell>
        </row>
        <row r="72">
          <cell r="B72" t="str">
            <v>CTV023209</v>
          </cell>
          <cell r="C72">
            <v>63</v>
          </cell>
          <cell r="D72" t="str">
            <v>Phan Trần Đức Ngân</v>
          </cell>
          <cell r="E72">
            <v>431</v>
          </cell>
          <cell r="F72">
            <v>0.57999999999999996</v>
          </cell>
          <cell r="G72">
            <v>22.5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ngatang"/>
      <sheetName val="DSOAT-T7.2023"/>
      <sheetName val="DSOAT-T9.2023 "/>
      <sheetName val="Thuế TNCN T8"/>
      <sheetName val="npt t8"/>
      <sheetName val="Thuế TNCN t7"/>
      <sheetName val="npt t7"/>
      <sheetName val="Thuế TNCN T5"/>
      <sheetName val="Thuế TNCN t4"/>
      <sheetName val="thuế TNCN T3.2023"/>
      <sheetName val="tạm tính thuế T1"/>
      <sheetName val="Sheet8"/>
      <sheetName val="Bảng lương (3)"/>
      <sheetName val="Sheet4"/>
      <sheetName val="Bảng lương"/>
      <sheetName val="Bảng lương (2)"/>
      <sheetName val="Bảng lương-T8"/>
      <sheetName val="Thuế TNCN Tháng 6"/>
      <sheetName val="Sheet1"/>
      <sheetName val="Sheet2"/>
      <sheetName val="Sheet3"/>
      <sheetName val="BẢNG LƯƠNG T3.2022"/>
      <sheetName val="Sheet7"/>
      <sheetName val="khen thưởng T2"/>
      <sheetName val="BẢNG LƯƠNG T5"/>
      <sheetName val="THUE TNCN"/>
      <sheetName val="ĐNTT T2"/>
      <sheetName val="ĐNTT.12"/>
      <sheetName val="THUÊ"/>
      <sheetName val="BẢNG LƯƠNG THÁNG 5.2022"/>
      <sheetName val="BÀNG LƯƠNG THÁNG 8.2022"/>
      <sheetName val="ĐNTT T6"/>
      <sheetName val="ĐNTT."/>
      <sheetName val="BẢNG LƯƠNG T9.2022"/>
      <sheetName val="BẢNG LƯƠNG T10.2022"/>
      <sheetName val="CNTT khác"/>
      <sheetName val="BẢNG LƯƠNG T1.2023"/>
      <sheetName val="THUẾ"/>
      <sheetName val="ĐNTT"/>
      <sheetName val="CNTT khác."/>
      <sheetName val="Sheet6"/>
      <sheetName val="Sheet5"/>
      <sheetName val="BẢNG LƯƠNG T12.2022"/>
      <sheetName val="thuế tncn T12.22"/>
      <sheetName val="Sheet9"/>
      <sheetName val="Sheet10"/>
      <sheetName val="Thuế TNCN T2"/>
      <sheetName val="BẢNG LƯƠNG T2.2023"/>
      <sheetName val="CNTT"/>
      <sheetName val="Sheet11"/>
      <sheetName val="BẢNG LƯƠNG T3.2023"/>
      <sheetName val="CNTT T3.2023"/>
      <sheetName val="Sheet12"/>
      <sheetName val="CNTT T4"/>
      <sheetName val="BẢNG LƯƠNG T4.2023"/>
      <sheetName val="CNTT T4.23"/>
      <sheetName val="BẢNG LƯƠNG T6.2023"/>
      <sheetName val="CNTT T6"/>
      <sheetName val="BẢNG LƯƠNG T5.2023"/>
      <sheetName val="."/>
      <sheetName val="1106"/>
      <sheetName val="1109"/>
      <sheetName val="1164"/>
      <sheetName val="1166"/>
      <sheetName val="1244"/>
      <sheetName val="1275"/>
      <sheetName val="1316"/>
      <sheetName val="1318"/>
      <sheetName val="BẢNG LƯƠNG T7.2023"/>
      <sheetName val="CNTT T7"/>
      <sheetName val="bảng lương T8"/>
      <sheetName val="HT"/>
      <sheetName val="Sheet13"/>
      <sheetName val="CNTT T8.2023"/>
      <sheetName val="CNTT T8.33111"/>
      <sheetName val="8"/>
      <sheetName val="Sheet15"/>
      <sheetName val="Sheet17"/>
      <sheetName val="DSOAT-T11.2023"/>
      <sheetName val="Thuế TNCN T9"/>
      <sheetName val="NPT T9"/>
      <sheetName val="BẢNG LƯƠNG T9.2023"/>
      <sheetName val="BẢNG LƯƠNG T0.2023"/>
      <sheetName val="CNTT T10-33111"/>
      <sheetName val="CNTT T9.33111"/>
      <sheetName val="CNTT T9.2023"/>
      <sheetName val="Sheet18"/>
      <sheetName val="3531"/>
      <sheetName val="Sheet16"/>
      <sheetName val="HT.9"/>
      <sheetName val="Sheet19"/>
      <sheetName val="CNTT-33888"/>
      <sheetName val="bhbb"/>
      <sheetName val="Thuế TNCN"/>
      <sheetName val="NPT T10"/>
      <sheetName val="Sheet14"/>
      <sheetName val="BẢNG LƯƠNG T11.2023"/>
      <sheetName val="33111_COKY"/>
      <sheetName val="33888_COKY"/>
      <sheetName val="Thuế TNCN _!"/>
      <sheetName val="2281"/>
      <sheetName val="2346"/>
      <sheetName val="2354"/>
      <sheetName val="2402_PL1"/>
      <sheetName val="2402_PL2.3.4"/>
      <sheetName val="2431"/>
      <sheetName val="2491"/>
      <sheetName val="2477"/>
      <sheetName val="THƯỞNG PH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8">
          <cell r="B8" t="str">
            <v>VNP006840</v>
          </cell>
          <cell r="C8" t="str">
            <v>Ngô Thành Thuận</v>
          </cell>
          <cell r="D8" t="str">
            <v>BDI</v>
          </cell>
          <cell r="E8">
            <v>70000</v>
          </cell>
        </row>
        <row r="9">
          <cell r="B9" t="str">
            <v>VNP006842</v>
          </cell>
          <cell r="C9" t="str">
            <v>Trần Minh Tâm</v>
          </cell>
          <cell r="D9" t="str">
            <v>BDI</v>
          </cell>
          <cell r="E9">
            <v>225000</v>
          </cell>
        </row>
        <row r="10">
          <cell r="B10" t="str">
            <v>CTV023040</v>
          </cell>
          <cell r="C10" t="str">
            <v>Trần Thị Thảo Phương</v>
          </cell>
          <cell r="D10" t="str">
            <v>BDI</v>
          </cell>
          <cell r="E10">
            <v>1655750</v>
          </cell>
        </row>
        <row r="11">
          <cell r="B11" t="str">
            <v>CTV023041</v>
          </cell>
          <cell r="C11" t="str">
            <v>Phan Thị Mỹ Hảo</v>
          </cell>
          <cell r="D11" t="str">
            <v>BDI</v>
          </cell>
          <cell r="E11">
            <v>1422000</v>
          </cell>
        </row>
        <row r="12">
          <cell r="B12" t="str">
            <v>CTV058438</v>
          </cell>
          <cell r="C12" t="str">
            <v>Trần Thị Ngọc Tuyền</v>
          </cell>
          <cell r="D12" t="str">
            <v>BDI</v>
          </cell>
          <cell r="E12">
            <v>631900</v>
          </cell>
        </row>
        <row r="13">
          <cell r="B13" t="str">
            <v>VNP006838</v>
          </cell>
          <cell r="C13" t="str">
            <v>Nguyễn Văn Lực</v>
          </cell>
          <cell r="D13" t="str">
            <v>BDI</v>
          </cell>
          <cell r="E13">
            <v>15000</v>
          </cell>
        </row>
        <row r="14">
          <cell r="B14" t="str">
            <v>VNP006846</v>
          </cell>
          <cell r="C14" t="str">
            <v>Hồ Thị Hồng Huế</v>
          </cell>
          <cell r="D14" t="str">
            <v>BDI</v>
          </cell>
          <cell r="E14">
            <v>883000</v>
          </cell>
        </row>
        <row r="15">
          <cell r="B15" t="str">
            <v>CTV036722</v>
          </cell>
          <cell r="C15" t="str">
            <v>Nguyễn Thành Long</v>
          </cell>
          <cell r="D15" t="str">
            <v>BDI</v>
          </cell>
          <cell r="E15">
            <v>1249500</v>
          </cell>
        </row>
        <row r="16">
          <cell r="B16" t="str">
            <v>CTV023042</v>
          </cell>
          <cell r="C16" t="str">
            <v>Nguyễn Thị Mỹ Duyên</v>
          </cell>
          <cell r="D16" t="str">
            <v>BDI</v>
          </cell>
          <cell r="E16">
            <v>577950</v>
          </cell>
        </row>
        <row r="17">
          <cell r="B17" t="str">
            <v>CTV036747</v>
          </cell>
          <cell r="C17" t="str">
            <v>Hà Thị Trúc Huỳnh</v>
          </cell>
          <cell r="D17" t="str">
            <v>BDI</v>
          </cell>
          <cell r="E17">
            <v>390000</v>
          </cell>
        </row>
        <row r="18">
          <cell r="B18" t="str">
            <v>VNP006844</v>
          </cell>
          <cell r="C18" t="str">
            <v>Trần Văn Châu</v>
          </cell>
          <cell r="D18" t="str">
            <v>BDI</v>
          </cell>
          <cell r="E18">
            <v>830000</v>
          </cell>
        </row>
        <row r="19">
          <cell r="B19" t="str">
            <v>VNP006843</v>
          </cell>
          <cell r="C19" t="str">
            <v>Nguyễn Xuân Đoàn</v>
          </cell>
          <cell r="D19" t="str">
            <v>BDI</v>
          </cell>
          <cell r="E19">
            <v>525000</v>
          </cell>
        </row>
        <row r="20">
          <cell r="B20" t="str">
            <v>VNP006847</v>
          </cell>
          <cell r="C20" t="str">
            <v>La Uyển Oanh</v>
          </cell>
          <cell r="D20" t="str">
            <v>BDI</v>
          </cell>
          <cell r="E20">
            <v>545000</v>
          </cell>
        </row>
        <row r="21">
          <cell r="B21" t="str">
            <v>CTV023209</v>
          </cell>
          <cell r="C21" t="str">
            <v>Phan Trần Đức Ngân</v>
          </cell>
          <cell r="D21" t="str">
            <v>BDI</v>
          </cell>
          <cell r="E21">
            <v>861050</v>
          </cell>
        </row>
        <row r="22">
          <cell r="B22" t="str">
            <v>CTV030164</v>
          </cell>
          <cell r="C22" t="str">
            <v>Lê Võ Băng Tâm</v>
          </cell>
          <cell r="D22" t="str">
            <v>BDI</v>
          </cell>
          <cell r="E22">
            <v>1079900</v>
          </cell>
        </row>
        <row r="23">
          <cell r="B23" t="str">
            <v>CTV023043</v>
          </cell>
          <cell r="C23" t="str">
            <v>Võ Phạm Huỳnh Trang</v>
          </cell>
          <cell r="D23" t="str">
            <v>BDI</v>
          </cell>
          <cell r="E23">
            <v>90000</v>
          </cell>
        </row>
        <row r="24">
          <cell r="B24" t="str">
            <v>CTV023210</v>
          </cell>
          <cell r="C24" t="str">
            <v>Nguyễn Thị Hồng Nhung</v>
          </cell>
          <cell r="D24" t="str">
            <v>BDI</v>
          </cell>
          <cell r="E24">
            <v>73500</v>
          </cell>
        </row>
        <row r="25">
          <cell r="B25" t="str">
            <v>CTV049143</v>
          </cell>
          <cell r="C25" t="str">
            <v>Cao Thị Minh Thiện</v>
          </cell>
          <cell r="D25" t="str">
            <v>BDI</v>
          </cell>
          <cell r="E25">
            <v>143200</v>
          </cell>
        </row>
        <row r="26">
          <cell r="B26" t="str">
            <v>CTV049147</v>
          </cell>
          <cell r="C26" t="str">
            <v>Võ Thành Đông</v>
          </cell>
          <cell r="D26" t="str">
            <v>BDI</v>
          </cell>
          <cell r="E26">
            <v>141200</v>
          </cell>
        </row>
        <row r="27">
          <cell r="B27" t="str">
            <v>CTV049144</v>
          </cell>
          <cell r="C27" t="str">
            <v>Đào Văn Minh Mỹ</v>
          </cell>
          <cell r="D27" t="str">
            <v>BDI</v>
          </cell>
          <cell r="E27">
            <v>1420500</v>
          </cell>
        </row>
        <row r="28">
          <cell r="B28" t="str">
            <v>CTV049152</v>
          </cell>
          <cell r="C28" t="str">
            <v>Trương Văn Lập</v>
          </cell>
          <cell r="D28" t="str">
            <v>BDI</v>
          </cell>
          <cell r="E28">
            <v>495000</v>
          </cell>
        </row>
        <row r="29">
          <cell r="B29" t="str">
            <v>CTV049151</v>
          </cell>
          <cell r="C29" t="str">
            <v>Phan Kiến Tính</v>
          </cell>
          <cell r="D29" t="str">
            <v>BDI</v>
          </cell>
          <cell r="E29">
            <v>919000</v>
          </cell>
        </row>
        <row r="30">
          <cell r="B30" t="str">
            <v>CTV055621</v>
          </cell>
          <cell r="C30" t="str">
            <v>Nguyễn Phương Duy</v>
          </cell>
          <cell r="D30" t="str">
            <v>BTI</v>
          </cell>
          <cell r="E30">
            <v>565700</v>
          </cell>
        </row>
        <row r="31">
          <cell r="B31" t="str">
            <v>VNP006824</v>
          </cell>
          <cell r="C31" t="str">
            <v>Phan Thanh Tần</v>
          </cell>
          <cell r="D31" t="str">
            <v>BTI</v>
          </cell>
          <cell r="E31">
            <v>390000</v>
          </cell>
        </row>
        <row r="32">
          <cell r="B32" t="str">
            <v>CTV049292</v>
          </cell>
          <cell r="C32" t="str">
            <v>Nguyễn Hữu Trọng</v>
          </cell>
          <cell r="D32" t="str">
            <v>BTI</v>
          </cell>
          <cell r="E32">
            <v>415000</v>
          </cell>
        </row>
        <row r="33">
          <cell r="B33" t="str">
            <v>VNP006821</v>
          </cell>
          <cell r="C33" t="str">
            <v>Nguyễn Tấn Đạt</v>
          </cell>
          <cell r="D33" t="str">
            <v>BTI</v>
          </cell>
          <cell r="E33">
            <v>185000</v>
          </cell>
        </row>
        <row r="34">
          <cell r="B34" t="str">
            <v>CTV023033</v>
          </cell>
          <cell r="C34" t="str">
            <v>Nguyễn Thị Thu Lan</v>
          </cell>
          <cell r="D34" t="str">
            <v>BTI</v>
          </cell>
          <cell r="E34">
            <v>1978400</v>
          </cell>
        </row>
        <row r="35">
          <cell r="B35" t="str">
            <v>CTV062159</v>
          </cell>
          <cell r="C35" t="str">
            <v>Trương Thị Huệ Phương</v>
          </cell>
          <cell r="D35" t="str">
            <v>BTI</v>
          </cell>
          <cell r="E35">
            <v>1465500</v>
          </cell>
        </row>
        <row r="36">
          <cell r="B36" t="str">
            <v>CTV041556</v>
          </cell>
          <cell r="C36" t="str">
            <v>Đặng La Đô</v>
          </cell>
          <cell r="D36" t="str">
            <v>BTI</v>
          </cell>
          <cell r="E36">
            <v>360000</v>
          </cell>
        </row>
        <row r="37">
          <cell r="B37" t="str">
            <v>CTV058434</v>
          </cell>
          <cell r="C37" t="str">
            <v>Nguyễn Anh Tuấn</v>
          </cell>
          <cell r="D37" t="str">
            <v>BTI</v>
          </cell>
          <cell r="E37">
            <v>80000</v>
          </cell>
        </row>
        <row r="38">
          <cell r="B38" t="str">
            <v>VNP006825</v>
          </cell>
          <cell r="C38" t="str">
            <v>Mai Hoàng Vũ</v>
          </cell>
          <cell r="D38" t="str">
            <v>BTI</v>
          </cell>
          <cell r="E38">
            <v>175000</v>
          </cell>
        </row>
        <row r="39">
          <cell r="B39" t="str">
            <v>VNP006823</v>
          </cell>
          <cell r="C39" t="str">
            <v>Nguyễn Hoàng Độ</v>
          </cell>
          <cell r="D39" t="str">
            <v>BTI</v>
          </cell>
          <cell r="E39">
            <v>295000</v>
          </cell>
        </row>
        <row r="40">
          <cell r="B40" t="str">
            <v>CTV023182</v>
          </cell>
          <cell r="C40" t="str">
            <v>Nguyễn Thị Hồng Hạnh</v>
          </cell>
          <cell r="D40" t="str">
            <v>BTI</v>
          </cell>
          <cell r="E40">
            <v>1011800</v>
          </cell>
        </row>
        <row r="41">
          <cell r="B41" t="str">
            <v>VNP006826</v>
          </cell>
          <cell r="C41" t="str">
            <v>Trần Thanh Vũ</v>
          </cell>
          <cell r="D41" t="str">
            <v>BTI</v>
          </cell>
          <cell r="E41">
            <v>110000</v>
          </cell>
        </row>
        <row r="42">
          <cell r="B42" t="str">
            <v>VNP006833</v>
          </cell>
          <cell r="C42" t="str">
            <v>Phạm Minh Quí</v>
          </cell>
          <cell r="D42" t="str">
            <v>BTI</v>
          </cell>
          <cell r="E42">
            <v>370000</v>
          </cell>
        </row>
        <row r="43">
          <cell r="C43" t="str">
            <v>Trần Thị Kim Cúc</v>
          </cell>
          <cell r="D43" t="str">
            <v>BTI</v>
          </cell>
          <cell r="E43">
            <v>630000</v>
          </cell>
        </row>
        <row r="44">
          <cell r="B44" t="str">
            <v>CTV023183</v>
          </cell>
          <cell r="C44" t="str">
            <v>Nguyễn Tường Vi</v>
          </cell>
          <cell r="D44" t="str">
            <v>BTI</v>
          </cell>
          <cell r="E44">
            <v>230000</v>
          </cell>
        </row>
        <row r="45">
          <cell r="B45" t="str">
            <v>CTV049130</v>
          </cell>
          <cell r="C45" t="str">
            <v>Nguyễn Thị Lam Trang</v>
          </cell>
          <cell r="D45" t="str">
            <v>BTI</v>
          </cell>
          <cell r="E45">
            <v>515250</v>
          </cell>
        </row>
        <row r="46">
          <cell r="C46" t="str">
            <v>Nguyễn Thị Kim Thao</v>
          </cell>
          <cell r="D46" t="str">
            <v>BTI</v>
          </cell>
          <cell r="E46">
            <v>310000</v>
          </cell>
        </row>
        <row r="47">
          <cell r="B47" t="str">
            <v>CTV049132</v>
          </cell>
          <cell r="C47" t="str">
            <v>Trần Thị May Hậu</v>
          </cell>
          <cell r="D47" t="str">
            <v>BTI</v>
          </cell>
          <cell r="E47">
            <v>450000</v>
          </cell>
        </row>
        <row r="48">
          <cell r="B48" t="str">
            <v>VNP006771</v>
          </cell>
          <cell r="C48" t="str">
            <v>Trần Văn Thảnh</v>
          </cell>
          <cell r="D48" t="str">
            <v>CLH</v>
          </cell>
          <cell r="E48">
            <v>85000</v>
          </cell>
        </row>
        <row r="49">
          <cell r="B49" t="str">
            <v>VNP006770</v>
          </cell>
          <cell r="C49" t="str">
            <v>Lê Chí Răng</v>
          </cell>
          <cell r="D49" t="str">
            <v>CLH</v>
          </cell>
          <cell r="E49">
            <v>268000</v>
          </cell>
        </row>
        <row r="50">
          <cell r="B50" t="str">
            <v>CTV023031</v>
          </cell>
          <cell r="C50" t="str">
            <v>Nguyễn Thị Vỹ Hương Lan</v>
          </cell>
          <cell r="D50" t="str">
            <v>CLH</v>
          </cell>
          <cell r="E50">
            <v>1396800</v>
          </cell>
        </row>
        <row r="51">
          <cell r="B51" t="str">
            <v>CTV038176</v>
          </cell>
          <cell r="C51" t="str">
            <v>Nguyễn Thanh Hằng</v>
          </cell>
          <cell r="D51" t="str">
            <v>CLH</v>
          </cell>
          <cell r="E51">
            <v>1738900</v>
          </cell>
        </row>
        <row r="52">
          <cell r="B52" t="str">
            <v>VNP006775</v>
          </cell>
          <cell r="C52" t="str">
            <v>Huỳnh Minh Tâm</v>
          </cell>
          <cell r="D52" t="str">
            <v>CLH</v>
          </cell>
          <cell r="E52">
            <v>185000</v>
          </cell>
        </row>
        <row r="53">
          <cell r="B53" t="str">
            <v>VNP006774</v>
          </cell>
          <cell r="C53" t="str">
            <v>Nguyễn Thanh Hòa</v>
          </cell>
          <cell r="D53" t="str">
            <v>CLH</v>
          </cell>
          <cell r="E53">
            <v>525000</v>
          </cell>
        </row>
        <row r="54">
          <cell r="B54" t="str">
            <v>CTV028655</v>
          </cell>
          <cell r="C54" t="str">
            <v>Nguyễn Khắc Huy</v>
          </cell>
          <cell r="D54" t="str">
            <v>CLH</v>
          </cell>
          <cell r="E54">
            <v>1462900</v>
          </cell>
        </row>
        <row r="55">
          <cell r="B55" t="str">
            <v>VNP006776</v>
          </cell>
          <cell r="C55" t="str">
            <v>Nguyễn Văn Bé Út</v>
          </cell>
          <cell r="D55" t="str">
            <v>CLH</v>
          </cell>
          <cell r="E55">
            <v>1027900</v>
          </cell>
        </row>
        <row r="56">
          <cell r="B56" t="str">
            <v>CTV023131</v>
          </cell>
          <cell r="C56" t="str">
            <v>Lê Thị Linh Phương</v>
          </cell>
          <cell r="D56" t="str">
            <v>CLH</v>
          </cell>
          <cell r="E56">
            <v>274650</v>
          </cell>
        </row>
        <row r="57">
          <cell r="B57" t="str">
            <v>VNP006778</v>
          </cell>
          <cell r="C57" t="str">
            <v>Đặng Hoàng Thiện</v>
          </cell>
          <cell r="D57" t="str">
            <v>CLH</v>
          </cell>
          <cell r="E57">
            <v>260000</v>
          </cell>
        </row>
        <row r="58">
          <cell r="B58" t="str">
            <v>CTV023032</v>
          </cell>
          <cell r="C58" t="str">
            <v>Nguyễn Thị Vỹ Hương Linh</v>
          </cell>
          <cell r="D58" t="str">
            <v>CLH</v>
          </cell>
          <cell r="E58">
            <v>230000</v>
          </cell>
        </row>
        <row r="59">
          <cell r="C59" t="str">
            <v xml:space="preserve">Nguyễn Thị Ngọc Hiền </v>
          </cell>
          <cell r="D59" t="str">
            <v>CLH</v>
          </cell>
          <cell r="E59">
            <v>1021100</v>
          </cell>
        </row>
        <row r="60">
          <cell r="B60" t="str">
            <v>CTV049156</v>
          </cell>
          <cell r="C60" t="str">
            <v>Huỳnh Thị Thúy Ái</v>
          </cell>
          <cell r="D60" t="str">
            <v>CLH</v>
          </cell>
          <cell r="E60">
            <v>515000</v>
          </cell>
        </row>
        <row r="61">
          <cell r="B61" t="str">
            <v>CTV049157</v>
          </cell>
          <cell r="C61" t="str">
            <v>Trần Thị Tuyết Nhung</v>
          </cell>
          <cell r="D61" t="str">
            <v>CLH</v>
          </cell>
          <cell r="E61">
            <v>535900</v>
          </cell>
        </row>
        <row r="62">
          <cell r="B62" t="str">
            <v>CTV049154</v>
          </cell>
          <cell r="C62" t="str">
            <v>Nguyễn Thị Bé Mười</v>
          </cell>
          <cell r="D62" t="str">
            <v>CLH</v>
          </cell>
          <cell r="E62">
            <v>88500</v>
          </cell>
        </row>
        <row r="63">
          <cell r="B63" t="str">
            <v>CTV049158</v>
          </cell>
          <cell r="C63" t="str">
            <v>Lê Minh Tuấn</v>
          </cell>
          <cell r="D63" t="str">
            <v>CLH</v>
          </cell>
          <cell r="E63">
            <v>10000</v>
          </cell>
        </row>
        <row r="64">
          <cell r="B64" t="str">
            <v>CTV050396</v>
          </cell>
          <cell r="C64" t="str">
            <v>Huỳnh Thị Liên</v>
          </cell>
          <cell r="D64" t="str">
            <v>CLH</v>
          </cell>
          <cell r="E64">
            <v>309000</v>
          </cell>
        </row>
        <row r="65">
          <cell r="B65" t="str">
            <v>VNP006822</v>
          </cell>
          <cell r="C65" t="str">
            <v>Phạm Văn Dũng Em</v>
          </cell>
          <cell r="D65" t="str">
            <v>CTH</v>
          </cell>
          <cell r="E65">
            <v>105000</v>
          </cell>
        </row>
        <row r="66">
          <cell r="B66" t="str">
            <v>CTV023019</v>
          </cell>
          <cell r="C66" t="str">
            <v>Hồ Thanh Liêm</v>
          </cell>
          <cell r="D66" t="str">
            <v>CTH</v>
          </cell>
          <cell r="E66">
            <v>604800</v>
          </cell>
        </row>
        <row r="67">
          <cell r="B67" t="str">
            <v>CTV028602</v>
          </cell>
          <cell r="C67" t="str">
            <v>Nguyễn Thanh Trúc</v>
          </cell>
          <cell r="D67" t="str">
            <v>CTH</v>
          </cell>
          <cell r="E67">
            <v>1589060</v>
          </cell>
        </row>
        <row r="68">
          <cell r="B68" t="str">
            <v>CTV031867</v>
          </cell>
          <cell r="C68" t="str">
            <v>Nguyễn Thị Ngọc Ngoan</v>
          </cell>
          <cell r="D68" t="str">
            <v>CTH</v>
          </cell>
          <cell r="E68">
            <v>1351610</v>
          </cell>
        </row>
        <row r="69">
          <cell r="B69" t="str">
            <v>VNP006837</v>
          </cell>
          <cell r="C69" t="str">
            <v>Nguyễn Xuân Bách</v>
          </cell>
          <cell r="D69" t="str">
            <v>CTH</v>
          </cell>
          <cell r="E69">
            <v>631000</v>
          </cell>
        </row>
        <row r="70">
          <cell r="B70" t="str">
            <v>VNP006792</v>
          </cell>
          <cell r="C70" t="str">
            <v>Nguyễn Minh Bằng</v>
          </cell>
          <cell r="D70" t="str">
            <v>CTH</v>
          </cell>
          <cell r="E70">
            <v>185000</v>
          </cell>
        </row>
        <row r="71">
          <cell r="B71" t="str">
            <v>CTV059753</v>
          </cell>
          <cell r="C71" t="str">
            <v>Nguyễn Hữu Nhân</v>
          </cell>
          <cell r="D71" t="str">
            <v>CTH</v>
          </cell>
          <cell r="E71">
            <v>3104580</v>
          </cell>
        </row>
        <row r="72">
          <cell r="B72" t="str">
            <v>VNP006794</v>
          </cell>
          <cell r="C72" t="str">
            <v>Võ Từ Tấn Đạt</v>
          </cell>
          <cell r="D72" t="str">
            <v>CTH</v>
          </cell>
          <cell r="E72">
            <v>1029100</v>
          </cell>
        </row>
        <row r="73">
          <cell r="B73" t="str">
            <v>VNP006831</v>
          </cell>
          <cell r="C73" t="str">
            <v>Đặng Hữu Khánh</v>
          </cell>
          <cell r="D73" t="str">
            <v>CTH</v>
          </cell>
          <cell r="E73">
            <v>145000</v>
          </cell>
        </row>
        <row r="74">
          <cell r="B74" t="str">
            <v>VNP043489</v>
          </cell>
          <cell r="C74" t="str">
            <v>Phan Tuấn Đạt</v>
          </cell>
          <cell r="D74" t="str">
            <v>CTH</v>
          </cell>
          <cell r="E74">
            <v>485000</v>
          </cell>
        </row>
        <row r="75">
          <cell r="B75" t="str">
            <v>VNP006751</v>
          </cell>
          <cell r="C75" t="str">
            <v>Nguyễn Ngọc Triều</v>
          </cell>
          <cell r="D75" t="str">
            <v>CTH</v>
          </cell>
          <cell r="E75">
            <v>380000</v>
          </cell>
        </row>
        <row r="76">
          <cell r="B76" t="str">
            <v>CTV046677</v>
          </cell>
          <cell r="C76" t="str">
            <v>Lê Xuân Bình</v>
          </cell>
          <cell r="D76" t="str">
            <v>CTH</v>
          </cell>
          <cell r="E76">
            <v>835800</v>
          </cell>
        </row>
        <row r="77">
          <cell r="B77" t="str">
            <v>CTV041732</v>
          </cell>
          <cell r="C77" t="str">
            <v>Lê Chí Cường</v>
          </cell>
          <cell r="D77" t="str">
            <v>CTH</v>
          </cell>
          <cell r="E77">
            <v>1534000</v>
          </cell>
        </row>
        <row r="78">
          <cell r="B78" t="str">
            <v>VNP006744</v>
          </cell>
          <cell r="C78" t="str">
            <v>Nguyễn Hoàng Bảo</v>
          </cell>
          <cell r="D78" t="str">
            <v>CTH</v>
          </cell>
          <cell r="E78">
            <v>10000</v>
          </cell>
        </row>
        <row r="79">
          <cell r="B79" t="str">
            <v>VNP006835</v>
          </cell>
          <cell r="C79" t="str">
            <v>Phạm Viêt Phúc</v>
          </cell>
          <cell r="D79" t="str">
            <v>CTH</v>
          </cell>
          <cell r="E79">
            <v>30000</v>
          </cell>
        </row>
        <row r="80">
          <cell r="B80" t="str">
            <v>CTV049099</v>
          </cell>
          <cell r="C80" t="str">
            <v>Nguyễn Duy Hân</v>
          </cell>
          <cell r="D80" t="str">
            <v>CTH</v>
          </cell>
          <cell r="E80">
            <v>1704900</v>
          </cell>
        </row>
        <row r="81">
          <cell r="B81" t="str">
            <v>CTV050391</v>
          </cell>
          <cell r="C81" t="str">
            <v>Đoàn Minh Tú</v>
          </cell>
          <cell r="D81" t="str">
            <v>CTH</v>
          </cell>
          <cell r="E81">
            <v>14700</v>
          </cell>
        </row>
        <row r="82">
          <cell r="C82" t="str">
            <v>Nguyễn Huỳnh Minh Thông</v>
          </cell>
          <cell r="D82" t="str">
            <v>CTH</v>
          </cell>
          <cell r="E82">
            <v>15000</v>
          </cell>
        </row>
        <row r="83">
          <cell r="B83" t="str">
            <v>CTV050394</v>
          </cell>
          <cell r="C83" t="str">
            <v>Võ Thị Tuyết Linh</v>
          </cell>
          <cell r="D83" t="str">
            <v>CTH</v>
          </cell>
          <cell r="E83">
            <v>360800</v>
          </cell>
        </row>
        <row r="84">
          <cell r="B84" t="str">
            <v>CTV049146</v>
          </cell>
          <cell r="C84" t="str">
            <v>Nguyễn Thị Kim Quý</v>
          </cell>
          <cell r="D84" t="str">
            <v>CTH</v>
          </cell>
          <cell r="E84">
            <v>707000</v>
          </cell>
        </row>
        <row r="85">
          <cell r="B85" t="str">
            <v>CTV051436</v>
          </cell>
          <cell r="C85" t="str">
            <v>Võ Từ Tấn Huy</v>
          </cell>
          <cell r="D85" t="str">
            <v>CTH</v>
          </cell>
          <cell r="E85">
            <v>1705400</v>
          </cell>
        </row>
        <row r="86">
          <cell r="B86" t="str">
            <v>CTV049101</v>
          </cell>
          <cell r="C86" t="str">
            <v>Nguyễn Thị Lạt</v>
          </cell>
          <cell r="D86" t="str">
            <v>CTH</v>
          </cell>
          <cell r="E86">
            <v>1248500</v>
          </cell>
        </row>
        <row r="87">
          <cell r="B87" t="str">
            <v>VNP006753</v>
          </cell>
          <cell r="C87" t="str">
            <v>Đào Văn Tuân</v>
          </cell>
          <cell r="D87" t="str">
            <v>ĐHNV</v>
          </cell>
          <cell r="E87">
            <v>30000</v>
          </cell>
        </row>
        <row r="88">
          <cell r="B88" t="str">
            <v>VNP006741</v>
          </cell>
          <cell r="C88" t="str">
            <v>Lê Phạm Bích Quyên</v>
          </cell>
          <cell r="D88" t="str">
            <v>ĐHNV</v>
          </cell>
          <cell r="E88">
            <v>260000</v>
          </cell>
        </row>
        <row r="89">
          <cell r="B89" t="str">
            <v>CTV040279</v>
          </cell>
          <cell r="C89" t="str">
            <v>Nguyễn Châu Đoan</v>
          </cell>
          <cell r="D89" t="str">
            <v>ĐHNV</v>
          </cell>
          <cell r="E89">
            <v>105000</v>
          </cell>
        </row>
        <row r="90">
          <cell r="B90" t="str">
            <v>CTV062141</v>
          </cell>
          <cell r="C90" t="str">
            <v>Lê Thị Mỹ Tuyền</v>
          </cell>
          <cell r="D90" t="str">
            <v>ĐHNV</v>
          </cell>
          <cell r="E90">
            <v>70000</v>
          </cell>
        </row>
        <row r="91">
          <cell r="B91" t="str">
            <v>CTV040525</v>
          </cell>
          <cell r="C91" t="str">
            <v>Võ Ngọc Thảo</v>
          </cell>
          <cell r="D91" t="str">
            <v>ĐHNV</v>
          </cell>
          <cell r="E91">
            <v>460050</v>
          </cell>
        </row>
        <row r="92">
          <cell r="B92" t="str">
            <v>CTV062131</v>
          </cell>
          <cell r="C92" t="str">
            <v>Lê Minh Luân</v>
          </cell>
          <cell r="D92" t="str">
            <v>ĐHNV</v>
          </cell>
          <cell r="E92">
            <v>288500</v>
          </cell>
        </row>
        <row r="93">
          <cell r="B93" t="str">
            <v>CTV062133</v>
          </cell>
          <cell r="C93" t="str">
            <v>Nguyễn Thị Huỳnh Mai</v>
          </cell>
          <cell r="D93" t="str">
            <v>ĐHNV</v>
          </cell>
          <cell r="E93">
            <v>60000</v>
          </cell>
        </row>
        <row r="94">
          <cell r="B94" t="str">
            <v>VNP006694</v>
          </cell>
          <cell r="C94" t="str">
            <v>Lê Thị Diễm</v>
          </cell>
          <cell r="D94" t="str">
            <v>ĐHNV</v>
          </cell>
          <cell r="E94">
            <v>30000</v>
          </cell>
        </row>
        <row r="95">
          <cell r="B95" t="str">
            <v>VNP013336</v>
          </cell>
          <cell r="C95" t="str">
            <v>Nguyễn Thị Thi</v>
          </cell>
          <cell r="D95" t="str">
            <v>ĐHNV</v>
          </cell>
          <cell r="E95">
            <v>20000</v>
          </cell>
        </row>
        <row r="96">
          <cell r="B96" t="str">
            <v>VNP006807</v>
          </cell>
          <cell r="C96" t="str">
            <v>Nguyễn Văn Hiếu</v>
          </cell>
          <cell r="D96" t="str">
            <v>GTM</v>
          </cell>
          <cell r="E96">
            <v>165000</v>
          </cell>
        </row>
        <row r="97">
          <cell r="B97" t="str">
            <v>CTV023034</v>
          </cell>
          <cell r="C97" t="str">
            <v>Nguyễn Văn Thanh Bình</v>
          </cell>
          <cell r="D97" t="str">
            <v>GTM</v>
          </cell>
          <cell r="E97">
            <v>1048700</v>
          </cell>
        </row>
        <row r="98">
          <cell r="B98" t="str">
            <v>CTV023035</v>
          </cell>
          <cell r="C98" t="str">
            <v>Trần Thị Bé Muội</v>
          </cell>
          <cell r="D98" t="str">
            <v>GTM</v>
          </cell>
          <cell r="E98">
            <v>2186150</v>
          </cell>
        </row>
        <row r="99">
          <cell r="B99" t="str">
            <v>CTV038174</v>
          </cell>
          <cell r="C99" t="str">
            <v>Hồ Thị Nhi</v>
          </cell>
          <cell r="D99" t="str">
            <v>GTM</v>
          </cell>
          <cell r="E99">
            <v>1320950</v>
          </cell>
        </row>
        <row r="100">
          <cell r="B100" t="str">
            <v>VNP006810</v>
          </cell>
          <cell r="C100" t="str">
            <v>Phan Thanh Hải</v>
          </cell>
          <cell r="D100" t="str">
            <v>GTM</v>
          </cell>
          <cell r="E100">
            <v>250000</v>
          </cell>
        </row>
        <row r="101">
          <cell r="B101" t="str">
            <v>VNP006815</v>
          </cell>
          <cell r="C101" t="str">
            <v>Trần An Tựu</v>
          </cell>
          <cell r="D101" t="str">
            <v>GTM</v>
          </cell>
          <cell r="E101">
            <v>960000</v>
          </cell>
        </row>
        <row r="102">
          <cell r="B102" t="str">
            <v>VNP006813</v>
          </cell>
          <cell r="C102" t="str">
            <v>Võ Văn Nhân</v>
          </cell>
          <cell r="D102" t="str">
            <v>GTM</v>
          </cell>
          <cell r="E102">
            <v>1165000</v>
          </cell>
        </row>
        <row r="103">
          <cell r="B103" t="str">
            <v>VNP006816</v>
          </cell>
          <cell r="C103" t="str">
            <v>Đỗ Thành Vinh</v>
          </cell>
          <cell r="D103" t="str">
            <v>GTM</v>
          </cell>
          <cell r="E103">
            <v>260000</v>
          </cell>
        </row>
        <row r="104">
          <cell r="B104" t="str">
            <v>VNP006808</v>
          </cell>
          <cell r="C104" t="str">
            <v>Châu Trường Giang</v>
          </cell>
          <cell r="D104" t="str">
            <v>GTM</v>
          </cell>
          <cell r="E104">
            <v>115000</v>
          </cell>
        </row>
        <row r="105">
          <cell r="B105" t="str">
            <v>VNP006811</v>
          </cell>
          <cell r="C105" t="str">
            <v>Nguyễn Tiến Hữu</v>
          </cell>
          <cell r="D105" t="str">
            <v>GTM</v>
          </cell>
          <cell r="E105">
            <v>140000</v>
          </cell>
        </row>
        <row r="106">
          <cell r="B106" t="str">
            <v>VNP006818</v>
          </cell>
          <cell r="C106" t="str">
            <v>Quách Trần Đông</v>
          </cell>
          <cell r="D106" t="str">
            <v>GTM</v>
          </cell>
          <cell r="E106">
            <v>10000</v>
          </cell>
        </row>
        <row r="107">
          <cell r="B107" t="str">
            <v>CTV049090</v>
          </cell>
          <cell r="C107" t="str">
            <v>Phạm Thị Nhanh</v>
          </cell>
          <cell r="D107" t="str">
            <v>GTM</v>
          </cell>
          <cell r="E107">
            <v>737600</v>
          </cell>
        </row>
        <row r="108">
          <cell r="B108" t="str">
            <v>CTV049092</v>
          </cell>
          <cell r="C108" t="str">
            <v>Trần Thị Yến</v>
          </cell>
          <cell r="D108" t="str">
            <v>GTM</v>
          </cell>
          <cell r="E108">
            <v>1204300</v>
          </cell>
        </row>
        <row r="109">
          <cell r="B109" t="str">
            <v>CTV050913</v>
          </cell>
          <cell r="C109" t="str">
            <v>Phan Thị Cẩm Hằng</v>
          </cell>
          <cell r="D109" t="str">
            <v>GTM</v>
          </cell>
          <cell r="E109">
            <v>438300</v>
          </cell>
        </row>
        <row r="110">
          <cell r="B110" t="str">
            <v>CTV049089</v>
          </cell>
          <cell r="C110" t="str">
            <v>Phạm Thị Hằng</v>
          </cell>
          <cell r="D110" t="str">
            <v>GTM</v>
          </cell>
          <cell r="E110">
            <v>648900</v>
          </cell>
        </row>
        <row r="111">
          <cell r="B111" t="str">
            <v>CTV049093</v>
          </cell>
          <cell r="C111" t="str">
            <v>Nguyễn Thị Mỹ Linh</v>
          </cell>
          <cell r="D111" t="str">
            <v>GTM</v>
          </cell>
          <cell r="E111">
            <v>2322260</v>
          </cell>
        </row>
        <row r="112">
          <cell r="B112" t="str">
            <v>CTV049086</v>
          </cell>
          <cell r="C112" t="str">
            <v>Trần Thị Hồng Châu</v>
          </cell>
          <cell r="D112" t="str">
            <v>GTM</v>
          </cell>
          <cell r="E112">
            <v>2465200</v>
          </cell>
        </row>
        <row r="113">
          <cell r="B113" t="str">
            <v>CTV049088</v>
          </cell>
          <cell r="C113" t="str">
            <v>Lê Thị Thu Hiền</v>
          </cell>
          <cell r="D113" t="str">
            <v>GTM</v>
          </cell>
          <cell r="E113">
            <v>25000</v>
          </cell>
        </row>
        <row r="114">
          <cell r="B114" t="str">
            <v>CTV028284</v>
          </cell>
          <cell r="C114" t="str">
            <v>Trần Lâm Minh Thu</v>
          </cell>
          <cell r="D114" t="str">
            <v>KTKH</v>
          </cell>
          <cell r="E114">
            <v>25000</v>
          </cell>
        </row>
        <row r="115">
          <cell r="B115" t="str">
            <v>CTV023011</v>
          </cell>
          <cell r="C115" t="str">
            <v>Nguyễn Thị Thu Hằng</v>
          </cell>
          <cell r="D115" t="str">
            <v>KTKH</v>
          </cell>
          <cell r="E115">
            <v>10000</v>
          </cell>
        </row>
        <row r="116">
          <cell r="B116" t="str">
            <v>VNP006789</v>
          </cell>
          <cell r="C116" t="str">
            <v>Lê Trần Thị Trúc Phương</v>
          </cell>
          <cell r="D116" t="str">
            <v>KTKH</v>
          </cell>
          <cell r="E116">
            <v>10000</v>
          </cell>
        </row>
        <row r="117">
          <cell r="B117" t="str">
            <v>VNP006834</v>
          </cell>
          <cell r="C117" t="str">
            <v>Huỳnh Thị Việt Nhân</v>
          </cell>
          <cell r="D117" t="str">
            <v>KTKH</v>
          </cell>
          <cell r="E117">
            <v>85000</v>
          </cell>
        </row>
        <row r="118">
          <cell r="B118" t="str">
            <v>VNP006687</v>
          </cell>
          <cell r="C118" t="str">
            <v>Nguyễn Lê Ngọc Anh</v>
          </cell>
          <cell r="D118" t="str">
            <v>KTKH</v>
          </cell>
          <cell r="E118">
            <v>10000</v>
          </cell>
        </row>
        <row r="119">
          <cell r="B119" t="str">
            <v>VNP006688</v>
          </cell>
          <cell r="C119" t="str">
            <v>Từ Vy Hà</v>
          </cell>
          <cell r="D119" t="str">
            <v>KTKH</v>
          </cell>
          <cell r="E119">
            <v>5000</v>
          </cell>
        </row>
        <row r="120">
          <cell r="B120" t="str">
            <v>VNP006690</v>
          </cell>
          <cell r="C120" t="str">
            <v>Nguyễn Thị Thu Thúy</v>
          </cell>
          <cell r="D120" t="str">
            <v>KTKH</v>
          </cell>
          <cell r="E120">
            <v>50000</v>
          </cell>
        </row>
        <row r="121">
          <cell r="B121" t="str">
            <v>VNP006691</v>
          </cell>
          <cell r="C121" t="str">
            <v>Bùi Lan Phương</v>
          </cell>
          <cell r="D121" t="str">
            <v>KTKH</v>
          </cell>
          <cell r="E121">
            <v>10000</v>
          </cell>
        </row>
        <row r="122">
          <cell r="B122" t="str">
            <v>VNP024826</v>
          </cell>
          <cell r="C122" t="str">
            <v>Huỳnh Thị Ngọc Hiền</v>
          </cell>
          <cell r="D122" t="str">
            <v>KTKH</v>
          </cell>
          <cell r="E122">
            <v>5000</v>
          </cell>
        </row>
        <row r="123">
          <cell r="B123" t="str">
            <v>VNP006686</v>
          </cell>
          <cell r="C123" t="str">
            <v>Lê Thị Như Huỳnh</v>
          </cell>
          <cell r="D123" t="str">
            <v>KTKH</v>
          </cell>
          <cell r="E123">
            <v>35000</v>
          </cell>
        </row>
        <row r="124">
          <cell r="B124" t="str">
            <v>VNP006700</v>
          </cell>
          <cell r="C124" t="str">
            <v>Trịnh Thị Thanh Hồng</v>
          </cell>
          <cell r="D124" t="str">
            <v>KHDN</v>
          </cell>
          <cell r="E124">
            <v>25000</v>
          </cell>
        </row>
        <row r="125">
          <cell r="B125" t="str">
            <v>VNP006756</v>
          </cell>
          <cell r="C125" t="str">
            <v>Đỗ Văn Quyền</v>
          </cell>
          <cell r="D125" t="str">
            <v>KHDN</v>
          </cell>
          <cell r="E125">
            <v>605000</v>
          </cell>
        </row>
        <row r="126">
          <cell r="B126" t="str">
            <v>VNP006714</v>
          </cell>
          <cell r="C126" t="str">
            <v>Phan Trung Thành</v>
          </cell>
          <cell r="D126" t="str">
            <v>KHDN</v>
          </cell>
          <cell r="E126">
            <v>15000</v>
          </cell>
        </row>
        <row r="127">
          <cell r="B127" t="str">
            <v>CTV054620</v>
          </cell>
          <cell r="C127" t="str">
            <v>Hứa Trịnh Huỳnh Như</v>
          </cell>
          <cell r="D127" t="str">
            <v>KHDN</v>
          </cell>
          <cell r="E127">
            <v>270000</v>
          </cell>
        </row>
        <row r="128">
          <cell r="B128" t="str">
            <v>VNP006766</v>
          </cell>
          <cell r="C128" t="str">
            <v>Nguyễn Thị Diễm Hương</v>
          </cell>
          <cell r="D128" t="str">
            <v>MCY</v>
          </cell>
          <cell r="E128">
            <v>1624000</v>
          </cell>
        </row>
        <row r="129">
          <cell r="B129" t="str">
            <v>VNP006757</v>
          </cell>
          <cell r="C129" t="str">
            <v>Trần Văn Khải</v>
          </cell>
          <cell r="D129" t="str">
            <v>MCY</v>
          </cell>
          <cell r="E129">
            <v>1074000</v>
          </cell>
        </row>
        <row r="130">
          <cell r="B130" t="str">
            <v>CTV023027</v>
          </cell>
          <cell r="C130" t="str">
            <v>Lê Thị Kim Loan</v>
          </cell>
          <cell r="D130" t="str">
            <v>MCY</v>
          </cell>
          <cell r="E130">
            <v>1778200</v>
          </cell>
        </row>
        <row r="131">
          <cell r="B131" t="str">
            <v>CTV023207</v>
          </cell>
          <cell r="C131" t="str">
            <v>Nguyễn Thị Ngọc Diệp</v>
          </cell>
          <cell r="D131" t="str">
            <v>MCY</v>
          </cell>
          <cell r="E131">
            <v>1466950</v>
          </cell>
        </row>
        <row r="132">
          <cell r="B132" t="str">
            <v>CTV028599</v>
          </cell>
          <cell r="C132" t="str">
            <v>Nguyễn Thị Trúc Mai</v>
          </cell>
          <cell r="D132" t="str">
            <v>MCY</v>
          </cell>
          <cell r="E132">
            <v>3325150</v>
          </cell>
        </row>
        <row r="133">
          <cell r="B133" t="str">
            <v>CTV028603</v>
          </cell>
          <cell r="C133" t="str">
            <v>Lữ Thị Tuyết Loan</v>
          </cell>
          <cell r="D133" t="str">
            <v>MCY</v>
          </cell>
          <cell r="E133">
            <v>2263700</v>
          </cell>
        </row>
        <row r="134">
          <cell r="B134" t="str">
            <v>VNP006760</v>
          </cell>
          <cell r="C134" t="str">
            <v>Trịnh Văn Nguyên</v>
          </cell>
          <cell r="D134" t="str">
            <v>MCY</v>
          </cell>
          <cell r="E134">
            <v>514000</v>
          </cell>
        </row>
        <row r="135">
          <cell r="B135" t="str">
            <v>VNP006759</v>
          </cell>
          <cell r="C135" t="str">
            <v>Trịnh Minh Dương</v>
          </cell>
          <cell r="D135" t="str">
            <v>MCY</v>
          </cell>
          <cell r="E135">
            <v>340000</v>
          </cell>
        </row>
        <row r="136">
          <cell r="B136" t="str">
            <v>VNP006755</v>
          </cell>
          <cell r="C136" t="str">
            <v>Nguyễn Văn Bé Tám</v>
          </cell>
          <cell r="D136" t="str">
            <v>MCY</v>
          </cell>
          <cell r="E136">
            <v>160000</v>
          </cell>
        </row>
        <row r="137">
          <cell r="B137" t="str">
            <v>VNP006754</v>
          </cell>
          <cell r="C137" t="str">
            <v>Nguyễn Thanh Tùng</v>
          </cell>
          <cell r="D137" t="str">
            <v>MCY</v>
          </cell>
          <cell r="E137">
            <v>165000</v>
          </cell>
        </row>
        <row r="138">
          <cell r="B138" t="str">
            <v>VNP006763</v>
          </cell>
          <cell r="C138" t="str">
            <v>Võ Hoàng Thương</v>
          </cell>
          <cell r="D138" t="str">
            <v>MCY</v>
          </cell>
          <cell r="E138">
            <v>60000</v>
          </cell>
        </row>
        <row r="139">
          <cell r="B139" t="str">
            <v>CTV055530</v>
          </cell>
          <cell r="C139" t="str">
            <v>Phạm Trung Quân</v>
          </cell>
          <cell r="D139" t="str">
            <v>MCY</v>
          </cell>
          <cell r="E139">
            <v>1272700</v>
          </cell>
        </row>
        <row r="140">
          <cell r="B140" t="str">
            <v>VNP006768</v>
          </cell>
          <cell r="C140" t="str">
            <v>Lê Thanh Tú</v>
          </cell>
          <cell r="D140" t="str">
            <v>MCY</v>
          </cell>
          <cell r="E140">
            <v>10000</v>
          </cell>
        </row>
        <row r="141">
          <cell r="B141" t="str">
            <v>CTV023069</v>
          </cell>
          <cell r="C141" t="str">
            <v>Nguyễn Lê Thanh</v>
          </cell>
          <cell r="D141" t="str">
            <v>MCY</v>
          </cell>
          <cell r="E141">
            <v>375500</v>
          </cell>
        </row>
        <row r="142">
          <cell r="B142" t="str">
            <v>CTV023071</v>
          </cell>
          <cell r="C142" t="str">
            <v>Trần Văn Cảnh</v>
          </cell>
          <cell r="D142" t="str">
            <v>MCY</v>
          </cell>
          <cell r="E142">
            <v>3635710</v>
          </cell>
        </row>
        <row r="143">
          <cell r="B143" t="str">
            <v>CTV042575</v>
          </cell>
          <cell r="C143" t="str">
            <v>Nguyễn Hoàng Việt</v>
          </cell>
          <cell r="D143" t="str">
            <v>MCY</v>
          </cell>
          <cell r="E143">
            <v>217050</v>
          </cell>
        </row>
        <row r="144">
          <cell r="B144" t="str">
            <v>VNP006765</v>
          </cell>
          <cell r="C144" t="str">
            <v>Lê Văn Bảo Anh</v>
          </cell>
          <cell r="D144" t="str">
            <v>MCY</v>
          </cell>
          <cell r="E144">
            <v>235000</v>
          </cell>
        </row>
        <row r="145">
          <cell r="B145" t="str">
            <v>VNP006764</v>
          </cell>
          <cell r="C145" t="str">
            <v>Phan Thành Đạt</v>
          </cell>
          <cell r="D145" t="str">
            <v>MCY</v>
          </cell>
          <cell r="E145">
            <v>877000</v>
          </cell>
        </row>
        <row r="146">
          <cell r="B146" t="str">
            <v>VNP006762</v>
          </cell>
          <cell r="C146" t="str">
            <v>Đỗ Minh Đạt</v>
          </cell>
          <cell r="D146" t="str">
            <v>MCY</v>
          </cell>
          <cell r="E146">
            <v>420000</v>
          </cell>
        </row>
        <row r="147">
          <cell r="B147" t="str">
            <v>VNP006836</v>
          </cell>
          <cell r="C147" t="str">
            <v>Lê Tấn Lộc</v>
          </cell>
          <cell r="D147" t="str">
            <v>MCY</v>
          </cell>
          <cell r="E147">
            <v>145000</v>
          </cell>
        </row>
        <row r="148">
          <cell r="B148" t="str">
            <v>CTV023024</v>
          </cell>
          <cell r="C148" t="str">
            <v>Bùi Thị Thu Trang</v>
          </cell>
          <cell r="D148" t="str">
            <v>MCY</v>
          </cell>
          <cell r="E148">
            <v>726150</v>
          </cell>
        </row>
        <row r="149">
          <cell r="B149" t="str">
            <v>CTV023023</v>
          </cell>
          <cell r="C149" t="str">
            <v>Dương Thị Kim Thoa</v>
          </cell>
          <cell r="D149" t="str">
            <v>MCY</v>
          </cell>
          <cell r="E149">
            <v>55000</v>
          </cell>
        </row>
        <row r="150">
          <cell r="B150" t="str">
            <v>CTV050382</v>
          </cell>
          <cell r="C150" t="str">
            <v>Võ Thị Ngọc Điệp</v>
          </cell>
          <cell r="D150" t="str">
            <v>MCY</v>
          </cell>
          <cell r="E150">
            <v>1280700</v>
          </cell>
        </row>
        <row r="151">
          <cell r="B151" t="str">
            <v>CTV050387</v>
          </cell>
          <cell r="C151" t="str">
            <v>Đặng Thị Ngọc Diệu</v>
          </cell>
          <cell r="D151" t="str">
            <v>MCY</v>
          </cell>
          <cell r="E151">
            <v>603000</v>
          </cell>
        </row>
        <row r="152">
          <cell r="B152" t="str">
            <v>CTV049153</v>
          </cell>
          <cell r="C152" t="str">
            <v>Nguyễn Tân Phương</v>
          </cell>
          <cell r="D152" t="str">
            <v>MCY</v>
          </cell>
          <cell r="E152">
            <v>1200800</v>
          </cell>
        </row>
        <row r="153">
          <cell r="B153" t="str">
            <v>CTV023094</v>
          </cell>
          <cell r="C153" t="str">
            <v>Trần Thị Ngọc Lan</v>
          </cell>
          <cell r="D153" t="str">
            <v>MCY</v>
          </cell>
          <cell r="E153">
            <v>5045900</v>
          </cell>
        </row>
        <row r="154">
          <cell r="B154" t="str">
            <v>CTV050386</v>
          </cell>
          <cell r="C154" t="str">
            <v>Võ Như Ngọc</v>
          </cell>
          <cell r="D154" t="str">
            <v>MCY</v>
          </cell>
          <cell r="E154">
            <v>327000</v>
          </cell>
        </row>
        <row r="155">
          <cell r="B155" t="str">
            <v>CTV050381</v>
          </cell>
          <cell r="C155" t="str">
            <v>Huỳnh Thị Ven</v>
          </cell>
          <cell r="D155" t="str">
            <v>MCY</v>
          </cell>
          <cell r="E155">
            <v>1593500</v>
          </cell>
        </row>
        <row r="156">
          <cell r="C156" t="str">
            <v>Nguyễn Thị Thu Nguyệt</v>
          </cell>
          <cell r="D156" t="str">
            <v>MCY</v>
          </cell>
          <cell r="E156">
            <v>350400</v>
          </cell>
        </row>
        <row r="157">
          <cell r="B157" t="str">
            <v>CTV054738</v>
          </cell>
          <cell r="C157" t="str">
            <v>Nguyễn Thị Ngọc Hiền</v>
          </cell>
          <cell r="D157" t="str">
            <v>MCY</v>
          </cell>
          <cell r="E157">
            <v>518800</v>
          </cell>
        </row>
        <row r="158">
          <cell r="B158" t="str">
            <v>CTV050378</v>
          </cell>
          <cell r="C158" t="str">
            <v>Lê Thị Ngọc Trinh</v>
          </cell>
          <cell r="D158" t="str">
            <v>MCY</v>
          </cell>
          <cell r="E158">
            <v>167700</v>
          </cell>
        </row>
        <row r="159">
          <cell r="B159" t="str">
            <v>VNP006710</v>
          </cell>
          <cell r="C159" t="str">
            <v>Trương Hoàng Ái Nhân</v>
          </cell>
          <cell r="D159" t="str">
            <v>NSTH</v>
          </cell>
          <cell r="E159">
            <v>20000</v>
          </cell>
        </row>
        <row r="160">
          <cell r="B160" t="str">
            <v>VNP006719</v>
          </cell>
          <cell r="C160" t="str">
            <v>Mai Thị Ngọc</v>
          </cell>
          <cell r="D160" t="str">
            <v>ONLINE</v>
          </cell>
          <cell r="E160">
            <v>1045100</v>
          </cell>
        </row>
        <row r="161">
          <cell r="B161" t="str">
            <v>VNP006720</v>
          </cell>
          <cell r="C161" t="str">
            <v>Phạm Thị Thanh Tâm</v>
          </cell>
          <cell r="D161" t="str">
            <v>ONLINE</v>
          </cell>
          <cell r="E161">
            <v>2314020</v>
          </cell>
        </row>
        <row r="162">
          <cell r="B162" t="str">
            <v>VNP006749</v>
          </cell>
          <cell r="C162" t="str">
            <v>Tưởng Mộng Thùy</v>
          </cell>
          <cell r="D162" t="str">
            <v>ONLINE</v>
          </cell>
          <cell r="E162">
            <v>2699900</v>
          </cell>
        </row>
        <row r="163">
          <cell r="B163" t="str">
            <v>VNP006747</v>
          </cell>
          <cell r="C163" t="str">
            <v>Hồ Thị Ánh Nguyệt</v>
          </cell>
          <cell r="D163" t="str">
            <v>ONLINE</v>
          </cell>
          <cell r="E163">
            <v>884250</v>
          </cell>
        </row>
        <row r="164">
          <cell r="B164" t="str">
            <v>VNP006721</v>
          </cell>
          <cell r="C164" t="str">
            <v>Nguyễn Thị Đằng Giao</v>
          </cell>
          <cell r="D164" t="str">
            <v>ONLINE</v>
          </cell>
          <cell r="E164">
            <v>133390</v>
          </cell>
        </row>
        <row r="165">
          <cell r="B165" t="str">
            <v>CTV023225</v>
          </cell>
          <cell r="C165" t="str">
            <v>Nguyễn Thị Diện</v>
          </cell>
          <cell r="D165" t="str">
            <v>ONLINE</v>
          </cell>
          <cell r="E165">
            <v>513780</v>
          </cell>
        </row>
        <row r="166">
          <cell r="B166" t="str">
            <v>CTV023224</v>
          </cell>
          <cell r="C166" t="str">
            <v>Huỳnh Thị Hoàng Linh</v>
          </cell>
          <cell r="D166" t="str">
            <v>ONLINE</v>
          </cell>
          <cell r="E166">
            <v>752790</v>
          </cell>
        </row>
        <row r="167">
          <cell r="B167" t="str">
            <v>CTV023227</v>
          </cell>
          <cell r="C167" t="str">
            <v>Nguyễn Thị Kim Hồng</v>
          </cell>
          <cell r="D167" t="str">
            <v>ONLINE</v>
          </cell>
          <cell r="E167">
            <v>1206230</v>
          </cell>
        </row>
        <row r="168">
          <cell r="B168" t="str">
            <v>CTV036057</v>
          </cell>
          <cell r="C168" t="str">
            <v>Nguyễn Thị Ngọc Hân</v>
          </cell>
          <cell r="D168" t="str">
            <v>ONLINE</v>
          </cell>
          <cell r="E168">
            <v>1974760</v>
          </cell>
        </row>
        <row r="169">
          <cell r="B169" t="str">
            <v>CTV040531</v>
          </cell>
          <cell r="C169" t="str">
            <v>Nguyễn Ngọc Châu</v>
          </cell>
          <cell r="D169" t="str">
            <v>ONLINE</v>
          </cell>
          <cell r="E169">
            <v>1447140</v>
          </cell>
        </row>
        <row r="170">
          <cell r="B170" t="str">
            <v>CTV042537</v>
          </cell>
          <cell r="C170" t="str">
            <v>Nguyễn Phạm Bảo Châu</v>
          </cell>
          <cell r="D170" t="str">
            <v>ONLINE</v>
          </cell>
          <cell r="E170">
            <v>1785030</v>
          </cell>
        </row>
        <row r="171">
          <cell r="B171" t="str">
            <v>CTV064824</v>
          </cell>
          <cell r="C171" t="str">
            <v>Võ Thị Thắm</v>
          </cell>
          <cell r="D171" t="str">
            <v>ONLINE</v>
          </cell>
          <cell r="E171">
            <v>623000</v>
          </cell>
        </row>
        <row r="172">
          <cell r="B172" t="str">
            <v>CTV042538</v>
          </cell>
          <cell r="C172" t="str">
            <v>Trương Thị Chi</v>
          </cell>
          <cell r="D172" t="str">
            <v>ONLINE</v>
          </cell>
          <cell r="E172">
            <v>609120</v>
          </cell>
        </row>
        <row r="173">
          <cell r="B173" t="str">
            <v>VNP006743</v>
          </cell>
          <cell r="C173" t="str">
            <v>Nguyễn Thị Mộng Nghi</v>
          </cell>
          <cell r="D173" t="str">
            <v>ONLINE</v>
          </cell>
          <cell r="E173">
            <v>712110</v>
          </cell>
        </row>
        <row r="174">
          <cell r="B174" t="str">
            <v>CTV049097</v>
          </cell>
          <cell r="C174" t="str">
            <v>Huỳnh Thị Đảnh</v>
          </cell>
          <cell r="D174" t="str">
            <v>ONLINE</v>
          </cell>
          <cell r="E174">
            <v>1071000</v>
          </cell>
        </row>
        <row r="175">
          <cell r="C175" t="str">
            <v xml:space="preserve">Nguyễn Vũ Châu </v>
          </cell>
          <cell r="D175" t="str">
            <v>ONLINE</v>
          </cell>
          <cell r="E175">
            <v>597000</v>
          </cell>
        </row>
        <row r="176">
          <cell r="B176" t="str">
            <v>CTV049104</v>
          </cell>
          <cell r="C176" t="str">
            <v>Trần Thành Tâm</v>
          </cell>
          <cell r="D176" t="str">
            <v>ONLINE</v>
          </cell>
          <cell r="E176">
            <v>748500</v>
          </cell>
        </row>
        <row r="177">
          <cell r="B177" t="str">
            <v>CTV059748</v>
          </cell>
          <cell r="C177" t="str">
            <v>Trần Ngô Yến Vy</v>
          </cell>
          <cell r="D177" t="str">
            <v>ONLINE</v>
          </cell>
          <cell r="E177">
            <v>164210</v>
          </cell>
        </row>
        <row r="178">
          <cell r="B178" t="str">
            <v>CTV028578</v>
          </cell>
          <cell r="C178" t="str">
            <v>Hồ Như Gương</v>
          </cell>
          <cell r="D178" t="str">
            <v>TPO</v>
          </cell>
          <cell r="E178">
            <v>3449250</v>
          </cell>
        </row>
        <row r="179">
          <cell r="B179" t="str">
            <v>VNP006722</v>
          </cell>
          <cell r="C179" t="str">
            <v>Nguyễn Thị Yến Trinh</v>
          </cell>
          <cell r="D179" t="str">
            <v>TPO</v>
          </cell>
          <cell r="E179">
            <v>290000</v>
          </cell>
        </row>
        <row r="180">
          <cell r="B180" t="str">
            <v>CTV023017</v>
          </cell>
          <cell r="C180" t="str">
            <v>Nguyễn Thị Thanh Thúy</v>
          </cell>
          <cell r="D180" t="str">
            <v>TPO</v>
          </cell>
          <cell r="E180">
            <v>494700</v>
          </cell>
        </row>
        <row r="181">
          <cell r="B181" t="str">
            <v>VNP006806</v>
          </cell>
          <cell r="C181" t="str">
            <v>Lâm Vĩnh Phước</v>
          </cell>
          <cell r="D181" t="str">
            <v>TPO</v>
          </cell>
          <cell r="E181">
            <v>815000</v>
          </cell>
        </row>
        <row r="182">
          <cell r="B182" t="str">
            <v>CTV023012</v>
          </cell>
          <cell r="C182" t="str">
            <v>Lê Thị Hồng Nhung</v>
          </cell>
          <cell r="D182" t="str">
            <v>TPO</v>
          </cell>
          <cell r="E182">
            <v>4816950</v>
          </cell>
        </row>
        <row r="183">
          <cell r="B183" t="str">
            <v>CTV023013</v>
          </cell>
          <cell r="C183" t="str">
            <v>Phạm Thị Thanh Thúy</v>
          </cell>
          <cell r="D183" t="str">
            <v>TPO</v>
          </cell>
          <cell r="E183">
            <v>459350</v>
          </cell>
        </row>
        <row r="184">
          <cell r="B184" t="str">
            <v>CTV023014</v>
          </cell>
          <cell r="C184" t="str">
            <v>Trần Thị Thanh Trúc</v>
          </cell>
          <cell r="D184" t="str">
            <v>TPO</v>
          </cell>
          <cell r="E184">
            <v>1438400</v>
          </cell>
        </row>
        <row r="185">
          <cell r="B185" t="str">
            <v>CTV023015</v>
          </cell>
          <cell r="C185" t="str">
            <v>Đào Thị Thúy An</v>
          </cell>
          <cell r="D185" t="str">
            <v>TPO</v>
          </cell>
          <cell r="E185">
            <v>2975100</v>
          </cell>
        </row>
        <row r="186">
          <cell r="B186" t="str">
            <v>CTV023018</v>
          </cell>
          <cell r="C186" t="str">
            <v>Võ Thị Tuyết Vân</v>
          </cell>
          <cell r="D186" t="str">
            <v>TPO</v>
          </cell>
          <cell r="E186">
            <v>1438800</v>
          </cell>
        </row>
        <row r="187">
          <cell r="B187" t="str">
            <v>CTV055531</v>
          </cell>
          <cell r="C187" t="str">
            <v>Nguyễn Thị Thanh Trúc</v>
          </cell>
          <cell r="D187" t="str">
            <v>TPO</v>
          </cell>
          <cell r="E187">
            <v>4335260</v>
          </cell>
        </row>
        <row r="188">
          <cell r="B188" t="str">
            <v>VNP006716</v>
          </cell>
          <cell r="C188" t="str">
            <v>Huỳnh Thị Lan Hương</v>
          </cell>
          <cell r="D188" t="str">
            <v>TPO</v>
          </cell>
          <cell r="E188">
            <v>735000</v>
          </cell>
        </row>
        <row r="189">
          <cell r="B189" t="str">
            <v>VNP006812</v>
          </cell>
          <cell r="C189" t="str">
            <v>Nguyễn Văn Huyền Em</v>
          </cell>
          <cell r="D189" t="str">
            <v>TPO</v>
          </cell>
          <cell r="E189">
            <v>170000</v>
          </cell>
        </row>
        <row r="190">
          <cell r="B190" t="str">
            <v>VNP006712</v>
          </cell>
          <cell r="C190" t="str">
            <v>Phạm Văn Thanh</v>
          </cell>
          <cell r="D190" t="str">
            <v>TPO</v>
          </cell>
          <cell r="E190">
            <v>120000</v>
          </cell>
        </row>
        <row r="191">
          <cell r="B191" t="str">
            <v>VNP006734</v>
          </cell>
          <cell r="C191" t="str">
            <v>Lê Khắc Tiến</v>
          </cell>
          <cell r="D191" t="str">
            <v>TPO</v>
          </cell>
          <cell r="E191">
            <v>370000</v>
          </cell>
        </row>
        <row r="192">
          <cell r="B192" t="str">
            <v>VNP006736</v>
          </cell>
          <cell r="C192" t="str">
            <v>Đoàn Chí Công</v>
          </cell>
          <cell r="D192" t="str">
            <v>TPO</v>
          </cell>
          <cell r="E192">
            <v>105000</v>
          </cell>
        </row>
        <row r="193">
          <cell r="B193" t="str">
            <v>VNP006729</v>
          </cell>
          <cell r="C193" t="str">
            <v>Đặng Kim Đồng</v>
          </cell>
          <cell r="D193" t="str">
            <v>TPO</v>
          </cell>
          <cell r="E193">
            <v>355000</v>
          </cell>
        </row>
        <row r="194">
          <cell r="B194" t="str">
            <v>VNP006728</v>
          </cell>
          <cell r="C194" t="str">
            <v>Nguyễn Văn Cường</v>
          </cell>
          <cell r="D194" t="str">
            <v>TPO</v>
          </cell>
          <cell r="E194">
            <v>969700</v>
          </cell>
        </row>
        <row r="195">
          <cell r="B195" t="str">
            <v>VNP006735</v>
          </cell>
          <cell r="C195" t="str">
            <v>Nguyễn Vũ Phương</v>
          </cell>
          <cell r="D195" t="str">
            <v>TPO</v>
          </cell>
          <cell r="E195">
            <v>309500</v>
          </cell>
        </row>
        <row r="196">
          <cell r="B196" t="str">
            <v>VNP006746</v>
          </cell>
          <cell r="C196" t="str">
            <v>Nguyễn Thị Huỳnh</v>
          </cell>
          <cell r="D196" t="str">
            <v>TPO</v>
          </cell>
          <cell r="E196">
            <v>305000</v>
          </cell>
        </row>
        <row r="197">
          <cell r="B197" t="str">
            <v>CTV036515</v>
          </cell>
          <cell r="C197" t="str">
            <v>Huỳnh Thy Nga</v>
          </cell>
          <cell r="D197" t="str">
            <v>TPO</v>
          </cell>
          <cell r="E197">
            <v>761000</v>
          </cell>
        </row>
        <row r="198">
          <cell r="B198" t="str">
            <v>CTV048323</v>
          </cell>
          <cell r="C198" t="str">
            <v>Lê Thị Ngọc Hân</v>
          </cell>
          <cell r="D198" t="str">
            <v>TPO</v>
          </cell>
          <cell r="E198">
            <v>20000</v>
          </cell>
        </row>
        <row r="199">
          <cell r="B199" t="str">
            <v>CTV049098</v>
          </cell>
          <cell r="C199" t="str">
            <v>Liang Hoàng Lam</v>
          </cell>
          <cell r="D199" t="str">
            <v>TPO</v>
          </cell>
          <cell r="E199">
            <v>382000</v>
          </cell>
        </row>
        <row r="200">
          <cell r="B200" t="str">
            <v>CTV049108</v>
          </cell>
          <cell r="C200" t="str">
            <v>Trần Trọng Thái</v>
          </cell>
          <cell r="D200" t="str">
            <v>TPO</v>
          </cell>
          <cell r="E200">
            <v>1205800</v>
          </cell>
        </row>
        <row r="201">
          <cell r="B201" t="str">
            <v>CTV063230</v>
          </cell>
          <cell r="C201" t="str">
            <v>Đặng Thành Tân</v>
          </cell>
          <cell r="D201" t="str">
            <v>TPO</v>
          </cell>
          <cell r="E201">
            <v>145000</v>
          </cell>
        </row>
        <row r="202">
          <cell r="B202" t="str">
            <v>CTV049106</v>
          </cell>
          <cell r="C202" t="str">
            <v>Lâm Văn Thịnh</v>
          </cell>
          <cell r="D202" t="str">
            <v>TPO</v>
          </cell>
          <cell r="E202">
            <v>870550</v>
          </cell>
        </row>
        <row r="203">
          <cell r="C203" t="str">
            <v>Phạm Thị Hậu</v>
          </cell>
          <cell r="D203" t="str">
            <v>TPO</v>
          </cell>
          <cell r="E203">
            <v>83500</v>
          </cell>
        </row>
        <row r="204">
          <cell r="C204" t="str">
            <v xml:space="preserve">Phan Trường Hải </v>
          </cell>
          <cell r="D204" t="str">
            <v>TPO</v>
          </cell>
          <cell r="E204">
            <v>180000</v>
          </cell>
        </row>
        <row r="205">
          <cell r="B205" t="str">
            <v>CTV049103</v>
          </cell>
          <cell r="C205" t="str">
            <v>Nguyễn Hoàng Khiêm</v>
          </cell>
          <cell r="D205" t="str">
            <v>TPO</v>
          </cell>
          <cell r="E205">
            <v>69150</v>
          </cell>
        </row>
        <row r="206">
          <cell r="B206" t="str">
            <v>CTV049096</v>
          </cell>
          <cell r="C206" t="str">
            <v>Đặng Thị Khen</v>
          </cell>
          <cell r="D206" t="str">
            <v>TPO</v>
          </cell>
          <cell r="E206">
            <v>1092500</v>
          </cell>
        </row>
        <row r="207">
          <cell r="B207" t="str">
            <v>CTV049105</v>
          </cell>
          <cell r="C207" t="str">
            <v>Trương Hoài Kim</v>
          </cell>
          <cell r="D207" t="str">
            <v>TPO</v>
          </cell>
          <cell r="E207">
            <v>235200</v>
          </cell>
        </row>
        <row r="208">
          <cell r="C208" t="str">
            <v>Lê Thị Xê</v>
          </cell>
          <cell r="D208" t="str">
            <v>TPO</v>
          </cell>
          <cell r="E208">
            <v>540000</v>
          </cell>
        </row>
        <row r="209">
          <cell r="C209" t="str">
            <v xml:space="preserve">Lê Thanh Đạm </v>
          </cell>
          <cell r="D209" t="str">
            <v>TPO</v>
          </cell>
          <cell r="E209">
            <v>1909500</v>
          </cell>
        </row>
        <row r="210">
          <cell r="B210" t="str">
            <v>CTV049095</v>
          </cell>
          <cell r="C210" t="str">
            <v>Cao Thị Ngọc Tơ</v>
          </cell>
          <cell r="D210" t="str">
            <v>TPO</v>
          </cell>
          <cell r="E210">
            <v>90000</v>
          </cell>
        </row>
        <row r="211">
          <cell r="C211" t="str">
            <v>Nguyễn Phi Nhựt</v>
          </cell>
          <cell r="D211" t="str">
            <v>TPO</v>
          </cell>
          <cell r="E211">
            <v>14700</v>
          </cell>
        </row>
        <row r="212">
          <cell r="B212" t="str">
            <v>CTV049091</v>
          </cell>
          <cell r="C212" t="str">
            <v>Trần Thị Mỹ Trinh</v>
          </cell>
          <cell r="D212" t="str">
            <v>TPO</v>
          </cell>
          <cell r="E212">
            <v>180000</v>
          </cell>
        </row>
        <row r="213">
          <cell r="B213" t="str">
            <v>CTV049100</v>
          </cell>
          <cell r="C213" t="str">
            <v>Nguyễn Nhựt Trường</v>
          </cell>
          <cell r="D213" t="str">
            <v>TPO</v>
          </cell>
          <cell r="E213">
            <v>290800</v>
          </cell>
        </row>
        <row r="214">
          <cell r="B214" t="str">
            <v>VNP006782</v>
          </cell>
          <cell r="C214" t="str">
            <v>Phan Văn Điền</v>
          </cell>
          <cell r="D214" t="str">
            <v>TPU</v>
          </cell>
          <cell r="E214">
            <v>460000</v>
          </cell>
        </row>
        <row r="215">
          <cell r="B215" t="str">
            <v>VNP006783</v>
          </cell>
          <cell r="C215" t="str">
            <v>Đoàn Trung Hiếu</v>
          </cell>
          <cell r="D215" t="str">
            <v>TPU</v>
          </cell>
          <cell r="E215">
            <v>80000</v>
          </cell>
        </row>
        <row r="216">
          <cell r="B216" t="str">
            <v>VNP006786</v>
          </cell>
          <cell r="C216" t="str">
            <v>Phạm Hoàng Lam</v>
          </cell>
          <cell r="D216" t="str">
            <v>TPU</v>
          </cell>
          <cell r="E216">
            <v>50000</v>
          </cell>
        </row>
        <row r="217">
          <cell r="B217" t="str">
            <v>CTV023029</v>
          </cell>
          <cell r="C217" t="str">
            <v>Mai Thị Thùy</v>
          </cell>
          <cell r="D217" t="str">
            <v>TPU</v>
          </cell>
          <cell r="E217">
            <v>1369500</v>
          </cell>
        </row>
        <row r="218">
          <cell r="B218" t="str">
            <v>CTV023107</v>
          </cell>
          <cell r="C218" t="str">
            <v>Nguyễn Thị Ngọc Hằng</v>
          </cell>
          <cell r="D218" t="str">
            <v>TPU</v>
          </cell>
          <cell r="E218">
            <v>1462000</v>
          </cell>
        </row>
        <row r="219">
          <cell r="B219" t="str">
            <v>VNP006787</v>
          </cell>
          <cell r="C219" t="str">
            <v>Lê Văn Quyền</v>
          </cell>
          <cell r="D219" t="str">
            <v>TPU</v>
          </cell>
          <cell r="E219">
            <v>390000</v>
          </cell>
        </row>
        <row r="220">
          <cell r="B220" t="str">
            <v>CTV036506</v>
          </cell>
          <cell r="C220" t="str">
            <v>Bùi Tấn Đạt</v>
          </cell>
          <cell r="D220" t="str">
            <v>TPU</v>
          </cell>
          <cell r="E220">
            <v>1851500</v>
          </cell>
        </row>
        <row r="221">
          <cell r="B221" t="str">
            <v>CTV028601</v>
          </cell>
          <cell r="C221" t="str">
            <v>Huỳnh Nguyễn Giao Hân</v>
          </cell>
          <cell r="D221" t="str">
            <v>TPU</v>
          </cell>
          <cell r="E221">
            <v>543400</v>
          </cell>
        </row>
        <row r="222">
          <cell r="B222" t="str">
            <v>CTV023030</v>
          </cell>
          <cell r="C222" t="str">
            <v>Nguyễn Thị Lan Phương</v>
          </cell>
          <cell r="D222" t="str">
            <v>TPU</v>
          </cell>
          <cell r="E222">
            <v>340000</v>
          </cell>
        </row>
        <row r="223">
          <cell r="B223" t="str">
            <v>CTV035279</v>
          </cell>
          <cell r="C223" t="str">
            <v>Lê Văn Giàu</v>
          </cell>
          <cell r="D223" t="str">
            <v>TPU</v>
          </cell>
          <cell r="E223">
            <v>2568700</v>
          </cell>
        </row>
        <row r="224">
          <cell r="B224" t="str">
            <v>VNP006784</v>
          </cell>
          <cell r="C224" t="str">
            <v>Lê Thanh Phúc</v>
          </cell>
          <cell r="D224" t="str">
            <v>TPU</v>
          </cell>
          <cell r="E224">
            <v>1108000</v>
          </cell>
        </row>
        <row r="225">
          <cell r="B225" t="str">
            <v>VNP006788</v>
          </cell>
          <cell r="C225" t="str">
            <v>Võ Hoàng Le</v>
          </cell>
          <cell r="D225" t="str">
            <v>TPU</v>
          </cell>
          <cell r="E225">
            <v>126750</v>
          </cell>
        </row>
        <row r="226">
          <cell r="B226" t="str">
            <v>VNP006785</v>
          </cell>
          <cell r="C226" t="str">
            <v>Trần Quang Phú</v>
          </cell>
          <cell r="D226" t="str">
            <v>TPU</v>
          </cell>
          <cell r="E226">
            <v>255000</v>
          </cell>
        </row>
        <row r="227">
          <cell r="B227" t="str">
            <v>CTV020464</v>
          </cell>
          <cell r="C227" t="str">
            <v>Nguyễn Thị Kim Thi</v>
          </cell>
          <cell r="D227" t="str">
            <v>TPU</v>
          </cell>
          <cell r="E227">
            <v>115000</v>
          </cell>
        </row>
        <row r="228">
          <cell r="B228" t="str">
            <v>CTV049112</v>
          </cell>
          <cell r="C228" t="str">
            <v>Trần Xuân Nguyên</v>
          </cell>
          <cell r="D228" t="str">
            <v>TPU</v>
          </cell>
          <cell r="E228">
            <v>414900</v>
          </cell>
        </row>
        <row r="229">
          <cell r="B229" t="str">
            <v>CTV054611</v>
          </cell>
          <cell r="C229" t="str">
            <v>Hồ Thị Minh Hiếu</v>
          </cell>
          <cell r="D229" t="str">
            <v>TPU</v>
          </cell>
          <cell r="E229">
            <v>1288500</v>
          </cell>
        </row>
        <row r="230">
          <cell r="C230" t="str">
            <v>Huỳnh Trung Nghĩa</v>
          </cell>
          <cell r="D230" t="str">
            <v>TPU</v>
          </cell>
          <cell r="E230">
            <v>295150</v>
          </cell>
        </row>
        <row r="231">
          <cell r="B231" t="str">
            <v>CTV049117</v>
          </cell>
          <cell r="C231" t="str">
            <v>Trần Thị Diễm Trang</v>
          </cell>
          <cell r="D231" t="str">
            <v>TPU</v>
          </cell>
          <cell r="E231">
            <v>105000</v>
          </cell>
        </row>
        <row r="232">
          <cell r="B232" t="str">
            <v>CTV063240</v>
          </cell>
          <cell r="C232" t="str">
            <v>Đặng Thị Đậm</v>
          </cell>
          <cell r="D232" t="str">
            <v>TPU</v>
          </cell>
          <cell r="E232">
            <v>147000</v>
          </cell>
        </row>
        <row r="233">
          <cell r="B233" t="str">
            <v>CTV023030</v>
          </cell>
          <cell r="C233" t="str">
            <v>Nguyễn Thị  Lan Phương</v>
          </cell>
          <cell r="D233" t="str">
            <v>TPU</v>
          </cell>
          <cell r="E233">
            <v>623300</v>
          </cell>
        </row>
        <row r="234">
          <cell r="B234" t="str">
            <v>CTV049113</v>
          </cell>
          <cell r="C234" t="str">
            <v>Phan Xuân Em</v>
          </cell>
          <cell r="D234" t="str">
            <v>TPU</v>
          </cell>
          <cell r="E234">
            <v>2511000</v>
          </cell>
        </row>
      </sheetData>
      <sheetData sheetId="24"/>
      <sheetData sheetId="25"/>
      <sheetData sheetId="26"/>
      <sheetData sheetId="27"/>
      <sheetData sheetId="28"/>
      <sheetData sheetId="29"/>
      <sheetData sheetId="30">
        <row r="10">
          <cell r="B10" t="str">
            <v>CTV023010</v>
          </cell>
          <cell r="C10">
            <v>1</v>
          </cell>
          <cell r="D10" t="str">
            <v>Trà Thị Minh Lý</v>
          </cell>
          <cell r="E10">
            <v>335</v>
          </cell>
          <cell r="F10">
            <v>0</v>
          </cell>
          <cell r="G10">
            <v>0</v>
          </cell>
        </row>
        <row r="11">
          <cell r="B11" t="str">
            <v>CTV023047</v>
          </cell>
          <cell r="C11">
            <v>2</v>
          </cell>
          <cell r="D11" t="str">
            <v>Lê Thị Mộng Thủy</v>
          </cell>
          <cell r="E11">
            <v>226</v>
          </cell>
          <cell r="F11">
            <v>1</v>
          </cell>
          <cell r="G11">
            <v>25</v>
          </cell>
        </row>
        <row r="12">
          <cell r="B12" t="str">
            <v>CTV028376</v>
          </cell>
          <cell r="C12">
            <v>3</v>
          </cell>
          <cell r="D12" t="str">
            <v>Nguyễn Thị Huỳnh Ngân</v>
          </cell>
          <cell r="E12">
            <v>489</v>
          </cell>
          <cell r="F12">
            <v>0</v>
          </cell>
          <cell r="G12">
            <v>0</v>
          </cell>
        </row>
        <row r="13">
          <cell r="B13" t="str">
            <v>CTV028284</v>
          </cell>
          <cell r="C13">
            <v>4</v>
          </cell>
          <cell r="D13" t="str">
            <v>Trần Lâm Minh Thu</v>
          </cell>
          <cell r="E13">
            <v>543</v>
          </cell>
          <cell r="F13">
            <v>1.04</v>
          </cell>
          <cell r="G13">
            <v>25</v>
          </cell>
        </row>
        <row r="14">
          <cell r="B14" t="str">
            <v>CTV023011</v>
          </cell>
          <cell r="C14">
            <v>5</v>
          </cell>
          <cell r="D14" t="str">
            <v>Nguyễn Thị Thu Hằng</v>
          </cell>
          <cell r="E14">
            <v>290</v>
          </cell>
          <cell r="F14">
            <v>1.03</v>
          </cell>
          <cell r="G14">
            <v>25</v>
          </cell>
        </row>
        <row r="15">
          <cell r="B15" t="str">
            <v>CTV040279</v>
          </cell>
          <cell r="C15">
            <v>6</v>
          </cell>
          <cell r="D15" t="str">
            <v>Nguyễn Châu Đoan</v>
          </cell>
          <cell r="E15">
            <v>379</v>
          </cell>
          <cell r="F15">
            <v>1.0900000000000001</v>
          </cell>
          <cell r="G15">
            <v>25</v>
          </cell>
        </row>
        <row r="16">
          <cell r="B16" t="str">
            <v>CTV043657</v>
          </cell>
          <cell r="C16">
            <v>7</v>
          </cell>
          <cell r="D16" t="str">
            <v>Võ Ngọc Ẩn</v>
          </cell>
          <cell r="E16">
            <v>379</v>
          </cell>
          <cell r="F16">
            <v>1.1399999999999999</v>
          </cell>
          <cell r="G16">
            <v>25</v>
          </cell>
        </row>
        <row r="17">
          <cell r="B17" t="str">
            <v>CTV054886</v>
          </cell>
          <cell r="C17">
            <v>8</v>
          </cell>
          <cell r="D17" t="str">
            <v>Nguyễn Lê Hữu Duy</v>
          </cell>
          <cell r="E17">
            <v>543</v>
          </cell>
          <cell r="F17">
            <v>1.36</v>
          </cell>
          <cell r="G17">
            <v>25</v>
          </cell>
        </row>
        <row r="18">
          <cell r="B18" t="str">
            <v>CTV036516</v>
          </cell>
          <cell r="C18">
            <v>9</v>
          </cell>
          <cell r="D18" t="str">
            <v>Nguyễn Dương Ngọc Linh</v>
          </cell>
          <cell r="E18">
            <v>489</v>
          </cell>
          <cell r="F18">
            <v>1.03</v>
          </cell>
          <cell r="G18">
            <v>25</v>
          </cell>
        </row>
        <row r="19">
          <cell r="B19" t="str">
            <v>CTV023225</v>
          </cell>
          <cell r="C19">
            <v>10</v>
          </cell>
          <cell r="D19" t="str">
            <v>Nguyễn Thị Diện</v>
          </cell>
          <cell r="E19">
            <v>355</v>
          </cell>
          <cell r="F19">
            <v>0.96</v>
          </cell>
          <cell r="G19">
            <v>25</v>
          </cell>
        </row>
        <row r="20">
          <cell r="B20" t="str">
            <v>CTV023224</v>
          </cell>
          <cell r="C20">
            <v>11</v>
          </cell>
          <cell r="D20" t="str">
            <v>Huỳnh Thị Hoàng Linh</v>
          </cell>
          <cell r="E20">
            <v>366</v>
          </cell>
          <cell r="F20">
            <v>0.91</v>
          </cell>
          <cell r="G20">
            <v>25</v>
          </cell>
        </row>
        <row r="21">
          <cell r="B21" t="str">
            <v>CTV036515</v>
          </cell>
          <cell r="C21">
            <v>12</v>
          </cell>
          <cell r="D21" t="str">
            <v>Huỳnh Thy Nga</v>
          </cell>
          <cell r="E21">
            <v>438</v>
          </cell>
          <cell r="F21">
            <v>1.01</v>
          </cell>
          <cell r="G21">
            <v>25</v>
          </cell>
        </row>
        <row r="22">
          <cell r="B22" t="str">
            <v>CTV023012</v>
          </cell>
          <cell r="C22">
            <v>13</v>
          </cell>
          <cell r="D22" t="str">
            <v>Lê Thị Hồng Nhung</v>
          </cell>
          <cell r="E22">
            <v>418</v>
          </cell>
          <cell r="F22">
            <v>1.4</v>
          </cell>
          <cell r="G22">
            <v>29</v>
          </cell>
        </row>
        <row r="23">
          <cell r="B23" t="str">
            <v>CTV023013</v>
          </cell>
          <cell r="C23">
            <v>14</v>
          </cell>
          <cell r="D23" t="str">
            <v>Phạm Thị Thanh Thúy</v>
          </cell>
          <cell r="E23">
            <v>394</v>
          </cell>
          <cell r="F23">
            <v>1.01</v>
          </cell>
          <cell r="G23">
            <v>25</v>
          </cell>
        </row>
        <row r="24">
          <cell r="B24" t="str">
            <v>CTV023014</v>
          </cell>
          <cell r="C24">
            <v>15</v>
          </cell>
          <cell r="D24" t="str">
            <v>Trần Thị Thanh Trúc</v>
          </cell>
          <cell r="E24">
            <v>418</v>
          </cell>
          <cell r="F24">
            <v>1.42</v>
          </cell>
          <cell r="G24">
            <v>26</v>
          </cell>
        </row>
        <row r="25">
          <cell r="B25" t="str">
            <v>CTV023015</v>
          </cell>
          <cell r="C25">
            <v>16</v>
          </cell>
          <cell r="D25" t="str">
            <v>Đào Thị Thúy An</v>
          </cell>
          <cell r="E25">
            <v>418</v>
          </cell>
          <cell r="F25">
            <v>1.36</v>
          </cell>
          <cell r="G25">
            <v>28</v>
          </cell>
        </row>
        <row r="26">
          <cell r="B26" t="str">
            <v>CTV023018</v>
          </cell>
          <cell r="C26">
            <v>17</v>
          </cell>
          <cell r="D26" t="str">
            <v>Võ Thị Tuyết Vân</v>
          </cell>
          <cell r="E26">
            <v>418</v>
          </cell>
          <cell r="F26">
            <v>1.29</v>
          </cell>
          <cell r="G26">
            <v>28</v>
          </cell>
        </row>
        <row r="27">
          <cell r="B27" t="str">
            <v>CTV028578</v>
          </cell>
          <cell r="C27">
            <v>18</v>
          </cell>
          <cell r="D27" t="str">
            <v>Hồ Như Gương</v>
          </cell>
          <cell r="E27">
            <v>472</v>
          </cell>
          <cell r="F27">
            <v>1.3</v>
          </cell>
          <cell r="G27">
            <v>25</v>
          </cell>
        </row>
        <row r="28">
          <cell r="B28" t="str">
            <v>CTV055531</v>
          </cell>
          <cell r="C28">
            <v>19</v>
          </cell>
          <cell r="D28" t="str">
            <v>Nguyễn Thị Thanh Trúc</v>
          </cell>
          <cell r="E28">
            <v>418</v>
          </cell>
          <cell r="F28">
            <v>0.89</v>
          </cell>
          <cell r="G28">
            <v>25</v>
          </cell>
        </row>
        <row r="29">
          <cell r="B29" t="str">
            <v>CTV055530</v>
          </cell>
          <cell r="C29">
            <v>20</v>
          </cell>
          <cell r="D29" t="str">
            <v>Phạm Trung Quân</v>
          </cell>
          <cell r="E29">
            <v>431</v>
          </cell>
          <cell r="F29">
            <v>0.8</v>
          </cell>
          <cell r="G29">
            <v>25</v>
          </cell>
        </row>
        <row r="30">
          <cell r="B30" t="str">
            <v>CTV020462</v>
          </cell>
          <cell r="C30">
            <v>21</v>
          </cell>
          <cell r="D30" t="str">
            <v>Lê Trang Mỹ Nhiên</v>
          </cell>
          <cell r="E30">
            <v>543</v>
          </cell>
          <cell r="F30">
            <v>0.99</v>
          </cell>
          <cell r="G30">
            <v>25</v>
          </cell>
        </row>
        <row r="31">
          <cell r="B31" t="str">
            <v>CTV023023</v>
          </cell>
          <cell r="C31">
            <v>22</v>
          </cell>
          <cell r="D31" t="str">
            <v>Dương Thị Kim Thoa</v>
          </cell>
          <cell r="E31">
            <v>355</v>
          </cell>
          <cell r="F31">
            <v>1</v>
          </cell>
          <cell r="G31">
            <v>25</v>
          </cell>
        </row>
        <row r="32">
          <cell r="B32" t="str">
            <v>CTV023024</v>
          </cell>
          <cell r="C32">
            <v>23</v>
          </cell>
          <cell r="D32" t="str">
            <v>Bùi Thị Thu Trang</v>
          </cell>
          <cell r="E32">
            <v>394</v>
          </cell>
          <cell r="F32">
            <v>1</v>
          </cell>
          <cell r="G32">
            <v>25</v>
          </cell>
        </row>
        <row r="33">
          <cell r="B33" t="str">
            <v>CTV023026</v>
          </cell>
          <cell r="C33">
            <v>24</v>
          </cell>
          <cell r="D33" t="str">
            <v>Lê Thanh Quyên</v>
          </cell>
          <cell r="E33">
            <v>418</v>
          </cell>
          <cell r="F33">
            <v>1.29</v>
          </cell>
          <cell r="G33">
            <v>29</v>
          </cell>
        </row>
        <row r="34">
          <cell r="B34" t="str">
            <v>CTV023027</v>
          </cell>
          <cell r="C34">
            <v>25</v>
          </cell>
          <cell r="D34" t="str">
            <v>Lê Thị Kim Loan</v>
          </cell>
          <cell r="E34">
            <v>418</v>
          </cell>
          <cell r="F34">
            <v>1.31</v>
          </cell>
          <cell r="G34">
            <v>29</v>
          </cell>
        </row>
        <row r="35">
          <cell r="B35" t="str">
            <v>CTV023207</v>
          </cell>
          <cell r="C35">
            <v>26</v>
          </cell>
          <cell r="D35" t="str">
            <v>Nguyễn Thị Ngọc Diệp</v>
          </cell>
          <cell r="E35">
            <v>418</v>
          </cell>
          <cell r="F35">
            <v>0</v>
          </cell>
          <cell r="G35">
            <v>0</v>
          </cell>
        </row>
        <row r="36">
          <cell r="B36" t="str">
            <v>CTV028599</v>
          </cell>
          <cell r="C36">
            <v>27</v>
          </cell>
          <cell r="D36" t="str">
            <v>Nguyễn Thị Trúc Mai</v>
          </cell>
          <cell r="E36">
            <v>418</v>
          </cell>
          <cell r="F36">
            <v>1.32</v>
          </cell>
          <cell r="G36">
            <v>29</v>
          </cell>
        </row>
        <row r="37">
          <cell r="B37" t="str">
            <v>CTV028603</v>
          </cell>
          <cell r="C37">
            <v>28</v>
          </cell>
          <cell r="D37" t="str">
            <v>Lữ Thị Tuyết Loan</v>
          </cell>
          <cell r="E37">
            <v>418</v>
          </cell>
          <cell r="F37">
            <v>1.37</v>
          </cell>
          <cell r="G37">
            <v>29</v>
          </cell>
        </row>
        <row r="38">
          <cell r="B38" t="str">
            <v>CTV023069</v>
          </cell>
          <cell r="C38">
            <v>29</v>
          </cell>
          <cell r="D38" t="str">
            <v>Nguyễn Lê Thanh</v>
          </cell>
          <cell r="E38">
            <v>431</v>
          </cell>
          <cell r="F38">
            <v>0.87</v>
          </cell>
          <cell r="G38">
            <v>25</v>
          </cell>
        </row>
        <row r="39">
          <cell r="B39" t="str">
            <v>CTV023071</v>
          </cell>
          <cell r="C39">
            <v>30</v>
          </cell>
          <cell r="D39" t="str">
            <v>Trần Văn Cảnh</v>
          </cell>
          <cell r="E39">
            <v>431</v>
          </cell>
          <cell r="F39">
            <v>1.23</v>
          </cell>
          <cell r="G39">
            <v>25</v>
          </cell>
        </row>
        <row r="40">
          <cell r="B40" t="str">
            <v>CTV023032</v>
          </cell>
          <cell r="C40">
            <v>31</v>
          </cell>
          <cell r="D40" t="str">
            <v>Nguyễn Thị Vỹ Hương Linh</v>
          </cell>
          <cell r="E40">
            <v>335</v>
          </cell>
          <cell r="F40">
            <v>1.04</v>
          </cell>
          <cell r="G40">
            <v>25</v>
          </cell>
        </row>
        <row r="41">
          <cell r="B41" t="str">
            <v>CTV023031</v>
          </cell>
          <cell r="C41">
            <v>32</v>
          </cell>
          <cell r="D41" t="str">
            <v>Nguyễn Thị Vỹ Hương Lan</v>
          </cell>
          <cell r="E41">
            <v>418</v>
          </cell>
          <cell r="F41">
            <v>0.92</v>
          </cell>
          <cell r="G41">
            <v>27</v>
          </cell>
        </row>
        <row r="42">
          <cell r="B42" t="str">
            <v>CTV023131</v>
          </cell>
          <cell r="C42">
            <v>33</v>
          </cell>
          <cell r="D42" t="str">
            <v>Lê Thị Linh Phương</v>
          </cell>
          <cell r="E42">
            <v>431</v>
          </cell>
          <cell r="F42">
            <v>0.73</v>
          </cell>
          <cell r="G42">
            <v>25</v>
          </cell>
        </row>
        <row r="43">
          <cell r="B43" t="str">
            <v>CTV038176</v>
          </cell>
          <cell r="C43">
            <v>34</v>
          </cell>
          <cell r="D43" t="str">
            <v>Nguyễn Thanh Hằng</v>
          </cell>
          <cell r="E43">
            <v>418</v>
          </cell>
          <cell r="F43">
            <v>0.97</v>
          </cell>
          <cell r="G43">
            <v>27</v>
          </cell>
        </row>
        <row r="44">
          <cell r="B44" t="str">
            <v>CTV028655</v>
          </cell>
          <cell r="C44">
            <v>35</v>
          </cell>
          <cell r="D44" t="str">
            <v>Nguyễn Khắc Huy</v>
          </cell>
          <cell r="E44">
            <v>431</v>
          </cell>
          <cell r="F44">
            <v>0.89</v>
          </cell>
          <cell r="G44">
            <v>25</v>
          </cell>
        </row>
        <row r="45">
          <cell r="B45" t="str">
            <v>CTV020464</v>
          </cell>
          <cell r="C45">
            <v>36</v>
          </cell>
          <cell r="D45" t="str">
            <v>Nguyễn Thị Kim Thi</v>
          </cell>
          <cell r="E45">
            <v>335</v>
          </cell>
          <cell r="F45">
            <v>1.02</v>
          </cell>
          <cell r="G45">
            <v>25</v>
          </cell>
        </row>
        <row r="46">
          <cell r="B46" t="str">
            <v>CTV023029</v>
          </cell>
          <cell r="C46">
            <v>37</v>
          </cell>
          <cell r="D46" t="str">
            <v>Mai Thị Thùy</v>
          </cell>
          <cell r="E46">
            <v>418</v>
          </cell>
          <cell r="F46">
            <v>1</v>
          </cell>
          <cell r="G46">
            <v>25</v>
          </cell>
        </row>
        <row r="47">
          <cell r="B47" t="str">
            <v>CTV023030</v>
          </cell>
          <cell r="C47">
            <v>38</v>
          </cell>
          <cell r="D47" t="str">
            <v>Nguyễn Thị  Lan Phương</v>
          </cell>
          <cell r="E47">
            <v>431</v>
          </cell>
          <cell r="F47">
            <v>0.87</v>
          </cell>
          <cell r="G47">
            <v>25</v>
          </cell>
        </row>
        <row r="48">
          <cell r="B48" t="str">
            <v>CTV023107</v>
          </cell>
          <cell r="C48">
            <v>39</v>
          </cell>
          <cell r="D48" t="str">
            <v>Nguyễn Thị Ngọc Hằng</v>
          </cell>
          <cell r="E48">
            <v>418</v>
          </cell>
          <cell r="F48">
            <v>1.1100000000000001</v>
          </cell>
          <cell r="G48">
            <v>25</v>
          </cell>
        </row>
        <row r="49">
          <cell r="B49" t="str">
            <v>CTV028601</v>
          </cell>
          <cell r="C49">
            <v>40</v>
          </cell>
          <cell r="D49" t="str">
            <v>Huỳnh Nguyễn Giao Hân</v>
          </cell>
          <cell r="E49">
            <v>431</v>
          </cell>
          <cell r="F49">
            <v>0.97</v>
          </cell>
          <cell r="G49">
            <v>25</v>
          </cell>
        </row>
        <row r="50">
          <cell r="B50" t="str">
            <v>CTV035279</v>
          </cell>
          <cell r="C50">
            <v>41</v>
          </cell>
          <cell r="D50" t="str">
            <v>Lê Văn Giàu</v>
          </cell>
          <cell r="E50">
            <v>431</v>
          </cell>
          <cell r="F50">
            <v>1.1499999999999999</v>
          </cell>
          <cell r="G50">
            <v>25</v>
          </cell>
        </row>
        <row r="51">
          <cell r="B51" t="str">
            <v>CTV036506</v>
          </cell>
          <cell r="C51">
            <v>42</v>
          </cell>
          <cell r="D51" t="str">
            <v>Bùi Tấn Đạt</v>
          </cell>
          <cell r="E51">
            <v>431</v>
          </cell>
          <cell r="F51">
            <v>0.87</v>
          </cell>
          <cell r="G51">
            <v>25</v>
          </cell>
        </row>
        <row r="52">
          <cell r="B52" t="str">
            <v>CTV045659</v>
          </cell>
          <cell r="C52">
            <v>43</v>
          </cell>
          <cell r="D52" t="str">
            <v>Phan Thị Quyên</v>
          </cell>
          <cell r="E52">
            <v>341</v>
          </cell>
          <cell r="F52">
            <v>1</v>
          </cell>
          <cell r="G52">
            <v>25</v>
          </cell>
        </row>
        <row r="53">
          <cell r="B53" t="str">
            <v>CTV054887</v>
          </cell>
          <cell r="C53">
            <v>44</v>
          </cell>
          <cell r="D53" t="str">
            <v>Nguyễn Thị Diệu Hương</v>
          </cell>
          <cell r="E53">
            <v>415</v>
          </cell>
          <cell r="F53">
            <v>0.96</v>
          </cell>
          <cell r="G53">
            <v>25</v>
          </cell>
        </row>
        <row r="54">
          <cell r="B54" t="str">
            <v>CTV023019</v>
          </cell>
          <cell r="C54">
            <v>45</v>
          </cell>
          <cell r="D54" t="str">
            <v>Hồ Thanh Liêm</v>
          </cell>
          <cell r="E54">
            <v>524</v>
          </cell>
          <cell r="F54">
            <v>1.1399999999999999</v>
          </cell>
          <cell r="G54">
            <v>25</v>
          </cell>
        </row>
        <row r="55">
          <cell r="B55" t="str">
            <v>CTV028602</v>
          </cell>
          <cell r="C55">
            <v>46</v>
          </cell>
          <cell r="D55" t="str">
            <v>Nguyễn Thanh Trúc</v>
          </cell>
          <cell r="E55">
            <v>418</v>
          </cell>
          <cell r="F55">
            <v>1.31</v>
          </cell>
          <cell r="G55">
            <v>26</v>
          </cell>
        </row>
        <row r="56">
          <cell r="B56" t="str">
            <v>CTV031867</v>
          </cell>
          <cell r="C56">
            <v>47</v>
          </cell>
          <cell r="D56" t="str">
            <v>Nguyễn Thị Ngọc Ngoan</v>
          </cell>
          <cell r="E56">
            <v>418</v>
          </cell>
          <cell r="F56">
            <v>1.3</v>
          </cell>
          <cell r="G56">
            <v>26</v>
          </cell>
        </row>
        <row r="57">
          <cell r="B57" t="str">
            <v>CTV041732</v>
          </cell>
          <cell r="C57">
            <v>48</v>
          </cell>
          <cell r="D57" t="str">
            <v>Lê Chí Cường</v>
          </cell>
          <cell r="E57">
            <v>431</v>
          </cell>
          <cell r="F57">
            <v>1.32</v>
          </cell>
          <cell r="G57">
            <v>25</v>
          </cell>
        </row>
        <row r="58">
          <cell r="B58" t="str">
            <v>CTV059753</v>
          </cell>
          <cell r="C58">
            <v>49</v>
          </cell>
          <cell r="D58" t="str">
            <v>Nguyễn Hữu Nhân</v>
          </cell>
          <cell r="E58">
            <v>431</v>
          </cell>
          <cell r="F58">
            <v>0.99</v>
          </cell>
          <cell r="G58">
            <v>25</v>
          </cell>
        </row>
        <row r="59">
          <cell r="B59" t="str">
            <v>CTV023034</v>
          </cell>
          <cell r="C59">
            <v>50</v>
          </cell>
          <cell r="D59" t="str">
            <v>Nguyễn Văn Thanh Bình</v>
          </cell>
          <cell r="E59">
            <v>524</v>
          </cell>
          <cell r="F59">
            <v>1.27</v>
          </cell>
          <cell r="G59">
            <v>25</v>
          </cell>
        </row>
        <row r="60">
          <cell r="B60" t="str">
            <v>CTV023033</v>
          </cell>
          <cell r="C60">
            <v>51</v>
          </cell>
          <cell r="D60" t="str">
            <v>Nguyễn Thị Thu Lan</v>
          </cell>
          <cell r="E60">
            <v>418</v>
          </cell>
          <cell r="F60">
            <v>1.24</v>
          </cell>
          <cell r="G60">
            <v>25</v>
          </cell>
        </row>
        <row r="61">
          <cell r="B61" t="str">
            <v>CTV023035</v>
          </cell>
          <cell r="C61">
            <v>52</v>
          </cell>
          <cell r="D61" t="str">
            <v>Trần Thị Bé Muội</v>
          </cell>
          <cell r="E61">
            <v>418</v>
          </cell>
          <cell r="F61">
            <v>1.32</v>
          </cell>
          <cell r="G61">
            <v>26</v>
          </cell>
        </row>
        <row r="62">
          <cell r="B62" t="str">
            <v>CTV023036</v>
          </cell>
          <cell r="C62">
            <v>53</v>
          </cell>
          <cell r="D62" t="str">
            <v>Từ Thị Trâm</v>
          </cell>
          <cell r="E62">
            <v>418</v>
          </cell>
          <cell r="F62">
            <v>1.38</v>
          </cell>
          <cell r="G62">
            <v>27</v>
          </cell>
        </row>
        <row r="63">
          <cell r="B63" t="str">
            <v>CTV038174</v>
          </cell>
          <cell r="C63">
            <v>54</v>
          </cell>
          <cell r="D63" t="str">
            <v>Hồ Thị Nhi</v>
          </cell>
          <cell r="E63">
            <v>418</v>
          </cell>
          <cell r="F63">
            <v>1.06</v>
          </cell>
          <cell r="G63">
            <v>26</v>
          </cell>
        </row>
        <row r="64">
          <cell r="B64" t="str">
            <v>CTV049292</v>
          </cell>
          <cell r="C64">
            <v>55</v>
          </cell>
          <cell r="D64" t="str">
            <v>Nguyễn Hữu Trọng</v>
          </cell>
          <cell r="E64">
            <v>524</v>
          </cell>
          <cell r="F64">
            <v>1.2</v>
          </cell>
          <cell r="G64">
            <v>25</v>
          </cell>
        </row>
        <row r="65">
          <cell r="B65" t="str">
            <v>CTV041556</v>
          </cell>
          <cell r="C65">
            <v>56</v>
          </cell>
          <cell r="D65" t="str">
            <v>Đặng La Đô</v>
          </cell>
          <cell r="E65">
            <v>431</v>
          </cell>
          <cell r="F65">
            <v>0.91</v>
          </cell>
          <cell r="G65">
            <v>25</v>
          </cell>
        </row>
        <row r="66">
          <cell r="B66" t="str">
            <v>CTV062159</v>
          </cell>
          <cell r="C66">
            <v>57</v>
          </cell>
          <cell r="D66" t="str">
            <v>Trương Thị Huệ Phương</v>
          </cell>
          <cell r="E66">
            <v>418</v>
          </cell>
          <cell r="F66">
            <v>1</v>
          </cell>
          <cell r="G66">
            <v>25</v>
          </cell>
        </row>
        <row r="67">
          <cell r="B67" t="str">
            <v>CTV023043</v>
          </cell>
          <cell r="C67">
            <v>58</v>
          </cell>
          <cell r="D67" t="str">
            <v>Võ Phạm Huỳnh Trang</v>
          </cell>
          <cell r="E67">
            <v>355</v>
          </cell>
          <cell r="F67">
            <v>1</v>
          </cell>
          <cell r="G67">
            <v>25</v>
          </cell>
        </row>
        <row r="68">
          <cell r="B68" t="str">
            <v>CTV023040</v>
          </cell>
          <cell r="C68">
            <v>59</v>
          </cell>
          <cell r="D68" t="str">
            <v>Trần Thị Thảo Phương</v>
          </cell>
          <cell r="E68">
            <v>418</v>
          </cell>
          <cell r="F68">
            <v>1.06</v>
          </cell>
          <cell r="G68">
            <v>25</v>
          </cell>
        </row>
        <row r="69">
          <cell r="B69" t="str">
            <v>CTV023041</v>
          </cell>
          <cell r="C69">
            <v>60</v>
          </cell>
          <cell r="D69" t="str">
            <v>Phan Thị Mỹ Hảo</v>
          </cell>
          <cell r="E69">
            <v>418</v>
          </cell>
          <cell r="F69">
            <v>1.1200000000000001</v>
          </cell>
          <cell r="G69">
            <v>26</v>
          </cell>
        </row>
        <row r="70">
          <cell r="B70" t="str">
            <v>CTV023042</v>
          </cell>
          <cell r="C70">
            <v>61</v>
          </cell>
          <cell r="D70" t="str">
            <v>Nguyễn Thị Mỹ Duyên</v>
          </cell>
          <cell r="E70">
            <v>431</v>
          </cell>
          <cell r="F70">
            <v>0.57999999999999996</v>
          </cell>
          <cell r="G70">
            <v>25</v>
          </cell>
        </row>
        <row r="71">
          <cell r="B71" t="str">
            <v>CTV036747</v>
          </cell>
          <cell r="C71">
            <v>62</v>
          </cell>
          <cell r="D71" t="str">
            <v>Hà Thị Trúc Huỳnh</v>
          </cell>
          <cell r="E71">
            <v>431</v>
          </cell>
          <cell r="F71">
            <v>0.67</v>
          </cell>
          <cell r="G71">
            <v>25</v>
          </cell>
        </row>
        <row r="72">
          <cell r="B72" t="str">
            <v>CTV058438</v>
          </cell>
          <cell r="C72">
            <v>63</v>
          </cell>
          <cell r="D72" t="str">
            <v>Trần Thị Ngọc Tuyền</v>
          </cell>
          <cell r="E72">
            <v>418</v>
          </cell>
          <cell r="F72">
            <v>1.01</v>
          </cell>
          <cell r="G72">
            <v>26</v>
          </cell>
        </row>
        <row r="73">
          <cell r="B73" t="str">
            <v>CTV036722</v>
          </cell>
          <cell r="C73">
            <v>64</v>
          </cell>
          <cell r="D73" t="str">
            <v>Nguyễn Thành Long</v>
          </cell>
          <cell r="E73">
            <v>431</v>
          </cell>
          <cell r="F73">
            <v>1.1299999999999999</v>
          </cell>
          <cell r="G73">
            <v>25</v>
          </cell>
        </row>
        <row r="74">
          <cell r="B74" t="str">
            <v>CTV023209</v>
          </cell>
          <cell r="C74">
            <v>65</v>
          </cell>
          <cell r="D74" t="str">
            <v>Phan Trần Đức Ngân</v>
          </cell>
          <cell r="E74">
            <v>431</v>
          </cell>
          <cell r="F74">
            <v>0.73</v>
          </cell>
          <cell r="G74">
            <v>25</v>
          </cell>
        </row>
      </sheetData>
      <sheetData sheetId="31"/>
      <sheetData sheetId="32"/>
      <sheetData sheetId="33"/>
      <sheetData sheetId="34">
        <row r="10">
          <cell r="B10" t="str">
            <v>CTV023047</v>
          </cell>
          <cell r="C10">
            <v>1</v>
          </cell>
          <cell r="D10" t="str">
            <v>Lê Thị Mộng Thủy</v>
          </cell>
          <cell r="E10">
            <v>226</v>
          </cell>
          <cell r="F10">
            <v>1</v>
          </cell>
          <cell r="G10">
            <v>23.5</v>
          </cell>
        </row>
        <row r="11">
          <cell r="B11" t="str">
            <v>CTV028376</v>
          </cell>
          <cell r="C11">
            <v>2</v>
          </cell>
          <cell r="D11" t="str">
            <v>Nguyễn Thị Huỳnh Ngân</v>
          </cell>
          <cell r="E11">
            <v>489</v>
          </cell>
          <cell r="F11">
            <v>1.03</v>
          </cell>
          <cell r="G11">
            <v>23.5</v>
          </cell>
        </row>
        <row r="12">
          <cell r="B12" t="str">
            <v>CTV028284</v>
          </cell>
          <cell r="C12">
            <v>3</v>
          </cell>
          <cell r="D12" t="str">
            <v>Trần Lâm Minh Thu</v>
          </cell>
          <cell r="E12">
            <v>570</v>
          </cell>
          <cell r="F12">
            <v>1.07</v>
          </cell>
          <cell r="G12">
            <v>23.5</v>
          </cell>
        </row>
        <row r="13">
          <cell r="B13" t="str">
            <v>CTV023011</v>
          </cell>
          <cell r="C13">
            <v>4</v>
          </cell>
          <cell r="D13" t="str">
            <v>Nguyễn Thị Thu Hằng</v>
          </cell>
          <cell r="E13">
            <v>290</v>
          </cell>
          <cell r="F13">
            <v>1.06</v>
          </cell>
          <cell r="G13">
            <v>23.5</v>
          </cell>
        </row>
        <row r="14">
          <cell r="B14" t="str">
            <v>CTV075919</v>
          </cell>
          <cell r="C14">
            <v>5</v>
          </cell>
          <cell r="D14" t="str">
            <v>Lưu Thị Thanh Phương</v>
          </cell>
          <cell r="E14">
            <v>355</v>
          </cell>
          <cell r="F14">
            <v>1</v>
          </cell>
          <cell r="G14">
            <v>23.5</v>
          </cell>
        </row>
        <row r="15">
          <cell r="B15" t="str">
            <v>CTV040279</v>
          </cell>
          <cell r="C15">
            <v>6</v>
          </cell>
          <cell r="D15" t="str">
            <v>Nguyễn Châu Đoan</v>
          </cell>
          <cell r="E15">
            <v>379</v>
          </cell>
          <cell r="F15">
            <v>1.29</v>
          </cell>
          <cell r="G15">
            <v>23.5</v>
          </cell>
        </row>
        <row r="16">
          <cell r="B16" t="str">
            <v>CTV043657</v>
          </cell>
          <cell r="C16">
            <v>7</v>
          </cell>
          <cell r="D16" t="str">
            <v>Võ Ngọc Ẩn</v>
          </cell>
          <cell r="E16">
            <v>379</v>
          </cell>
          <cell r="F16">
            <v>1.44</v>
          </cell>
          <cell r="G16">
            <v>23.5</v>
          </cell>
        </row>
        <row r="17">
          <cell r="B17" t="str">
            <v>CTV054886</v>
          </cell>
          <cell r="C17">
            <v>8</v>
          </cell>
          <cell r="D17" t="str">
            <v>Nguyễn Lê Hữu Duy</v>
          </cell>
          <cell r="E17">
            <v>543</v>
          </cell>
          <cell r="F17">
            <v>1.06</v>
          </cell>
          <cell r="G17">
            <v>23.5</v>
          </cell>
        </row>
        <row r="18">
          <cell r="B18" t="str">
            <v>CTV036516</v>
          </cell>
          <cell r="C18">
            <v>9</v>
          </cell>
          <cell r="D18" t="str">
            <v>Nguyễn Dương Ngọc Linh</v>
          </cell>
          <cell r="E18">
            <v>489</v>
          </cell>
          <cell r="F18">
            <v>1.06</v>
          </cell>
          <cell r="G18">
            <v>23.5</v>
          </cell>
        </row>
        <row r="19">
          <cell r="B19" t="str">
            <v>CTV023225</v>
          </cell>
          <cell r="C19">
            <v>10</v>
          </cell>
          <cell r="D19" t="str">
            <v>Nguyễn Thị Diện</v>
          </cell>
          <cell r="E19">
            <v>355</v>
          </cell>
          <cell r="F19">
            <v>0.89</v>
          </cell>
          <cell r="G19">
            <v>23.5</v>
          </cell>
        </row>
        <row r="20">
          <cell r="B20" t="str">
            <v>CTV023224</v>
          </cell>
          <cell r="C20">
            <v>11</v>
          </cell>
          <cell r="D20" t="str">
            <v>Huỳnh Thị Hoàng Linh</v>
          </cell>
          <cell r="E20">
            <v>366</v>
          </cell>
          <cell r="F20">
            <v>0.93</v>
          </cell>
          <cell r="G20">
            <v>23.5</v>
          </cell>
        </row>
        <row r="21">
          <cell r="B21" t="str">
            <v>CTV036515</v>
          </cell>
          <cell r="C21">
            <v>12</v>
          </cell>
          <cell r="D21" t="str">
            <v>Huỳnh Thy Nga</v>
          </cell>
          <cell r="E21">
            <v>438</v>
          </cell>
          <cell r="F21">
            <v>1.05</v>
          </cell>
          <cell r="G21">
            <v>23.5</v>
          </cell>
        </row>
        <row r="22">
          <cell r="B22" t="str">
            <v>CTV023012</v>
          </cell>
          <cell r="C22">
            <v>13</v>
          </cell>
          <cell r="D22" t="str">
            <v>Lê Thị Hồng Nhung</v>
          </cell>
          <cell r="E22">
            <v>418</v>
          </cell>
          <cell r="F22">
            <v>1.51</v>
          </cell>
          <cell r="G22">
            <v>27</v>
          </cell>
        </row>
        <row r="23">
          <cell r="B23" t="str">
            <v>CTV023013</v>
          </cell>
          <cell r="C23">
            <v>14</v>
          </cell>
          <cell r="D23" t="str">
            <v>Phạm Thị Thanh Thúy</v>
          </cell>
          <cell r="E23">
            <v>394</v>
          </cell>
          <cell r="F23">
            <v>1.05</v>
          </cell>
          <cell r="G23">
            <v>20.5</v>
          </cell>
        </row>
        <row r="24">
          <cell r="B24" t="str">
            <v>CTV023014</v>
          </cell>
          <cell r="C24">
            <v>15</v>
          </cell>
          <cell r="D24" t="str">
            <v>Trần Thị Thanh Trúc</v>
          </cell>
          <cell r="E24">
            <v>418</v>
          </cell>
          <cell r="F24">
            <v>1.47</v>
          </cell>
          <cell r="G24">
            <v>23.5</v>
          </cell>
        </row>
        <row r="25">
          <cell r="B25" t="str">
            <v>CTV023015</v>
          </cell>
          <cell r="C25">
            <v>16</v>
          </cell>
          <cell r="D25" t="str">
            <v>Đào Thị Thúy An</v>
          </cell>
          <cell r="E25">
            <v>418</v>
          </cell>
          <cell r="F25">
            <v>1.43</v>
          </cell>
          <cell r="G25">
            <v>24</v>
          </cell>
        </row>
        <row r="26">
          <cell r="B26" t="str">
            <v>CTV023018</v>
          </cell>
          <cell r="C26">
            <v>17</v>
          </cell>
          <cell r="D26" t="str">
            <v>Võ Thị Tuyết Vân</v>
          </cell>
          <cell r="E26">
            <v>418</v>
          </cell>
          <cell r="F26">
            <v>1.33</v>
          </cell>
          <cell r="G26">
            <v>22</v>
          </cell>
        </row>
        <row r="27">
          <cell r="B27" t="str">
            <v>CTV028578</v>
          </cell>
          <cell r="C27">
            <v>18</v>
          </cell>
          <cell r="D27" t="str">
            <v>Hồ Như Gương</v>
          </cell>
          <cell r="E27">
            <v>472</v>
          </cell>
          <cell r="F27">
            <v>1.04</v>
          </cell>
          <cell r="G27">
            <v>23.5</v>
          </cell>
        </row>
        <row r="28">
          <cell r="B28" t="str">
            <v>CTV055531</v>
          </cell>
          <cell r="C28">
            <v>19</v>
          </cell>
          <cell r="D28" t="str">
            <v>Nguyễn Thị Thanh Trúc</v>
          </cell>
          <cell r="E28">
            <v>418</v>
          </cell>
          <cell r="F28">
            <v>1.29</v>
          </cell>
          <cell r="G28">
            <v>28</v>
          </cell>
        </row>
        <row r="29">
          <cell r="B29" t="str">
            <v>CTV074412</v>
          </cell>
          <cell r="C29">
            <v>20</v>
          </cell>
          <cell r="D29" t="str">
            <v>Phan Thị Kim Đính</v>
          </cell>
          <cell r="E29">
            <v>418</v>
          </cell>
          <cell r="F29">
            <v>1.35</v>
          </cell>
          <cell r="G29">
            <v>26</v>
          </cell>
        </row>
        <row r="30">
          <cell r="B30" t="str">
            <v>CTV075444</v>
          </cell>
          <cell r="C30">
            <v>21</v>
          </cell>
          <cell r="D30" t="str">
            <v>Nguyễn Thị Cẩm Trúc</v>
          </cell>
          <cell r="E30">
            <v>418</v>
          </cell>
          <cell r="F30">
            <v>1.26</v>
          </cell>
          <cell r="G30">
            <v>27</v>
          </cell>
        </row>
        <row r="31">
          <cell r="B31" t="str">
            <v>CTV055530</v>
          </cell>
          <cell r="C31">
            <v>22</v>
          </cell>
          <cell r="D31" t="str">
            <v>Phạm Trung Quân</v>
          </cell>
          <cell r="E31">
            <v>431</v>
          </cell>
          <cell r="F31">
            <v>1.1100000000000001</v>
          </cell>
          <cell r="G31">
            <v>23.5</v>
          </cell>
        </row>
        <row r="32">
          <cell r="B32" t="str">
            <v>CTV020462</v>
          </cell>
          <cell r="C32">
            <v>23</v>
          </cell>
          <cell r="D32" t="str">
            <v>Lê Trang Mỹ Nhiên</v>
          </cell>
          <cell r="E32">
            <v>543</v>
          </cell>
          <cell r="F32">
            <v>1.03</v>
          </cell>
          <cell r="G32">
            <v>23.5</v>
          </cell>
        </row>
        <row r="33">
          <cell r="B33" t="str">
            <v>CTV023023</v>
          </cell>
          <cell r="C33">
            <v>24</v>
          </cell>
          <cell r="D33" t="str">
            <v>Dương Thị Kim Thoa</v>
          </cell>
          <cell r="E33">
            <v>355</v>
          </cell>
          <cell r="F33">
            <v>1.06</v>
          </cell>
          <cell r="G33">
            <v>23.5</v>
          </cell>
        </row>
        <row r="34">
          <cell r="B34" t="str">
            <v>CTV023024</v>
          </cell>
          <cell r="C34">
            <v>25</v>
          </cell>
          <cell r="D34" t="str">
            <v>Bùi Thị Thu Trang</v>
          </cell>
          <cell r="E34">
            <v>394</v>
          </cell>
          <cell r="F34">
            <v>1.06</v>
          </cell>
          <cell r="G34">
            <v>23.5</v>
          </cell>
        </row>
        <row r="35">
          <cell r="B35" t="str">
            <v>CTV023026</v>
          </cell>
          <cell r="C35">
            <v>26</v>
          </cell>
          <cell r="D35" t="str">
            <v>Lê Thanh Quyên</v>
          </cell>
          <cell r="E35">
            <v>418</v>
          </cell>
          <cell r="F35">
            <v>1.33</v>
          </cell>
          <cell r="G35">
            <v>29</v>
          </cell>
        </row>
        <row r="36">
          <cell r="B36" t="str">
            <v>CTV023027</v>
          </cell>
          <cell r="C36">
            <v>27</v>
          </cell>
          <cell r="D36" t="str">
            <v>Lê Thị Kim Loan</v>
          </cell>
          <cell r="E36">
            <v>418</v>
          </cell>
          <cell r="F36">
            <v>0</v>
          </cell>
          <cell r="G36">
            <v>0</v>
          </cell>
        </row>
        <row r="37">
          <cell r="B37" t="str">
            <v>CTV023207</v>
          </cell>
          <cell r="C37">
            <v>28</v>
          </cell>
          <cell r="D37" t="str">
            <v>Nguyễn Thị Ngọc Diệp</v>
          </cell>
          <cell r="E37">
            <v>418</v>
          </cell>
          <cell r="F37">
            <v>0</v>
          </cell>
          <cell r="G37">
            <v>0</v>
          </cell>
        </row>
        <row r="38">
          <cell r="B38" t="str">
            <v>CTV028599</v>
          </cell>
          <cell r="C38">
            <v>29</v>
          </cell>
          <cell r="D38" t="str">
            <v>Nguyễn Thị Trúc Mai</v>
          </cell>
          <cell r="E38">
            <v>418</v>
          </cell>
          <cell r="F38">
            <v>1.41</v>
          </cell>
          <cell r="G38">
            <v>27</v>
          </cell>
        </row>
        <row r="39">
          <cell r="B39" t="str">
            <v>CTV028603</v>
          </cell>
          <cell r="C39">
            <v>30</v>
          </cell>
          <cell r="D39" t="str">
            <v>Lữ Thị Tuyết Loan</v>
          </cell>
          <cell r="E39">
            <v>418</v>
          </cell>
          <cell r="F39">
            <v>1.33</v>
          </cell>
          <cell r="G39">
            <v>29</v>
          </cell>
        </row>
        <row r="40">
          <cell r="B40" t="str">
            <v>CTV023069</v>
          </cell>
          <cell r="C40">
            <v>31</v>
          </cell>
          <cell r="D40" t="str">
            <v>Nguyễn Lê Thanh</v>
          </cell>
          <cell r="E40">
            <v>431</v>
          </cell>
          <cell r="F40">
            <v>1.08</v>
          </cell>
          <cell r="G40">
            <v>23.5</v>
          </cell>
        </row>
        <row r="41">
          <cell r="B41" t="str">
            <v>CTV023071</v>
          </cell>
          <cell r="C41">
            <v>32</v>
          </cell>
          <cell r="D41" t="str">
            <v>Trần Văn Cảnh</v>
          </cell>
          <cell r="E41">
            <v>431</v>
          </cell>
          <cell r="F41">
            <v>1.25</v>
          </cell>
          <cell r="G41">
            <v>25.5</v>
          </cell>
        </row>
        <row r="42">
          <cell r="B42" t="str">
            <v>CTV072905</v>
          </cell>
          <cell r="C42">
            <v>33</v>
          </cell>
          <cell r="D42" t="str">
            <v>Nguyễn Thành Trung</v>
          </cell>
          <cell r="E42">
            <v>472</v>
          </cell>
          <cell r="F42">
            <v>1.18</v>
          </cell>
          <cell r="G42">
            <v>23.5</v>
          </cell>
        </row>
        <row r="43">
          <cell r="B43" t="str">
            <v>CTV023032</v>
          </cell>
          <cell r="C43">
            <v>34</v>
          </cell>
          <cell r="D43" t="str">
            <v>Nguyễn Thị Vỹ Hương Linh</v>
          </cell>
          <cell r="E43">
            <v>335</v>
          </cell>
          <cell r="F43">
            <v>1.04</v>
          </cell>
          <cell r="G43">
            <v>23.5</v>
          </cell>
        </row>
        <row r="44">
          <cell r="B44" t="str">
            <v>CTV023031</v>
          </cell>
          <cell r="C44">
            <v>35</v>
          </cell>
          <cell r="D44" t="str">
            <v>Nguyễn Thị Vỹ Hương Lan</v>
          </cell>
          <cell r="E44">
            <v>418</v>
          </cell>
          <cell r="F44">
            <v>0.95</v>
          </cell>
          <cell r="G44">
            <v>26</v>
          </cell>
        </row>
        <row r="45">
          <cell r="B45" t="str">
            <v>CTV023131</v>
          </cell>
          <cell r="C45">
            <v>36</v>
          </cell>
          <cell r="D45" t="str">
            <v>Lê Thị Linh Phương</v>
          </cell>
          <cell r="E45">
            <v>431</v>
          </cell>
          <cell r="F45">
            <v>0.83</v>
          </cell>
          <cell r="G45">
            <v>24.5</v>
          </cell>
        </row>
        <row r="46">
          <cell r="B46" t="str">
            <v>CTV038176</v>
          </cell>
          <cell r="C46">
            <v>37</v>
          </cell>
          <cell r="D46" t="str">
            <v>Nguyễn Thanh Hằng</v>
          </cell>
          <cell r="E46">
            <v>418</v>
          </cell>
          <cell r="F46">
            <v>1.08</v>
          </cell>
          <cell r="G46">
            <v>26</v>
          </cell>
        </row>
        <row r="47">
          <cell r="B47" t="str">
            <v>CTV028655</v>
          </cell>
          <cell r="C47">
            <v>38</v>
          </cell>
          <cell r="D47" t="str">
            <v>Nguyễn Khắc Huy</v>
          </cell>
          <cell r="E47">
            <v>431</v>
          </cell>
          <cell r="F47">
            <v>1.1299999999999999</v>
          </cell>
          <cell r="G47">
            <v>24.5</v>
          </cell>
        </row>
        <row r="48">
          <cell r="B48" t="str">
            <v>CTV073237</v>
          </cell>
          <cell r="C48">
            <v>39</v>
          </cell>
          <cell r="D48" t="str">
            <v>Phạm Thị Cẩm Tiên</v>
          </cell>
          <cell r="E48">
            <v>431</v>
          </cell>
          <cell r="F48">
            <v>0.94</v>
          </cell>
          <cell r="G48">
            <v>23.5</v>
          </cell>
        </row>
        <row r="49">
          <cell r="B49" t="str">
            <v>CTV020464</v>
          </cell>
          <cell r="C49">
            <v>40</v>
          </cell>
          <cell r="D49" t="str">
            <v>Nguyễn Thị Kim Thi</v>
          </cell>
          <cell r="E49">
            <v>335</v>
          </cell>
          <cell r="F49">
            <v>1.07</v>
          </cell>
          <cell r="G49">
            <v>23.5</v>
          </cell>
        </row>
        <row r="50">
          <cell r="B50" t="str">
            <v>CTV023029</v>
          </cell>
          <cell r="C50">
            <v>41</v>
          </cell>
          <cell r="D50" t="str">
            <v>Mai Thị Thùy</v>
          </cell>
          <cell r="E50">
            <v>418</v>
          </cell>
          <cell r="F50">
            <v>1.43</v>
          </cell>
          <cell r="G50">
            <v>23.5</v>
          </cell>
        </row>
        <row r="51">
          <cell r="B51" t="str">
            <v>CTV023030</v>
          </cell>
          <cell r="C51">
            <v>42</v>
          </cell>
          <cell r="D51" t="str">
            <v>Nguyễn Thị  Lan Phương</v>
          </cell>
          <cell r="E51">
            <v>431</v>
          </cell>
          <cell r="F51">
            <v>1.0900000000000001</v>
          </cell>
          <cell r="G51">
            <v>23.5</v>
          </cell>
        </row>
        <row r="52">
          <cell r="B52" t="str">
            <v>CTV023107</v>
          </cell>
          <cell r="C52">
            <v>43</v>
          </cell>
          <cell r="D52" t="str">
            <v>Nguyễn Thị Ngọc Hằng</v>
          </cell>
          <cell r="E52">
            <v>418</v>
          </cell>
          <cell r="F52">
            <v>1.25</v>
          </cell>
          <cell r="G52">
            <v>23.5</v>
          </cell>
        </row>
        <row r="53">
          <cell r="B53" t="str">
            <v>CTV028601</v>
          </cell>
          <cell r="C53">
            <v>44</v>
          </cell>
          <cell r="D53" t="str">
            <v>Huỳnh Nguyễn Giao Hân</v>
          </cell>
          <cell r="E53">
            <v>431</v>
          </cell>
          <cell r="F53">
            <v>0.96</v>
          </cell>
          <cell r="G53">
            <v>23.5</v>
          </cell>
        </row>
        <row r="54">
          <cell r="B54" t="str">
            <v>CTV035279</v>
          </cell>
          <cell r="C54">
            <v>45</v>
          </cell>
          <cell r="D54" t="str">
            <v>Lê Văn Giàu</v>
          </cell>
          <cell r="E54">
            <v>431</v>
          </cell>
          <cell r="F54">
            <v>1.38</v>
          </cell>
          <cell r="G54">
            <v>23.5</v>
          </cell>
        </row>
        <row r="55">
          <cell r="B55" t="str">
            <v>CTV036506</v>
          </cell>
          <cell r="C55">
            <v>46</v>
          </cell>
          <cell r="D55" t="str">
            <v>Bùi Tấn Đạt</v>
          </cell>
          <cell r="E55">
            <v>431</v>
          </cell>
          <cell r="F55">
            <v>1.19</v>
          </cell>
          <cell r="G55">
            <v>23.5</v>
          </cell>
        </row>
        <row r="56">
          <cell r="B56" t="str">
            <v>CTV045659</v>
          </cell>
          <cell r="C56">
            <v>47</v>
          </cell>
          <cell r="D56" t="str">
            <v>Phan Thị Quyên</v>
          </cell>
          <cell r="E56">
            <v>341</v>
          </cell>
          <cell r="F56">
            <v>1.02</v>
          </cell>
          <cell r="G56">
            <v>23.5</v>
          </cell>
        </row>
        <row r="57">
          <cell r="B57" t="str">
            <v>CTV054887</v>
          </cell>
          <cell r="C57">
            <v>48</v>
          </cell>
          <cell r="D57" t="str">
            <v>Nguyễn Thị Diệu Hương</v>
          </cell>
          <cell r="E57">
            <v>415</v>
          </cell>
          <cell r="F57">
            <v>1.06</v>
          </cell>
          <cell r="G57">
            <v>23.5</v>
          </cell>
        </row>
        <row r="58">
          <cell r="B58" t="str">
            <v>CTV023019</v>
          </cell>
          <cell r="C58">
            <v>49</v>
          </cell>
          <cell r="D58" t="str">
            <v>Hồ Thanh Liêm</v>
          </cell>
          <cell r="E58">
            <v>524</v>
          </cell>
          <cell r="F58">
            <v>1.1499999999999999</v>
          </cell>
          <cell r="G58">
            <v>23.5</v>
          </cell>
        </row>
        <row r="59">
          <cell r="B59" t="str">
            <v>CTV028602</v>
          </cell>
          <cell r="C59">
            <v>50</v>
          </cell>
          <cell r="D59" t="str">
            <v>Nguyễn Thanh Trúc</v>
          </cell>
          <cell r="E59">
            <v>418</v>
          </cell>
          <cell r="F59">
            <v>1.32</v>
          </cell>
          <cell r="G59">
            <v>23.5</v>
          </cell>
        </row>
        <row r="60">
          <cell r="B60" t="str">
            <v>CTV031867</v>
          </cell>
          <cell r="C60">
            <v>51</v>
          </cell>
          <cell r="D60" t="str">
            <v>Nguyễn Thị Ngọc Ngoan</v>
          </cell>
          <cell r="E60">
            <v>418</v>
          </cell>
          <cell r="F60">
            <v>1.29</v>
          </cell>
          <cell r="G60">
            <v>24.5</v>
          </cell>
        </row>
        <row r="61">
          <cell r="B61" t="str">
            <v>CTV041732</v>
          </cell>
          <cell r="C61">
            <v>52</v>
          </cell>
          <cell r="D61" t="str">
            <v>Lê Chí Cường</v>
          </cell>
          <cell r="E61">
            <v>431</v>
          </cell>
          <cell r="F61">
            <v>1.37</v>
          </cell>
          <cell r="G61">
            <v>23.5</v>
          </cell>
        </row>
        <row r="62">
          <cell r="B62" t="str">
            <v>CTV059753</v>
          </cell>
          <cell r="C62">
            <v>53</v>
          </cell>
          <cell r="D62" t="str">
            <v>Nguyễn Hữu Nhân</v>
          </cell>
          <cell r="E62">
            <v>431</v>
          </cell>
          <cell r="F62">
            <v>1.33</v>
          </cell>
          <cell r="G62">
            <v>23.5</v>
          </cell>
        </row>
        <row r="63">
          <cell r="B63" t="str">
            <v>CTV023034</v>
          </cell>
          <cell r="C63">
            <v>54</v>
          </cell>
          <cell r="D63" t="str">
            <v>Nguyễn Văn Thanh Bình</v>
          </cell>
          <cell r="E63">
            <v>524</v>
          </cell>
          <cell r="F63">
            <v>1.28</v>
          </cell>
          <cell r="G63">
            <v>23.5</v>
          </cell>
        </row>
        <row r="64">
          <cell r="B64" t="str">
            <v>CTV023033</v>
          </cell>
          <cell r="C64">
            <v>55</v>
          </cell>
          <cell r="D64" t="str">
            <v>Nguyễn Thị Thu Lan</v>
          </cell>
          <cell r="E64">
            <v>418</v>
          </cell>
          <cell r="F64">
            <v>1.32</v>
          </cell>
          <cell r="G64">
            <v>23.5</v>
          </cell>
        </row>
        <row r="65">
          <cell r="B65" t="str">
            <v>CTV023035</v>
          </cell>
          <cell r="C65">
            <v>56</v>
          </cell>
          <cell r="D65" t="str">
            <v>Trần Thị Bé Muội</v>
          </cell>
          <cell r="E65">
            <v>418</v>
          </cell>
          <cell r="F65">
            <v>1.46</v>
          </cell>
          <cell r="G65">
            <v>25</v>
          </cell>
        </row>
        <row r="66">
          <cell r="B66" t="str">
            <v>CTV023036</v>
          </cell>
          <cell r="C66">
            <v>57</v>
          </cell>
          <cell r="D66" t="str">
            <v>Từ Thị Trâm</v>
          </cell>
          <cell r="E66">
            <v>418</v>
          </cell>
          <cell r="F66">
            <v>1.47</v>
          </cell>
          <cell r="G66">
            <v>25.5</v>
          </cell>
        </row>
        <row r="67">
          <cell r="B67" t="str">
            <v>CTV049292</v>
          </cell>
          <cell r="C67">
            <v>58</v>
          </cell>
          <cell r="D67" t="str">
            <v>Nguyễn Hữu Trọng</v>
          </cell>
          <cell r="E67">
            <v>524</v>
          </cell>
          <cell r="F67">
            <v>1.1399999999999999</v>
          </cell>
          <cell r="G67">
            <v>23.5</v>
          </cell>
        </row>
        <row r="68">
          <cell r="B68" t="str">
            <v>CTV041556</v>
          </cell>
          <cell r="C68">
            <v>59</v>
          </cell>
          <cell r="D68" t="str">
            <v>Đặng La Đô</v>
          </cell>
          <cell r="E68">
            <v>431</v>
          </cell>
          <cell r="F68">
            <v>1.07</v>
          </cell>
          <cell r="G68">
            <v>23.5</v>
          </cell>
        </row>
        <row r="69">
          <cell r="B69" t="str">
            <v>CTV062159</v>
          </cell>
          <cell r="C69">
            <v>60</v>
          </cell>
          <cell r="D69" t="str">
            <v>Trương Thị Huệ Phương</v>
          </cell>
          <cell r="E69">
            <v>431</v>
          </cell>
          <cell r="F69">
            <v>1.23</v>
          </cell>
          <cell r="G69">
            <v>23.5</v>
          </cell>
        </row>
        <row r="70">
          <cell r="B70" t="str">
            <v>CTV055621</v>
          </cell>
          <cell r="C70">
            <v>61</v>
          </cell>
          <cell r="D70" t="str">
            <v>Nguyễn Phương Duy</v>
          </cell>
          <cell r="E70">
            <v>431</v>
          </cell>
          <cell r="F70">
            <v>1.1200000000000001</v>
          </cell>
          <cell r="G70">
            <v>23.5</v>
          </cell>
        </row>
        <row r="71">
          <cell r="B71" t="str">
            <v>CTV023043</v>
          </cell>
          <cell r="C71">
            <v>62</v>
          </cell>
          <cell r="D71" t="str">
            <v>Võ Phạm Huỳnh Trang</v>
          </cell>
          <cell r="E71">
            <v>355</v>
          </cell>
          <cell r="F71">
            <v>1.02</v>
          </cell>
          <cell r="G71">
            <v>23.5</v>
          </cell>
        </row>
        <row r="72">
          <cell r="B72" t="str">
            <v>CTV023040</v>
          </cell>
          <cell r="C72">
            <v>63</v>
          </cell>
          <cell r="D72" t="str">
            <v>Trần Thị Thảo Phương</v>
          </cell>
          <cell r="E72">
            <v>431</v>
          </cell>
          <cell r="F72">
            <v>1.1599999999999999</v>
          </cell>
          <cell r="G72">
            <v>23.5</v>
          </cell>
        </row>
        <row r="73">
          <cell r="B73" t="str">
            <v>CTV023041</v>
          </cell>
          <cell r="C73">
            <v>64</v>
          </cell>
          <cell r="D73" t="str">
            <v>Phan Thị Mỹ Hảo</v>
          </cell>
          <cell r="E73">
            <v>418</v>
          </cell>
          <cell r="F73">
            <v>1.36</v>
          </cell>
          <cell r="G73">
            <v>26</v>
          </cell>
        </row>
        <row r="74">
          <cell r="B74" t="str">
            <v>CTV023042</v>
          </cell>
          <cell r="C74">
            <v>65</v>
          </cell>
          <cell r="D74" t="str">
            <v>Nguyễn Thị Mỹ Duyên</v>
          </cell>
          <cell r="E74">
            <v>431</v>
          </cell>
          <cell r="F74">
            <v>1.01</v>
          </cell>
          <cell r="G74">
            <v>25</v>
          </cell>
        </row>
        <row r="75">
          <cell r="B75" t="str">
            <v>CTV036747</v>
          </cell>
          <cell r="C75">
            <v>66</v>
          </cell>
          <cell r="D75" t="str">
            <v>Hà Thị Trúc Huỳnh</v>
          </cell>
          <cell r="E75">
            <v>431</v>
          </cell>
          <cell r="F75">
            <v>0.98</v>
          </cell>
          <cell r="G75">
            <v>23.5</v>
          </cell>
        </row>
        <row r="76">
          <cell r="B76" t="str">
            <v>CTV058438</v>
          </cell>
          <cell r="C76">
            <v>67</v>
          </cell>
          <cell r="D76" t="str">
            <v>Trần Thị Ngọc Tuyền</v>
          </cell>
          <cell r="E76">
            <v>418</v>
          </cell>
          <cell r="F76">
            <v>1.34</v>
          </cell>
          <cell r="G76">
            <v>26</v>
          </cell>
        </row>
        <row r="77">
          <cell r="B77" t="str">
            <v>CTV036722</v>
          </cell>
          <cell r="C77">
            <v>68</v>
          </cell>
          <cell r="D77" t="str">
            <v>Nguyễn Thành Long</v>
          </cell>
          <cell r="E77">
            <v>431</v>
          </cell>
          <cell r="F77">
            <v>1.31</v>
          </cell>
          <cell r="G77">
            <v>23.5</v>
          </cell>
        </row>
        <row r="78">
          <cell r="B78" t="str">
            <v>CTV023209</v>
          </cell>
          <cell r="C78">
            <v>69</v>
          </cell>
          <cell r="D78" t="str">
            <v>Phan Trần Đức Ngân</v>
          </cell>
          <cell r="E78">
            <v>431</v>
          </cell>
          <cell r="F78">
            <v>1.17</v>
          </cell>
          <cell r="G78">
            <v>23.5</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ngatang"/>
      <sheetName val="DSOAT-T8.2022"/>
      <sheetName val="Thuế TNCN"/>
      <sheetName val="Bảng lương (3)"/>
      <sheetName val="Sheet4"/>
      <sheetName val="Bảng lương"/>
      <sheetName val="Bảng lương (2)"/>
      <sheetName val="Bảng lương-T8"/>
      <sheetName val="Thuế TNCN Tháng 6"/>
      <sheetName val="Sheet1"/>
      <sheetName val="Sheet2"/>
      <sheetName val="Sheet3"/>
      <sheetName val="BẢNG LƯƠNG T3.2022"/>
      <sheetName val="Sheet7"/>
      <sheetName val="khen thưởng T2"/>
      <sheetName val="BẢNG LƯƠNG T5"/>
      <sheetName val="THUE TNCN"/>
      <sheetName val="ĐNTT T2"/>
      <sheetName val="ĐNTT"/>
      <sheetName val="THUÊ"/>
      <sheetName val="BẢNG LƯƠNG THÁNG 5.2022"/>
      <sheetName val="BÀNG LƯƠNG THÁNG 8.2022"/>
      <sheetName val="ĐNTT T6"/>
    </sheetNames>
    <sheetDataSet>
      <sheetData sheetId="0" refreshError="1"/>
      <sheetData sheetId="1" refreshError="1">
        <row r="10">
          <cell r="B10" t="str">
            <v>CTV028376</v>
          </cell>
          <cell r="C10" t="str">
            <v>Nguyễn Thị Huỳnh Ngân</v>
          </cell>
          <cell r="D10">
            <v>4194400</v>
          </cell>
          <cell r="E10">
            <v>0</v>
          </cell>
          <cell r="F10">
            <v>0</v>
          </cell>
          <cell r="H10">
            <v>0</v>
          </cell>
          <cell r="L10">
            <v>8000000</v>
          </cell>
          <cell r="M10">
            <v>0</v>
          </cell>
          <cell r="O10">
            <v>0</v>
          </cell>
          <cell r="U10">
            <v>0</v>
          </cell>
          <cell r="Z10">
            <v>0</v>
          </cell>
          <cell r="AA10">
            <v>0</v>
          </cell>
          <cell r="AE10">
            <v>8000000</v>
          </cell>
        </row>
        <row r="11">
          <cell r="B11" t="str">
            <v>CTV023010</v>
          </cell>
          <cell r="C11" t="str">
            <v>Trà Thị Minh Lý</v>
          </cell>
          <cell r="D11">
            <v>4194400</v>
          </cell>
          <cell r="E11">
            <v>0</v>
          </cell>
          <cell r="F11">
            <v>0</v>
          </cell>
          <cell r="H11">
            <v>0</v>
          </cell>
          <cell r="L11">
            <v>7000000</v>
          </cell>
          <cell r="M11">
            <v>0</v>
          </cell>
          <cell r="O11">
            <v>0</v>
          </cell>
          <cell r="U11">
            <v>0</v>
          </cell>
          <cell r="Z11">
            <v>0</v>
          </cell>
          <cell r="AA11">
            <v>0</v>
          </cell>
          <cell r="AE11">
            <v>7000000</v>
          </cell>
        </row>
        <row r="12">
          <cell r="B12" t="str">
            <v>CTV040279</v>
          </cell>
          <cell r="C12" t="str">
            <v>Nguyễn Châu Đoan</v>
          </cell>
          <cell r="D12">
            <v>4194400</v>
          </cell>
          <cell r="E12">
            <v>25</v>
          </cell>
          <cell r="F12">
            <v>7339100.3183147339</v>
          </cell>
          <cell r="H12">
            <v>88830.434803257405</v>
          </cell>
          <cell r="L12">
            <v>8000000</v>
          </cell>
          <cell r="M12">
            <v>0</v>
          </cell>
          <cell r="O12">
            <v>0</v>
          </cell>
          <cell r="U12">
            <v>273300</v>
          </cell>
          <cell r="Z12">
            <v>120000</v>
          </cell>
          <cell r="AA12">
            <v>506000</v>
          </cell>
          <cell r="AE12">
            <v>16327230.753117992</v>
          </cell>
        </row>
        <row r="13">
          <cell r="B13" t="str">
            <v>CTV023011</v>
          </cell>
          <cell r="C13" t="str">
            <v>Nguyễn Thị Thu Hằng</v>
          </cell>
          <cell r="D13">
            <v>4194400</v>
          </cell>
          <cell r="E13">
            <v>25</v>
          </cell>
          <cell r="F13">
            <v>5306550.9551465977</v>
          </cell>
          <cell r="H13">
            <v>0</v>
          </cell>
          <cell r="L13">
            <v>8000000</v>
          </cell>
          <cell r="M13">
            <v>0</v>
          </cell>
          <cell r="O13">
            <v>0</v>
          </cell>
          <cell r="U13">
            <v>0</v>
          </cell>
          <cell r="Z13">
            <v>0</v>
          </cell>
          <cell r="AA13">
            <v>0</v>
          </cell>
          <cell r="AE13">
            <v>13306550.955146598</v>
          </cell>
        </row>
        <row r="14">
          <cell r="B14" t="str">
            <v>CTV023224</v>
          </cell>
          <cell r="C14" t="str">
            <v>Huỳnh Thị Hoàng Linh</v>
          </cell>
          <cell r="D14">
            <v>4194400</v>
          </cell>
          <cell r="E14">
            <v>25</v>
          </cell>
          <cell r="F14">
            <v>2301045.0894334489</v>
          </cell>
          <cell r="H14">
            <v>9941309.8905911371</v>
          </cell>
          <cell r="J14">
            <v>15000</v>
          </cell>
          <cell r="L14">
            <v>8000000</v>
          </cell>
          <cell r="M14">
            <v>0</v>
          </cell>
          <cell r="O14">
            <v>0</v>
          </cell>
          <cell r="P14">
            <v>150000</v>
          </cell>
          <cell r="U14">
            <v>534000</v>
          </cell>
          <cell r="Z14">
            <v>0</v>
          </cell>
          <cell r="AA14">
            <v>0</v>
          </cell>
          <cell r="AC14">
            <v>35000</v>
          </cell>
          <cell r="AE14">
            <v>20976354.980024584</v>
          </cell>
        </row>
        <row r="15">
          <cell r="B15" t="str">
            <v>CTV023225</v>
          </cell>
          <cell r="C15" t="str">
            <v>Nguyễn Thị Diện</v>
          </cell>
          <cell r="D15">
            <v>4194400</v>
          </cell>
          <cell r="E15">
            <v>25</v>
          </cell>
          <cell r="F15">
            <v>2354519.2051850096</v>
          </cell>
          <cell r="H15">
            <v>8822784.9618335422</v>
          </cell>
          <cell r="L15">
            <v>8000000</v>
          </cell>
          <cell r="M15">
            <v>0</v>
          </cell>
          <cell r="O15">
            <v>0</v>
          </cell>
          <cell r="U15">
            <v>591000</v>
          </cell>
          <cell r="Z15">
            <v>0</v>
          </cell>
          <cell r="AA15">
            <v>0</v>
          </cell>
          <cell r="AC15">
            <v>100000</v>
          </cell>
          <cell r="AE15">
            <v>19868304.167018551</v>
          </cell>
        </row>
        <row r="16">
          <cell r="B16" t="str">
            <v>CTV043657</v>
          </cell>
          <cell r="C16" t="str">
            <v>Võ Ngọc Ẩn</v>
          </cell>
          <cell r="D16">
            <v>4194400</v>
          </cell>
          <cell r="E16">
            <v>25</v>
          </cell>
          <cell r="F16">
            <v>7675756.2962190788</v>
          </cell>
          <cell r="H16">
            <v>152980.58216116554</v>
          </cell>
          <cell r="L16">
            <v>8000000</v>
          </cell>
          <cell r="M16">
            <v>0</v>
          </cell>
          <cell r="O16">
            <v>0</v>
          </cell>
          <cell r="U16">
            <v>71100</v>
          </cell>
          <cell r="Z16">
            <v>782250</v>
          </cell>
          <cell r="AA16">
            <v>110000</v>
          </cell>
          <cell r="AB16">
            <v>533333</v>
          </cell>
          <cell r="AE16">
            <v>17325419.878380246</v>
          </cell>
        </row>
        <row r="17">
          <cell r="B17" t="str">
            <v>CTV023047</v>
          </cell>
          <cell r="C17" t="str">
            <v>Lê Thị Mộng Thủy</v>
          </cell>
          <cell r="D17">
            <v>4194400</v>
          </cell>
          <cell r="E17">
            <v>25</v>
          </cell>
          <cell r="F17">
            <v>4068000</v>
          </cell>
          <cell r="H17">
            <v>0</v>
          </cell>
          <cell r="L17">
            <v>8000000</v>
          </cell>
          <cell r="M17">
            <v>0</v>
          </cell>
          <cell r="O17">
            <v>0</v>
          </cell>
          <cell r="U17">
            <v>0</v>
          </cell>
          <cell r="Z17">
            <v>0</v>
          </cell>
          <cell r="AA17">
            <v>0</v>
          </cell>
          <cell r="AE17">
            <v>12068000</v>
          </cell>
        </row>
        <row r="18">
          <cell r="B18" t="str">
            <v>CTV028284</v>
          </cell>
          <cell r="C18" t="str">
            <v>Trần Lâm Minh Thu</v>
          </cell>
          <cell r="D18">
            <v>4194400</v>
          </cell>
          <cell r="E18">
            <v>25</v>
          </cell>
          <cell r="F18">
            <v>10032525.796419105</v>
          </cell>
          <cell r="H18">
            <v>0</v>
          </cell>
          <cell r="L18">
            <v>8000000</v>
          </cell>
          <cell r="M18">
            <v>0</v>
          </cell>
          <cell r="O18">
            <v>0</v>
          </cell>
          <cell r="U18">
            <v>0</v>
          </cell>
          <cell r="Z18">
            <v>0</v>
          </cell>
          <cell r="AA18">
            <v>0</v>
          </cell>
          <cell r="AE18">
            <v>18032525.796419106</v>
          </cell>
        </row>
        <row r="19">
          <cell r="B19" t="str">
            <v>CTV023013</v>
          </cell>
          <cell r="C19" t="str">
            <v>Phạm Thị Thanh Thúy</v>
          </cell>
          <cell r="D19">
            <v>4194400</v>
          </cell>
          <cell r="E19">
            <v>25</v>
          </cell>
          <cell r="F19">
            <v>7020251.8948860429</v>
          </cell>
          <cell r="H19">
            <v>1895106.9492594572</v>
          </cell>
          <cell r="L19">
            <v>8000000</v>
          </cell>
          <cell r="M19">
            <v>0</v>
          </cell>
          <cell r="O19">
            <v>0</v>
          </cell>
          <cell r="U19">
            <v>23700</v>
          </cell>
          <cell r="Z19">
            <v>0</v>
          </cell>
          <cell r="AA19">
            <v>0</v>
          </cell>
          <cell r="AE19">
            <v>16939058.844145499</v>
          </cell>
        </row>
        <row r="20">
          <cell r="B20" t="str">
            <v>CTV023014</v>
          </cell>
          <cell r="C20" t="str">
            <v>Trần Thị Thanh Trúc</v>
          </cell>
          <cell r="D20">
            <v>4194400</v>
          </cell>
          <cell r="E20">
            <v>26</v>
          </cell>
          <cell r="F20">
            <v>4020730.2714402881</v>
          </cell>
          <cell r="H20">
            <v>4803253.9606322516</v>
          </cell>
          <cell r="J20">
            <v>45000</v>
          </cell>
          <cell r="K20">
            <v>60000</v>
          </cell>
          <cell r="L20">
            <v>8000000</v>
          </cell>
          <cell r="M20">
            <v>0</v>
          </cell>
          <cell r="O20">
            <v>537200</v>
          </cell>
          <cell r="Q20">
            <v>100000</v>
          </cell>
          <cell r="R20">
            <v>330000</v>
          </cell>
          <cell r="S20">
            <v>50000</v>
          </cell>
          <cell r="T20">
            <v>300000</v>
          </cell>
          <cell r="U20">
            <v>1066300</v>
          </cell>
          <cell r="Z20">
            <v>519500</v>
          </cell>
          <cell r="AA20">
            <v>528000</v>
          </cell>
          <cell r="AC20">
            <v>555600</v>
          </cell>
          <cell r="AE20">
            <v>20915584.23207254</v>
          </cell>
        </row>
        <row r="21">
          <cell r="B21" t="str">
            <v>CTV023015</v>
          </cell>
          <cell r="C21" t="str">
            <v>Đào Thị Thúy An</v>
          </cell>
          <cell r="D21">
            <v>4194400</v>
          </cell>
          <cell r="E21">
            <v>28</v>
          </cell>
          <cell r="F21">
            <v>3900100.7383069647</v>
          </cell>
          <cell r="H21">
            <v>6384100.0043256804</v>
          </cell>
          <cell r="J21">
            <v>60000</v>
          </cell>
          <cell r="L21">
            <v>8000000</v>
          </cell>
          <cell r="M21">
            <v>0</v>
          </cell>
          <cell r="O21">
            <v>355500</v>
          </cell>
          <cell r="R21">
            <v>120000</v>
          </cell>
          <cell r="U21">
            <v>3761100</v>
          </cell>
          <cell r="Z21">
            <v>1298902</v>
          </cell>
          <cell r="AA21">
            <v>0</v>
          </cell>
          <cell r="AC21">
            <v>900500</v>
          </cell>
          <cell r="AE21">
            <v>24780202.742632646</v>
          </cell>
        </row>
        <row r="22">
          <cell r="B22" t="str">
            <v>CTV023017</v>
          </cell>
          <cell r="C22" t="str">
            <v>Nguyễn Thị Thanh Thúy</v>
          </cell>
          <cell r="D22">
            <v>4194400</v>
          </cell>
          <cell r="E22">
            <v>0</v>
          </cell>
          <cell r="F22">
            <v>0</v>
          </cell>
          <cell r="H22">
            <v>0</v>
          </cell>
          <cell r="L22">
            <v>0</v>
          </cell>
          <cell r="M22">
            <v>0</v>
          </cell>
          <cell r="O22">
            <v>0</v>
          </cell>
          <cell r="U22">
            <v>0</v>
          </cell>
          <cell r="Z22">
            <v>0</v>
          </cell>
          <cell r="AA22">
            <v>0</v>
          </cell>
          <cell r="AE22">
            <v>0</v>
          </cell>
        </row>
        <row r="23">
          <cell r="B23" t="str">
            <v>CTV023018</v>
          </cell>
          <cell r="C23" t="str">
            <v>Võ Thị Tuyết Vân</v>
          </cell>
          <cell r="D23">
            <v>4194400</v>
          </cell>
          <cell r="E23">
            <v>28</v>
          </cell>
          <cell r="F23">
            <v>3699360.2591294004</v>
          </cell>
          <cell r="H23">
            <v>6358696.2682633698</v>
          </cell>
          <cell r="J23">
            <v>15000</v>
          </cell>
          <cell r="L23">
            <v>8000000</v>
          </cell>
          <cell r="M23">
            <v>0</v>
          </cell>
          <cell r="O23">
            <v>426600</v>
          </cell>
          <cell r="U23">
            <v>3141800</v>
          </cell>
          <cell r="Z23">
            <v>2427250</v>
          </cell>
          <cell r="AA23">
            <v>22000</v>
          </cell>
          <cell r="AC23">
            <v>326950</v>
          </cell>
          <cell r="AE23">
            <v>24417656.527392771</v>
          </cell>
        </row>
        <row r="24">
          <cell r="B24" t="str">
            <v>CTV028578</v>
          </cell>
          <cell r="C24" t="str">
            <v>Hồ Như Gương</v>
          </cell>
          <cell r="D24">
            <v>4194400</v>
          </cell>
          <cell r="E24">
            <v>25</v>
          </cell>
          <cell r="F24">
            <v>4209649.9666217873</v>
          </cell>
          <cell r="H24">
            <v>7334240.8965173112</v>
          </cell>
          <cell r="I24">
            <v>352000</v>
          </cell>
          <cell r="L24">
            <v>8000000</v>
          </cell>
          <cell r="M24">
            <v>250000</v>
          </cell>
          <cell r="O24">
            <v>236000</v>
          </cell>
          <cell r="R24">
            <v>80000</v>
          </cell>
          <cell r="S24">
            <v>200000</v>
          </cell>
          <cell r="U24">
            <v>242000</v>
          </cell>
          <cell r="V24">
            <v>100000</v>
          </cell>
          <cell r="Z24">
            <v>192650</v>
          </cell>
          <cell r="AA24">
            <v>0</v>
          </cell>
          <cell r="AE24">
            <v>21196540.8631391</v>
          </cell>
        </row>
        <row r="25">
          <cell r="B25" t="str">
            <v>CTV036515</v>
          </cell>
          <cell r="C25" t="str">
            <v>Huỳnh Thy Nga</v>
          </cell>
          <cell r="D25">
            <v>4194400</v>
          </cell>
          <cell r="E25">
            <v>25</v>
          </cell>
          <cell r="F25">
            <v>7804239.4161423519</v>
          </cell>
          <cell r="H25">
            <v>379291.89259699936</v>
          </cell>
          <cell r="L25">
            <v>8000000</v>
          </cell>
          <cell r="M25">
            <v>0</v>
          </cell>
          <cell r="O25">
            <v>0</v>
          </cell>
          <cell r="U25">
            <v>0</v>
          </cell>
          <cell r="Z25">
            <v>0</v>
          </cell>
          <cell r="AA25">
            <v>0</v>
          </cell>
          <cell r="AE25">
            <v>16183531.308739351</v>
          </cell>
        </row>
        <row r="26">
          <cell r="B26" t="str">
            <v>CTV036516</v>
          </cell>
          <cell r="C26" t="str">
            <v>Nguyễn Dương Ngọc Linh</v>
          </cell>
          <cell r="D26">
            <v>4194400</v>
          </cell>
          <cell r="E26">
            <v>25</v>
          </cell>
          <cell r="F26">
            <v>8885485.9322944488</v>
          </cell>
          <cell r="H26">
            <v>0</v>
          </cell>
          <cell r="L26">
            <v>8000000</v>
          </cell>
          <cell r="M26">
            <v>0</v>
          </cell>
          <cell r="O26">
            <v>0</v>
          </cell>
          <cell r="U26">
            <v>0</v>
          </cell>
          <cell r="Z26">
            <v>0</v>
          </cell>
          <cell r="AA26">
            <v>0</v>
          </cell>
          <cell r="AE26">
            <v>16885485.932294451</v>
          </cell>
        </row>
        <row r="27">
          <cell r="B27" t="str">
            <v>CTV023012</v>
          </cell>
          <cell r="C27" t="str">
            <v>Lê Thị Hồng Nhung</v>
          </cell>
          <cell r="D27">
            <v>4194400</v>
          </cell>
          <cell r="E27">
            <v>29</v>
          </cell>
          <cell r="F27">
            <v>4014809.5835512872</v>
          </cell>
          <cell r="H27">
            <v>14292482.977334589</v>
          </cell>
          <cell r="J27">
            <v>105000</v>
          </cell>
          <cell r="K27">
            <v>180000</v>
          </cell>
          <cell r="L27">
            <v>8000000</v>
          </cell>
          <cell r="M27">
            <v>0</v>
          </cell>
          <cell r="O27">
            <v>1390400</v>
          </cell>
          <cell r="R27">
            <v>160000</v>
          </cell>
          <cell r="T27">
            <v>300000</v>
          </cell>
          <cell r="U27">
            <v>8264600</v>
          </cell>
          <cell r="Z27">
            <v>4843200</v>
          </cell>
          <cell r="AA27">
            <v>0</v>
          </cell>
          <cell r="AC27">
            <v>2509000</v>
          </cell>
          <cell r="AE27">
            <v>44059492.560885876</v>
          </cell>
        </row>
        <row r="28">
          <cell r="B28" t="str">
            <v>CTV048323</v>
          </cell>
          <cell r="C28" t="str">
            <v>Lê Thị Ngọc Hân</v>
          </cell>
          <cell r="D28">
            <v>4194400</v>
          </cell>
          <cell r="E28">
            <v>0</v>
          </cell>
          <cell r="F28">
            <v>0</v>
          </cell>
          <cell r="H28">
            <v>0</v>
          </cell>
          <cell r="L28">
            <v>0</v>
          </cell>
          <cell r="M28">
            <v>0</v>
          </cell>
          <cell r="O28">
            <v>0</v>
          </cell>
          <cell r="U28">
            <v>0</v>
          </cell>
          <cell r="Z28">
            <v>0</v>
          </cell>
          <cell r="AA28">
            <v>0</v>
          </cell>
          <cell r="AE28">
            <v>0</v>
          </cell>
        </row>
        <row r="29">
          <cell r="B29" t="str">
            <v>CTV055531</v>
          </cell>
          <cell r="C29" t="str">
            <v>Nguyễn Thị Thanh Trúc</v>
          </cell>
          <cell r="D29">
            <v>4194400</v>
          </cell>
          <cell r="E29">
            <v>25</v>
          </cell>
          <cell r="F29">
            <v>2552271.8066861755</v>
          </cell>
          <cell r="H29">
            <v>5519373.2941491101</v>
          </cell>
          <cell r="L29">
            <v>8000000</v>
          </cell>
          <cell r="M29">
            <v>0</v>
          </cell>
          <cell r="O29">
            <v>0</v>
          </cell>
          <cell r="R29">
            <v>240000</v>
          </cell>
          <cell r="S29">
            <v>100000</v>
          </cell>
          <cell r="U29">
            <v>0</v>
          </cell>
          <cell r="Z29">
            <v>0</v>
          </cell>
          <cell r="AA29">
            <v>0</v>
          </cell>
          <cell r="AE29">
            <v>16411645.100835286</v>
          </cell>
        </row>
        <row r="30">
          <cell r="B30" t="str">
            <v>CTV023036</v>
          </cell>
          <cell r="C30" t="str">
            <v>Từ Thị Trâm</v>
          </cell>
          <cell r="D30">
            <v>4194400</v>
          </cell>
          <cell r="E30">
            <v>27</v>
          </cell>
          <cell r="F30">
            <v>3957455.1609291262</v>
          </cell>
          <cell r="H30">
            <v>7702742.081782287</v>
          </cell>
          <cell r="J30">
            <v>15000</v>
          </cell>
          <cell r="L30">
            <v>7000000</v>
          </cell>
          <cell r="M30">
            <v>134000</v>
          </cell>
          <cell r="O30">
            <v>722850</v>
          </cell>
          <cell r="U30">
            <v>2676900</v>
          </cell>
          <cell r="Z30">
            <v>3889226</v>
          </cell>
          <cell r="AA30">
            <v>418000</v>
          </cell>
          <cell r="AC30">
            <v>349250</v>
          </cell>
          <cell r="AE30">
            <v>26865423.242711414</v>
          </cell>
        </row>
        <row r="31">
          <cell r="B31" t="str">
            <v>CTV020462</v>
          </cell>
          <cell r="C31" t="str">
            <v>Lê Trang Mỹ Nhiên</v>
          </cell>
          <cell r="D31">
            <v>3670100</v>
          </cell>
          <cell r="E31">
            <v>25</v>
          </cell>
          <cell r="F31">
            <v>9634428.5718589574</v>
          </cell>
          <cell r="H31">
            <v>0</v>
          </cell>
          <cell r="L31">
            <v>8000000</v>
          </cell>
          <cell r="M31">
            <v>0</v>
          </cell>
          <cell r="O31">
            <v>0</v>
          </cell>
          <cell r="U31">
            <v>0</v>
          </cell>
          <cell r="Z31">
            <v>0</v>
          </cell>
          <cell r="AA31">
            <v>0</v>
          </cell>
          <cell r="AE31">
            <v>17634428.571858957</v>
          </cell>
        </row>
        <row r="32">
          <cell r="B32" t="str">
            <v>CTV023024</v>
          </cell>
          <cell r="C32" t="str">
            <v>Bùi Thị Thu Trang</v>
          </cell>
          <cell r="D32">
            <v>3670100</v>
          </cell>
          <cell r="E32">
            <v>25</v>
          </cell>
          <cell r="F32">
            <v>7061340.583202987</v>
          </cell>
          <cell r="H32">
            <v>3018215.3040996725</v>
          </cell>
          <cell r="L32">
            <v>8000000</v>
          </cell>
          <cell r="M32">
            <v>0</v>
          </cell>
          <cell r="O32">
            <v>0</v>
          </cell>
          <cell r="U32">
            <v>207300</v>
          </cell>
          <cell r="Z32">
            <v>130200</v>
          </cell>
          <cell r="AA32">
            <v>0</v>
          </cell>
          <cell r="AE32">
            <v>18417055.887302659</v>
          </cell>
        </row>
        <row r="33">
          <cell r="B33" t="str">
            <v>CTV023026</v>
          </cell>
          <cell r="C33" t="str">
            <v>Lê Thanh Quyên</v>
          </cell>
          <cell r="D33">
            <v>3670100</v>
          </cell>
          <cell r="E33">
            <v>29</v>
          </cell>
          <cell r="F33">
            <v>3758222.2905982798</v>
          </cell>
          <cell r="H33">
            <v>7070779.6002262188</v>
          </cell>
          <cell r="L33">
            <v>8000000</v>
          </cell>
          <cell r="M33">
            <v>0</v>
          </cell>
          <cell r="O33">
            <v>380150</v>
          </cell>
          <cell r="U33">
            <v>1289100</v>
          </cell>
          <cell r="Z33">
            <v>130000</v>
          </cell>
          <cell r="AA33">
            <v>0</v>
          </cell>
          <cell r="AC33">
            <v>13900</v>
          </cell>
          <cell r="AE33">
            <v>20642151.890824497</v>
          </cell>
        </row>
        <row r="34">
          <cell r="B34" t="str">
            <v>CTV023027</v>
          </cell>
          <cell r="C34" t="str">
            <v>Lê Thị Kim Loan</v>
          </cell>
          <cell r="D34">
            <v>3670100</v>
          </cell>
          <cell r="E34">
            <v>29</v>
          </cell>
          <cell r="F34">
            <v>3816489.3028556178</v>
          </cell>
          <cell r="H34">
            <v>4626193.6724371649</v>
          </cell>
          <cell r="J34">
            <v>60000</v>
          </cell>
          <cell r="K34">
            <v>30000</v>
          </cell>
          <cell r="L34">
            <v>8000000</v>
          </cell>
          <cell r="M34">
            <v>1081500</v>
          </cell>
          <cell r="O34">
            <v>890650</v>
          </cell>
          <cell r="R34">
            <v>100000</v>
          </cell>
          <cell r="U34">
            <v>953400</v>
          </cell>
          <cell r="Z34">
            <v>989250</v>
          </cell>
          <cell r="AA34">
            <v>0</v>
          </cell>
          <cell r="AC34">
            <v>345000</v>
          </cell>
          <cell r="AE34">
            <v>20892482.975292783</v>
          </cell>
        </row>
        <row r="35">
          <cell r="B35" t="str">
            <v>CTV028599</v>
          </cell>
          <cell r="C35" t="str">
            <v>Nguyễn Thị Trúc Mai</v>
          </cell>
          <cell r="D35">
            <v>3670100</v>
          </cell>
          <cell r="E35">
            <v>29</v>
          </cell>
          <cell r="F35">
            <v>3845622.8089842866</v>
          </cell>
          <cell r="H35">
            <v>8942453.0390735082</v>
          </cell>
          <cell r="L35">
            <v>8000000</v>
          </cell>
          <cell r="M35">
            <v>1137000</v>
          </cell>
          <cell r="O35">
            <v>117600</v>
          </cell>
          <cell r="U35">
            <v>1698300</v>
          </cell>
          <cell r="Z35">
            <v>439100</v>
          </cell>
          <cell r="AA35">
            <v>0</v>
          </cell>
          <cell r="AC35">
            <v>292800</v>
          </cell>
          <cell r="AE35">
            <v>24472875.848057795</v>
          </cell>
        </row>
        <row r="36">
          <cell r="B36" t="str">
            <v>CTV028603</v>
          </cell>
          <cell r="C36" t="str">
            <v>Lữ Thị Tuyết Loan</v>
          </cell>
          <cell r="D36">
            <v>3670100</v>
          </cell>
          <cell r="E36">
            <v>29</v>
          </cell>
          <cell r="F36">
            <v>3991290.3396276305</v>
          </cell>
          <cell r="H36">
            <v>5911751.9466329776</v>
          </cell>
          <cell r="L36">
            <v>8000000</v>
          </cell>
          <cell r="M36">
            <v>518500</v>
          </cell>
          <cell r="O36">
            <v>464300</v>
          </cell>
          <cell r="T36">
            <v>300000</v>
          </cell>
          <cell r="U36">
            <v>1113600</v>
          </cell>
          <cell r="Z36">
            <v>769150</v>
          </cell>
          <cell r="AA36">
            <v>0</v>
          </cell>
          <cell r="AC36">
            <v>523800</v>
          </cell>
          <cell r="AE36">
            <v>21592392.286260609</v>
          </cell>
        </row>
        <row r="37">
          <cell r="B37" t="str">
            <v>CTV023023</v>
          </cell>
          <cell r="C37" t="str">
            <v>Dương Thi Kim Thoa</v>
          </cell>
          <cell r="D37">
            <v>3670100</v>
          </cell>
          <cell r="E37">
            <v>25</v>
          </cell>
          <cell r="F37">
            <v>6362375.3985712193</v>
          </cell>
          <cell r="H37">
            <v>2727517.4760297425</v>
          </cell>
          <cell r="L37">
            <v>8000000</v>
          </cell>
          <cell r="M37">
            <v>0</v>
          </cell>
          <cell r="O37">
            <v>0</v>
          </cell>
          <cell r="U37">
            <v>0</v>
          </cell>
          <cell r="Z37">
            <v>0</v>
          </cell>
          <cell r="AA37">
            <v>0</v>
          </cell>
          <cell r="AE37">
            <v>17089892.874600962</v>
          </cell>
        </row>
        <row r="38">
          <cell r="B38" t="str">
            <v>CTV023207</v>
          </cell>
          <cell r="C38" t="str">
            <v>Nguyễn Thị Ngọc Diệp</v>
          </cell>
          <cell r="D38">
            <v>3670100</v>
          </cell>
          <cell r="E38">
            <v>0</v>
          </cell>
          <cell r="F38">
            <v>0</v>
          </cell>
          <cell r="H38">
            <v>767666.89081352262</v>
          </cell>
          <cell r="J38">
            <v>100000</v>
          </cell>
          <cell r="L38">
            <v>8000000</v>
          </cell>
          <cell r="M38">
            <v>1051000</v>
          </cell>
          <cell r="O38">
            <v>369950</v>
          </cell>
          <cell r="U38">
            <v>1423200</v>
          </cell>
          <cell r="Z38">
            <v>910000</v>
          </cell>
          <cell r="AA38">
            <v>0</v>
          </cell>
          <cell r="AE38">
            <v>12621816.890813522</v>
          </cell>
        </row>
        <row r="39">
          <cell r="B39" t="str">
            <v>CTV055530</v>
          </cell>
          <cell r="C39" t="str">
            <v>Phạm Trung Quân</v>
          </cell>
          <cell r="D39">
            <v>3670100</v>
          </cell>
          <cell r="E39">
            <v>25</v>
          </cell>
          <cell r="F39">
            <v>2403165.7686997643</v>
          </cell>
          <cell r="H39">
            <v>6986595.1182310395</v>
          </cell>
          <cell r="J39">
            <v>20000</v>
          </cell>
          <cell r="L39">
            <v>8000000</v>
          </cell>
          <cell r="M39">
            <v>67000</v>
          </cell>
          <cell r="O39">
            <v>0</v>
          </cell>
          <cell r="R39">
            <v>270000</v>
          </cell>
          <cell r="U39">
            <v>45000</v>
          </cell>
          <cell r="Z39">
            <v>0</v>
          </cell>
          <cell r="AA39">
            <v>0</v>
          </cell>
          <cell r="AE39">
            <v>17791760.886930805</v>
          </cell>
        </row>
        <row r="40">
          <cell r="B40" t="str">
            <v>CTV023069</v>
          </cell>
          <cell r="C40" t="str">
            <v>Nguyễn Lê Thanh</v>
          </cell>
          <cell r="D40">
            <v>3670100</v>
          </cell>
          <cell r="E40">
            <v>25</v>
          </cell>
          <cell r="F40">
            <v>2613442.7734609935</v>
          </cell>
          <cell r="H40">
            <v>12144788.915740283</v>
          </cell>
          <cell r="L40">
            <v>8000000</v>
          </cell>
          <cell r="M40">
            <v>2308000</v>
          </cell>
          <cell r="O40">
            <v>901750</v>
          </cell>
          <cell r="U40">
            <v>0</v>
          </cell>
          <cell r="Z40">
            <v>0</v>
          </cell>
          <cell r="AA40">
            <v>0</v>
          </cell>
          <cell r="AB40">
            <v>212500</v>
          </cell>
          <cell r="AE40">
            <v>26180481.689201277</v>
          </cell>
        </row>
        <row r="41">
          <cell r="B41" t="str">
            <v>CTV023071</v>
          </cell>
          <cell r="C41" t="str">
            <v>Trần Văn Cảnh</v>
          </cell>
          <cell r="D41">
            <v>3670100</v>
          </cell>
          <cell r="E41">
            <v>25</v>
          </cell>
          <cell r="F41">
            <v>3694867.3693758878</v>
          </cell>
          <cell r="H41">
            <v>18383501.243184343</v>
          </cell>
          <cell r="L41">
            <v>8000000</v>
          </cell>
          <cell r="M41">
            <v>268000</v>
          </cell>
          <cell r="N41">
            <v>1480000</v>
          </cell>
          <cell r="O41">
            <v>270250</v>
          </cell>
          <cell r="U41">
            <v>110000</v>
          </cell>
          <cell r="W41">
            <v>200000</v>
          </cell>
          <cell r="X41">
            <v>200000</v>
          </cell>
          <cell r="Z41">
            <v>0</v>
          </cell>
          <cell r="AA41">
            <v>0</v>
          </cell>
          <cell r="AC41">
            <v>515000</v>
          </cell>
          <cell r="AE41">
            <v>33121618.612560231</v>
          </cell>
        </row>
        <row r="42">
          <cell r="B42" t="str">
            <v>CTV023031</v>
          </cell>
          <cell r="C42" t="str">
            <v>Nguyễn Thị Vỹ Hương Lan</v>
          </cell>
          <cell r="D42">
            <v>3284900</v>
          </cell>
          <cell r="E42">
            <v>27</v>
          </cell>
          <cell r="F42">
            <v>2660552.7779931077</v>
          </cell>
          <cell r="H42">
            <v>2111466.3633367098</v>
          </cell>
          <cell r="L42">
            <v>8000000</v>
          </cell>
          <cell r="M42">
            <v>0</v>
          </cell>
          <cell r="O42">
            <v>0</v>
          </cell>
          <cell r="U42">
            <v>1383000</v>
          </cell>
          <cell r="Z42">
            <v>354300</v>
          </cell>
          <cell r="AA42">
            <v>0</v>
          </cell>
          <cell r="AE42">
            <v>14509319.141329817</v>
          </cell>
        </row>
        <row r="43">
          <cell r="B43" t="str">
            <v>CTV038176</v>
          </cell>
          <cell r="C43" t="str">
            <v>Nguyễn Thanh Hằng</v>
          </cell>
          <cell r="D43">
            <v>3284900</v>
          </cell>
          <cell r="E43">
            <v>27</v>
          </cell>
          <cell r="F43">
            <v>2805148.0376666463</v>
          </cell>
          <cell r="H43">
            <v>2217674.2006881689</v>
          </cell>
          <cell r="L43">
            <v>8000000</v>
          </cell>
          <cell r="M43">
            <v>100500</v>
          </cell>
          <cell r="O43">
            <v>12500</v>
          </cell>
          <cell r="U43">
            <v>521400</v>
          </cell>
          <cell r="Z43">
            <v>300400</v>
          </cell>
          <cell r="AA43">
            <v>44000</v>
          </cell>
          <cell r="AE43">
            <v>14001622.238354815</v>
          </cell>
        </row>
        <row r="44">
          <cell r="B44" t="str">
            <v>CTV023032</v>
          </cell>
          <cell r="C44" t="str">
            <v>Nguyễn Thị Vỹ Hương Linh</v>
          </cell>
          <cell r="D44">
            <v>3284900</v>
          </cell>
          <cell r="E44">
            <v>25</v>
          </cell>
          <cell r="F44">
            <v>6198125.7174620265</v>
          </cell>
          <cell r="H44">
            <v>149438.16310758042</v>
          </cell>
          <cell r="L44">
            <v>8000000</v>
          </cell>
          <cell r="M44">
            <v>0</v>
          </cell>
          <cell r="O44">
            <v>0</v>
          </cell>
          <cell r="U44">
            <v>0</v>
          </cell>
          <cell r="Z44">
            <v>0</v>
          </cell>
          <cell r="AA44">
            <v>0</v>
          </cell>
          <cell r="AE44">
            <v>14347563.880569607</v>
          </cell>
        </row>
        <row r="45">
          <cell r="B45" t="str">
            <v>CTV028655</v>
          </cell>
          <cell r="C45" t="str">
            <v>Nguyễn Khắc Huy</v>
          </cell>
          <cell r="D45">
            <v>3284900</v>
          </cell>
          <cell r="E45">
            <v>25</v>
          </cell>
          <cell r="F45">
            <v>2653841.8975202208</v>
          </cell>
          <cell r="H45">
            <v>12440608.476989318</v>
          </cell>
          <cell r="L45">
            <v>8000000</v>
          </cell>
          <cell r="M45">
            <v>768500</v>
          </cell>
          <cell r="N45">
            <v>760000</v>
          </cell>
          <cell r="O45">
            <v>250800</v>
          </cell>
          <cell r="R45">
            <v>80000</v>
          </cell>
          <cell r="U45">
            <v>555200</v>
          </cell>
          <cell r="X45">
            <v>200000</v>
          </cell>
          <cell r="Z45">
            <v>467150</v>
          </cell>
          <cell r="AA45">
            <v>22000</v>
          </cell>
          <cell r="AE45">
            <v>26198100.374509539</v>
          </cell>
        </row>
        <row r="46">
          <cell r="B46" t="str">
            <v>CTV023131</v>
          </cell>
          <cell r="C46" t="str">
            <v>Lê Thị Linh Phương</v>
          </cell>
          <cell r="D46">
            <v>3284900</v>
          </cell>
          <cell r="E46">
            <v>25</v>
          </cell>
          <cell r="F46">
            <v>2176746.7249323162</v>
          </cell>
          <cell r="H46">
            <v>8296783.0953895142</v>
          </cell>
          <cell r="L46">
            <v>8000000</v>
          </cell>
          <cell r="M46">
            <v>0</v>
          </cell>
          <cell r="O46">
            <v>0</v>
          </cell>
          <cell r="R46">
            <v>60000</v>
          </cell>
          <cell r="U46">
            <v>24700</v>
          </cell>
          <cell r="Z46">
            <v>0</v>
          </cell>
          <cell r="AA46">
            <v>110000</v>
          </cell>
          <cell r="AE46">
            <v>18668229.820321828</v>
          </cell>
        </row>
        <row r="47">
          <cell r="B47" t="str">
            <v>CTV020464</v>
          </cell>
          <cell r="C47" t="str">
            <v>Nguyễn Thị Kim Thi</v>
          </cell>
          <cell r="D47">
            <v>3284900</v>
          </cell>
          <cell r="E47">
            <v>25</v>
          </cell>
          <cell r="F47">
            <v>6108586.299436504</v>
          </cell>
          <cell r="H47">
            <v>0</v>
          </cell>
          <cell r="I47">
            <v>5651275</v>
          </cell>
          <cell r="L47">
            <v>8000000</v>
          </cell>
          <cell r="M47">
            <v>0</v>
          </cell>
          <cell r="O47">
            <v>0</v>
          </cell>
          <cell r="U47">
            <v>0</v>
          </cell>
          <cell r="Z47">
            <v>0</v>
          </cell>
          <cell r="AA47">
            <v>0</v>
          </cell>
          <cell r="AE47">
            <v>19759861.299436502</v>
          </cell>
        </row>
        <row r="48">
          <cell r="B48" t="str">
            <v>CTV023029</v>
          </cell>
          <cell r="C48" t="str">
            <v>Mai Thị Thùy</v>
          </cell>
          <cell r="D48">
            <v>3284900</v>
          </cell>
          <cell r="E48">
            <v>25</v>
          </cell>
          <cell r="F48">
            <v>2906012.9925781568</v>
          </cell>
          <cell r="H48">
            <v>3081883.3892718479</v>
          </cell>
          <cell r="L48">
            <v>8000000</v>
          </cell>
          <cell r="M48">
            <v>0</v>
          </cell>
          <cell r="O48">
            <v>0</v>
          </cell>
          <cell r="R48">
            <v>20000</v>
          </cell>
          <cell r="U48">
            <v>360000</v>
          </cell>
          <cell r="Z48">
            <v>824300</v>
          </cell>
          <cell r="AA48">
            <v>0</v>
          </cell>
          <cell r="AE48">
            <v>15192196.381850004</v>
          </cell>
        </row>
        <row r="49">
          <cell r="B49" t="str">
            <v>CTV023030</v>
          </cell>
          <cell r="C49" t="str">
            <v>Nguyễn Thị Lan Phương</v>
          </cell>
          <cell r="D49">
            <v>3284900</v>
          </cell>
          <cell r="E49">
            <v>25</v>
          </cell>
          <cell r="F49">
            <v>2606860.5067632333</v>
          </cell>
          <cell r="H49">
            <v>5876601.8446154501</v>
          </cell>
          <cell r="L49">
            <v>8000000</v>
          </cell>
          <cell r="M49">
            <v>544000</v>
          </cell>
          <cell r="O49">
            <v>352800</v>
          </cell>
          <cell r="R49">
            <v>40000</v>
          </cell>
          <cell r="U49">
            <v>180000</v>
          </cell>
          <cell r="Z49">
            <v>360000</v>
          </cell>
          <cell r="AA49">
            <v>0</v>
          </cell>
          <cell r="AE49">
            <v>17960262.351378683</v>
          </cell>
        </row>
        <row r="50">
          <cell r="B50" t="str">
            <v>CTV023107</v>
          </cell>
          <cell r="C50" t="str">
            <v>Nguyễn Thị Ngọc Hằng</v>
          </cell>
          <cell r="D50">
            <v>3284900</v>
          </cell>
          <cell r="E50">
            <v>25</v>
          </cell>
          <cell r="F50">
            <v>3225674.421761754</v>
          </cell>
          <cell r="H50">
            <v>4226630.0384534728</v>
          </cell>
          <cell r="L50">
            <v>8000000</v>
          </cell>
          <cell r="M50">
            <v>0</v>
          </cell>
          <cell r="O50">
            <v>0</v>
          </cell>
          <cell r="U50">
            <v>565500</v>
          </cell>
          <cell r="Z50">
            <v>657200</v>
          </cell>
          <cell r="AA50">
            <v>0</v>
          </cell>
          <cell r="AE50">
            <v>16675004.460215226</v>
          </cell>
        </row>
        <row r="51">
          <cell r="B51" t="str">
            <v>CTV035279</v>
          </cell>
          <cell r="C51" t="str">
            <v>Lê Văn Giàu</v>
          </cell>
          <cell r="D51">
            <v>3284900</v>
          </cell>
          <cell r="E51">
            <v>25</v>
          </cell>
          <cell r="F51">
            <v>3445850.0951468027</v>
          </cell>
          <cell r="H51">
            <v>8616159.6842352673</v>
          </cell>
          <cell r="J51">
            <v>75000</v>
          </cell>
          <cell r="L51">
            <v>8000000</v>
          </cell>
          <cell r="M51">
            <v>368500</v>
          </cell>
          <cell r="N51">
            <v>520000</v>
          </cell>
          <cell r="O51">
            <v>269750</v>
          </cell>
          <cell r="R51">
            <v>40000</v>
          </cell>
          <cell r="U51">
            <v>240000</v>
          </cell>
          <cell r="Z51">
            <v>1051550</v>
          </cell>
          <cell r="AA51">
            <v>0</v>
          </cell>
          <cell r="AE51">
            <v>22626809.779382072</v>
          </cell>
        </row>
        <row r="52">
          <cell r="B52" t="str">
            <v>CTV028601</v>
          </cell>
          <cell r="C52" t="str">
            <v>Huỳnh Nguyễn Giao Hân</v>
          </cell>
          <cell r="D52">
            <v>3284900</v>
          </cell>
          <cell r="E52">
            <v>25</v>
          </cell>
          <cell r="F52">
            <v>2906499.6454716506</v>
          </cell>
          <cell r="H52">
            <v>12065177.989035632</v>
          </cell>
          <cell r="L52">
            <v>8000000</v>
          </cell>
          <cell r="M52">
            <v>0</v>
          </cell>
          <cell r="O52">
            <v>330750</v>
          </cell>
          <cell r="R52">
            <v>40000</v>
          </cell>
          <cell r="U52">
            <v>193500</v>
          </cell>
          <cell r="Z52">
            <v>419700</v>
          </cell>
          <cell r="AA52">
            <v>0</v>
          </cell>
          <cell r="AE52">
            <v>23955627.634507284</v>
          </cell>
        </row>
        <row r="53">
          <cell r="B53" t="str">
            <v>CTV036506</v>
          </cell>
          <cell r="C53" t="str">
            <v>Bùi Tấn Đạt</v>
          </cell>
          <cell r="D53">
            <v>3284900</v>
          </cell>
          <cell r="E53">
            <v>25</v>
          </cell>
          <cell r="F53">
            <v>2606860.5067632333</v>
          </cell>
          <cell r="H53">
            <v>15826478.476083554</v>
          </cell>
          <cell r="L53">
            <v>8000000</v>
          </cell>
          <cell r="M53">
            <v>0</v>
          </cell>
          <cell r="N53">
            <v>720000</v>
          </cell>
          <cell r="O53">
            <v>0</v>
          </cell>
          <cell r="R53">
            <v>100000</v>
          </cell>
          <cell r="U53">
            <v>536400</v>
          </cell>
          <cell r="W53">
            <v>200000</v>
          </cell>
          <cell r="Z53">
            <v>906050</v>
          </cell>
          <cell r="AA53">
            <v>0</v>
          </cell>
          <cell r="AE53">
            <v>28895788.982846789</v>
          </cell>
        </row>
        <row r="54">
          <cell r="B54" t="str">
            <v>CTV054887</v>
          </cell>
          <cell r="C54" t="str">
            <v xml:space="preserve">Nguyễn Thị Diệu Hương </v>
          </cell>
          <cell r="D54">
            <v>4194400</v>
          </cell>
          <cell r="E54">
            <v>25</v>
          </cell>
          <cell r="F54">
            <v>6939594.7268666048</v>
          </cell>
          <cell r="H54">
            <v>0</v>
          </cell>
          <cell r="L54">
            <v>8000000</v>
          </cell>
          <cell r="M54">
            <v>0</v>
          </cell>
          <cell r="O54">
            <v>0</v>
          </cell>
          <cell r="U54">
            <v>0</v>
          </cell>
          <cell r="Z54">
            <v>0</v>
          </cell>
          <cell r="AA54">
            <v>0</v>
          </cell>
          <cell r="AE54">
            <v>14939594.726866605</v>
          </cell>
        </row>
        <row r="55">
          <cell r="B55" t="str">
            <v>CTV023019</v>
          </cell>
          <cell r="C55" t="str">
            <v>Hồ Thanh Liêm</v>
          </cell>
          <cell r="D55">
            <v>4194400</v>
          </cell>
          <cell r="E55">
            <v>25</v>
          </cell>
          <cell r="F55">
            <v>4046471.1822689711</v>
          </cell>
          <cell r="H55">
            <v>4592952.6545687411</v>
          </cell>
          <cell r="I55">
            <v>7368300</v>
          </cell>
          <cell r="L55">
            <v>8000000</v>
          </cell>
          <cell r="M55">
            <v>0</v>
          </cell>
          <cell r="O55">
            <v>233800</v>
          </cell>
          <cell r="R55">
            <v>20000</v>
          </cell>
          <cell r="U55">
            <v>0</v>
          </cell>
          <cell r="V55">
            <v>2300000</v>
          </cell>
          <cell r="Z55">
            <v>0</v>
          </cell>
          <cell r="AA55">
            <v>0</v>
          </cell>
          <cell r="AE55">
            <v>26561523.836837713</v>
          </cell>
        </row>
        <row r="56">
          <cell r="B56" t="str">
            <v>CTV028602</v>
          </cell>
          <cell r="C56" t="str">
            <v>Nguyễn Thanh Trúc</v>
          </cell>
          <cell r="D56">
            <v>4194400</v>
          </cell>
          <cell r="E56">
            <v>26</v>
          </cell>
          <cell r="F56">
            <v>3709265.2504132236</v>
          </cell>
          <cell r="H56">
            <v>4411871.1531094434</v>
          </cell>
          <cell r="K56">
            <v>75000</v>
          </cell>
          <cell r="L56">
            <v>8000000</v>
          </cell>
          <cell r="M56">
            <v>201000</v>
          </cell>
          <cell r="O56">
            <v>401250</v>
          </cell>
          <cell r="U56">
            <v>902300</v>
          </cell>
          <cell r="Z56">
            <v>947950</v>
          </cell>
          <cell r="AA56">
            <v>242000</v>
          </cell>
          <cell r="AC56">
            <v>185000</v>
          </cell>
          <cell r="AE56">
            <v>19075636.403522667</v>
          </cell>
        </row>
        <row r="57">
          <cell r="B57" t="str">
            <v>CTV031867</v>
          </cell>
          <cell r="C57" t="str">
            <v>Nguyễn Thị Ngọc Ngoan</v>
          </cell>
          <cell r="D57">
            <v>4194400</v>
          </cell>
          <cell r="E57">
            <v>26</v>
          </cell>
          <cell r="F57">
            <v>3680950.2485016724</v>
          </cell>
          <cell r="H57">
            <v>4959499.3539555287</v>
          </cell>
          <cell r="I57">
            <v>2234700</v>
          </cell>
          <cell r="J57">
            <v>30000</v>
          </cell>
          <cell r="K57">
            <v>60000</v>
          </cell>
          <cell r="L57">
            <v>8000000</v>
          </cell>
          <cell r="M57">
            <v>201000</v>
          </cell>
          <cell r="O57">
            <v>474000</v>
          </cell>
          <cell r="U57">
            <v>814200</v>
          </cell>
          <cell r="Z57">
            <v>1107800</v>
          </cell>
          <cell r="AA57">
            <v>330000</v>
          </cell>
          <cell r="AC57">
            <v>170000</v>
          </cell>
          <cell r="AE57">
            <v>22062149.602457203</v>
          </cell>
        </row>
        <row r="58">
          <cell r="B58" t="str">
            <v>CTV042998</v>
          </cell>
          <cell r="C58" t="str">
            <v>Huỳnh Ánh Hồng</v>
          </cell>
          <cell r="D58">
            <v>4194400</v>
          </cell>
          <cell r="E58">
            <v>0</v>
          </cell>
          <cell r="F58">
            <v>0</v>
          </cell>
          <cell r="H58">
            <v>0</v>
          </cell>
          <cell r="L58">
            <v>0</v>
          </cell>
          <cell r="M58">
            <v>0</v>
          </cell>
          <cell r="O58">
            <v>0</v>
          </cell>
          <cell r="U58">
            <v>0</v>
          </cell>
          <cell r="Z58">
            <v>0</v>
          </cell>
          <cell r="AA58">
            <v>0</v>
          </cell>
          <cell r="AE58">
            <v>0</v>
          </cell>
        </row>
        <row r="59">
          <cell r="B59" t="str">
            <v>CTV045659</v>
          </cell>
          <cell r="C59" t="str">
            <v>Phan Thị Quyên</v>
          </cell>
          <cell r="D59">
            <v>4194400</v>
          </cell>
          <cell r="E59">
            <v>25</v>
          </cell>
          <cell r="F59">
            <v>5939763.5588893378</v>
          </cell>
          <cell r="H59">
            <v>0</v>
          </cell>
          <cell r="L59">
            <v>8000000</v>
          </cell>
          <cell r="M59">
            <v>0</v>
          </cell>
          <cell r="O59">
            <v>0</v>
          </cell>
          <cell r="U59">
            <v>0</v>
          </cell>
          <cell r="Z59">
            <v>0</v>
          </cell>
          <cell r="AA59">
            <v>0</v>
          </cell>
          <cell r="AE59">
            <v>13939763.558889337</v>
          </cell>
        </row>
        <row r="60">
          <cell r="B60" t="str">
            <v>CTV041732</v>
          </cell>
          <cell r="C60" t="str">
            <v>Lê Chí Cường</v>
          </cell>
          <cell r="D60">
            <v>4194400</v>
          </cell>
          <cell r="E60">
            <v>25</v>
          </cell>
          <cell r="F60">
            <v>3853820.7864879854</v>
          </cell>
          <cell r="H60">
            <v>17055656.558129281</v>
          </cell>
          <cell r="J60">
            <v>900000</v>
          </cell>
          <cell r="K60">
            <v>330000</v>
          </cell>
          <cell r="L60">
            <v>8000000</v>
          </cell>
          <cell r="M60">
            <v>0</v>
          </cell>
          <cell r="O60">
            <v>0</v>
          </cell>
          <cell r="Q60">
            <v>50000</v>
          </cell>
          <cell r="R60">
            <v>330000</v>
          </cell>
          <cell r="S60">
            <v>200000</v>
          </cell>
          <cell r="U60">
            <v>431300</v>
          </cell>
          <cell r="Z60">
            <v>208600</v>
          </cell>
          <cell r="AA60">
            <v>440000</v>
          </cell>
          <cell r="AC60">
            <v>1550400</v>
          </cell>
          <cell r="AE60">
            <v>33349777.344617266</v>
          </cell>
        </row>
        <row r="61">
          <cell r="B61" t="str">
            <v>CTV023033</v>
          </cell>
          <cell r="C61" t="str">
            <v>Nguyễn Thị Thu Lan</v>
          </cell>
          <cell r="D61">
            <v>3670100</v>
          </cell>
          <cell r="E61">
            <v>25</v>
          </cell>
          <cell r="F61">
            <v>3563524.357195877</v>
          </cell>
          <cell r="H61">
            <v>7160147.619325689</v>
          </cell>
          <cell r="L61">
            <v>8000000</v>
          </cell>
          <cell r="M61">
            <v>494500</v>
          </cell>
          <cell r="O61">
            <v>291950</v>
          </cell>
          <cell r="R61">
            <v>40000</v>
          </cell>
          <cell r="U61">
            <v>801500</v>
          </cell>
          <cell r="Z61">
            <v>1881902</v>
          </cell>
          <cell r="AA61">
            <v>0</v>
          </cell>
          <cell r="AC61">
            <v>596075</v>
          </cell>
          <cell r="AE61">
            <v>22829598.976521567</v>
          </cell>
        </row>
        <row r="62">
          <cell r="B62" t="str">
            <v>CTV023034</v>
          </cell>
          <cell r="C62" t="str">
            <v>Nguyễn Văn Thanh Bình</v>
          </cell>
          <cell r="D62">
            <v>3284900</v>
          </cell>
          <cell r="E62">
            <v>25</v>
          </cell>
          <cell r="F62">
            <v>4635260.5733423326</v>
          </cell>
          <cell r="H62">
            <v>6313954.9427905753</v>
          </cell>
          <cell r="L62">
            <v>8000000</v>
          </cell>
          <cell r="M62">
            <v>0</v>
          </cell>
          <cell r="O62">
            <v>330750</v>
          </cell>
          <cell r="U62">
            <v>60000</v>
          </cell>
          <cell r="Z62">
            <v>120000</v>
          </cell>
          <cell r="AA62">
            <v>44000</v>
          </cell>
          <cell r="AE62">
            <v>19503965.516132906</v>
          </cell>
        </row>
        <row r="63">
          <cell r="B63" t="str">
            <v>CTV023035</v>
          </cell>
          <cell r="C63" t="str">
            <v>Trần Thị Bé Muội</v>
          </cell>
          <cell r="D63">
            <v>3284900</v>
          </cell>
          <cell r="E63">
            <v>26</v>
          </cell>
          <cell r="F63">
            <v>3843167.8997826613</v>
          </cell>
          <cell r="H63">
            <v>13209412.019177794</v>
          </cell>
          <cell r="J63">
            <v>390000</v>
          </cell>
          <cell r="L63">
            <v>8000000</v>
          </cell>
          <cell r="M63">
            <v>670000</v>
          </cell>
          <cell r="O63">
            <v>541650</v>
          </cell>
          <cell r="T63">
            <v>300000</v>
          </cell>
          <cell r="U63">
            <v>563200</v>
          </cell>
          <cell r="Z63">
            <v>2796250</v>
          </cell>
          <cell r="AA63">
            <v>638000</v>
          </cell>
          <cell r="AC63">
            <v>1233150</v>
          </cell>
          <cell r="AE63">
            <v>32184829.918960456</v>
          </cell>
        </row>
        <row r="64">
          <cell r="B64" t="str">
            <v>CTV038173</v>
          </cell>
          <cell r="C64" t="str">
            <v>Ngô Thị Thu Hạnh (TS)</v>
          </cell>
          <cell r="D64">
            <v>3284900</v>
          </cell>
          <cell r="E64">
            <v>0</v>
          </cell>
          <cell r="F64">
            <v>0</v>
          </cell>
          <cell r="H64">
            <v>0</v>
          </cell>
          <cell r="L64">
            <v>0</v>
          </cell>
          <cell r="M64">
            <v>0</v>
          </cell>
          <cell r="O64">
            <v>0</v>
          </cell>
          <cell r="U64">
            <v>0</v>
          </cell>
          <cell r="Z64">
            <v>0</v>
          </cell>
          <cell r="AA64">
            <v>0</v>
          </cell>
          <cell r="AE64">
            <v>0</v>
          </cell>
        </row>
        <row r="65">
          <cell r="B65" t="str">
            <v>CTV038174</v>
          </cell>
          <cell r="C65" t="str">
            <v>Hồ Thị Nhi</v>
          </cell>
          <cell r="D65">
            <v>3284900</v>
          </cell>
          <cell r="E65">
            <v>26</v>
          </cell>
          <cell r="F65">
            <v>3086180.2831588038</v>
          </cell>
          <cell r="H65">
            <v>3000527.1283675665</v>
          </cell>
          <cell r="L65">
            <v>8000000</v>
          </cell>
          <cell r="M65">
            <v>368500</v>
          </cell>
          <cell r="O65">
            <v>271950</v>
          </cell>
          <cell r="U65">
            <v>222600</v>
          </cell>
          <cell r="Z65">
            <v>722676</v>
          </cell>
          <cell r="AA65">
            <v>132000</v>
          </cell>
          <cell r="AC65">
            <v>193950</v>
          </cell>
          <cell r="AE65">
            <v>15998383.411526371</v>
          </cell>
        </row>
        <row r="66">
          <cell r="B66" t="str">
            <v>CTV023179</v>
          </cell>
          <cell r="C66" t="str">
            <v>Nguyễn Thị Bé Thu</v>
          </cell>
          <cell r="D66">
            <v>3670100</v>
          </cell>
          <cell r="E66">
            <v>0</v>
          </cell>
          <cell r="F66">
            <v>0</v>
          </cell>
          <cell r="H66">
            <v>0</v>
          </cell>
          <cell r="L66">
            <v>0</v>
          </cell>
          <cell r="M66">
            <v>0</v>
          </cell>
          <cell r="O66">
            <v>0</v>
          </cell>
          <cell r="U66">
            <v>0</v>
          </cell>
          <cell r="Z66">
            <v>0</v>
          </cell>
          <cell r="AA66">
            <v>0</v>
          </cell>
          <cell r="AE66">
            <v>0</v>
          </cell>
        </row>
        <row r="67">
          <cell r="B67" t="str">
            <v>CTV049292</v>
          </cell>
          <cell r="C67" t="str">
            <v>Nguyễn Hữu Trọng</v>
          </cell>
          <cell r="D67">
            <v>3670100</v>
          </cell>
          <cell r="E67">
            <v>25</v>
          </cell>
          <cell r="F67">
            <v>4323090.2064453764</v>
          </cell>
          <cell r="H67">
            <v>3705211.2422335474</v>
          </cell>
          <cell r="I67">
            <v>6915600</v>
          </cell>
          <cell r="L67">
            <v>8000000</v>
          </cell>
          <cell r="M67">
            <v>0</v>
          </cell>
          <cell r="O67">
            <v>0</v>
          </cell>
          <cell r="U67">
            <v>30000</v>
          </cell>
          <cell r="V67">
            <v>400000</v>
          </cell>
          <cell r="Z67">
            <v>260750</v>
          </cell>
          <cell r="AA67">
            <v>0</v>
          </cell>
          <cell r="AE67">
            <v>23634651.448678926</v>
          </cell>
        </row>
        <row r="68">
          <cell r="B68" t="str">
            <v>CTV041556</v>
          </cell>
          <cell r="C68" t="str">
            <v>Đặng La Đô</v>
          </cell>
          <cell r="D68">
            <v>3670100</v>
          </cell>
          <cell r="E68">
            <v>25</v>
          </cell>
          <cell r="F68">
            <v>2696500.0156964711</v>
          </cell>
          <cell r="H68">
            <v>11296312.496779181</v>
          </cell>
          <cell r="I68">
            <v>58452180</v>
          </cell>
          <cell r="L68">
            <v>8000000</v>
          </cell>
          <cell r="M68">
            <v>440500</v>
          </cell>
          <cell r="N68">
            <v>760000</v>
          </cell>
          <cell r="O68">
            <v>44100</v>
          </cell>
          <cell r="Q68">
            <v>200000</v>
          </cell>
          <cell r="R68">
            <v>270000</v>
          </cell>
          <cell r="U68">
            <v>854100</v>
          </cell>
          <cell r="W68">
            <v>66000</v>
          </cell>
          <cell r="Z68">
            <v>0</v>
          </cell>
          <cell r="AA68">
            <v>0</v>
          </cell>
          <cell r="AE68">
            <v>83079692.512475654</v>
          </cell>
        </row>
        <row r="69">
          <cell r="B69" t="str">
            <v>CTV062159</v>
          </cell>
          <cell r="C69" t="str">
            <v>Trương Thị Huệ Phương</v>
          </cell>
          <cell r="D69">
            <v>3670100</v>
          </cell>
          <cell r="E69">
            <v>25</v>
          </cell>
          <cell r="F69">
            <v>2873809.965480546</v>
          </cell>
          <cell r="H69">
            <v>11167727.670845922</v>
          </cell>
          <cell r="L69">
            <v>8000000</v>
          </cell>
          <cell r="M69">
            <v>1065000</v>
          </cell>
          <cell r="N69">
            <v>280000</v>
          </cell>
          <cell r="O69">
            <v>469000</v>
          </cell>
          <cell r="Q69">
            <v>250000</v>
          </cell>
          <cell r="R69">
            <v>80000</v>
          </cell>
          <cell r="U69">
            <v>1040700</v>
          </cell>
          <cell r="Z69">
            <v>1741252</v>
          </cell>
          <cell r="AA69">
            <v>0</v>
          </cell>
          <cell r="AB69">
            <v>212500</v>
          </cell>
          <cell r="AE69">
            <v>27179989.636326469</v>
          </cell>
        </row>
        <row r="70">
          <cell r="B70" t="str">
            <v>CTV058438</v>
          </cell>
          <cell r="C70" t="str">
            <v>Trần Thị Ngọc Tuyền</v>
          </cell>
          <cell r="D70">
            <v>3670100</v>
          </cell>
          <cell r="E70">
            <v>26</v>
          </cell>
          <cell r="F70">
            <v>2955260</v>
          </cell>
          <cell r="H70">
            <v>3585600</v>
          </cell>
          <cell r="L70">
            <v>8000000</v>
          </cell>
          <cell r="M70">
            <v>0</v>
          </cell>
          <cell r="O70">
            <v>168200</v>
          </cell>
          <cell r="R70">
            <v>20000</v>
          </cell>
          <cell r="U70">
            <v>1088800</v>
          </cell>
          <cell r="Z70">
            <v>1974200</v>
          </cell>
          <cell r="AA70">
            <v>0</v>
          </cell>
          <cell r="AC70">
            <v>270000</v>
          </cell>
          <cell r="AE70">
            <v>18062060</v>
          </cell>
        </row>
        <row r="71">
          <cell r="B71" t="str">
            <v>CTV023040</v>
          </cell>
          <cell r="C71" t="str">
            <v>Trần Thị Thảo Phương</v>
          </cell>
          <cell r="D71">
            <v>3670100</v>
          </cell>
          <cell r="E71">
            <v>25</v>
          </cell>
          <cell r="F71">
            <v>3101560</v>
          </cell>
          <cell r="H71">
            <v>4697520</v>
          </cell>
          <cell r="J71">
            <v>10000</v>
          </cell>
          <cell r="L71">
            <v>8000000</v>
          </cell>
          <cell r="M71">
            <v>335000</v>
          </cell>
          <cell r="O71">
            <v>204400</v>
          </cell>
          <cell r="R71">
            <v>20000</v>
          </cell>
          <cell r="U71">
            <v>1058100</v>
          </cell>
          <cell r="Z71">
            <v>1455326</v>
          </cell>
          <cell r="AA71">
            <v>704000</v>
          </cell>
          <cell r="AC71">
            <v>180000</v>
          </cell>
          <cell r="AE71">
            <v>19765906</v>
          </cell>
        </row>
        <row r="72">
          <cell r="B72" t="str">
            <v>CTV023041</v>
          </cell>
          <cell r="C72" t="str">
            <v>Phan Thị Mỹ Hảo</v>
          </cell>
          <cell r="D72">
            <v>3670100</v>
          </cell>
          <cell r="E72">
            <v>26</v>
          </cell>
          <cell r="F72">
            <v>3277120</v>
          </cell>
          <cell r="H72">
            <v>5685060</v>
          </cell>
          <cell r="L72">
            <v>8000000</v>
          </cell>
          <cell r="M72">
            <v>335000</v>
          </cell>
          <cell r="O72">
            <v>197500</v>
          </cell>
          <cell r="R72">
            <v>20000</v>
          </cell>
          <cell r="U72">
            <v>1241500</v>
          </cell>
          <cell r="Z72">
            <v>2569376</v>
          </cell>
          <cell r="AA72">
            <v>902000</v>
          </cell>
          <cell r="AC72">
            <v>464500</v>
          </cell>
          <cell r="AE72">
            <v>22692056</v>
          </cell>
        </row>
        <row r="73">
          <cell r="B73" t="str">
            <v>CTV023042</v>
          </cell>
          <cell r="C73" t="str">
            <v>Nguyễn Thị Mỹ Duyên</v>
          </cell>
          <cell r="D73">
            <v>3670100</v>
          </cell>
          <cell r="E73">
            <v>25</v>
          </cell>
          <cell r="F73">
            <v>1749860</v>
          </cell>
          <cell r="H73">
            <v>7114090</v>
          </cell>
          <cell r="L73">
            <v>8000000</v>
          </cell>
          <cell r="M73">
            <v>0</v>
          </cell>
          <cell r="O73">
            <v>0</v>
          </cell>
          <cell r="R73">
            <v>40000</v>
          </cell>
          <cell r="U73">
            <v>95000</v>
          </cell>
          <cell r="Z73">
            <v>307300</v>
          </cell>
          <cell r="AA73">
            <v>0</v>
          </cell>
          <cell r="AE73">
            <v>17306250</v>
          </cell>
        </row>
        <row r="74">
          <cell r="B74" t="str">
            <v>CTV023043</v>
          </cell>
          <cell r="C74" t="str">
            <v>Võ Phạm Huỳnh Trang</v>
          </cell>
          <cell r="D74">
            <v>3670100</v>
          </cell>
          <cell r="E74">
            <v>25</v>
          </cell>
          <cell r="F74">
            <v>6390000</v>
          </cell>
          <cell r="H74">
            <v>54000</v>
          </cell>
          <cell r="I74">
            <v>1824800</v>
          </cell>
          <cell r="L74">
            <v>8000000</v>
          </cell>
          <cell r="M74">
            <v>0</v>
          </cell>
          <cell r="O74">
            <v>0</v>
          </cell>
          <cell r="U74">
            <v>0</v>
          </cell>
          <cell r="Z74">
            <v>0</v>
          </cell>
          <cell r="AA74">
            <v>0</v>
          </cell>
          <cell r="AE74">
            <v>16268800</v>
          </cell>
        </row>
        <row r="75">
          <cell r="B75" t="str">
            <v>CTV036747</v>
          </cell>
          <cell r="C75" t="str">
            <v>Hà Thị Trúc Huỳnh</v>
          </cell>
          <cell r="D75">
            <v>3670100</v>
          </cell>
          <cell r="E75">
            <v>25</v>
          </cell>
          <cell r="F75">
            <v>2021390</v>
          </cell>
          <cell r="H75">
            <v>6920580</v>
          </cell>
          <cell r="I75">
            <v>1320000</v>
          </cell>
          <cell r="L75">
            <v>8000000</v>
          </cell>
          <cell r="M75">
            <v>234500</v>
          </cell>
          <cell r="O75">
            <v>29800</v>
          </cell>
          <cell r="R75">
            <v>20000</v>
          </cell>
          <cell r="U75">
            <v>447900</v>
          </cell>
          <cell r="Z75">
            <v>1237050</v>
          </cell>
          <cell r="AA75">
            <v>220000</v>
          </cell>
          <cell r="AE75">
            <v>20451220</v>
          </cell>
        </row>
        <row r="76">
          <cell r="B76" t="str">
            <v>CTV023209</v>
          </cell>
          <cell r="C76" t="str">
            <v>Phan Trần Đức Ngân</v>
          </cell>
          <cell r="D76">
            <v>3670100</v>
          </cell>
          <cell r="E76">
            <v>25</v>
          </cell>
          <cell r="F76">
            <v>2202410</v>
          </cell>
          <cell r="H76">
            <v>7740495</v>
          </cell>
          <cell r="L76">
            <v>8000000</v>
          </cell>
          <cell r="M76">
            <v>1412500</v>
          </cell>
          <cell r="O76">
            <v>90000</v>
          </cell>
          <cell r="U76">
            <v>393800</v>
          </cell>
          <cell r="Z76">
            <v>1769350</v>
          </cell>
          <cell r="AA76">
            <v>660000</v>
          </cell>
          <cell r="AC76">
            <v>161250</v>
          </cell>
          <cell r="AE76">
            <v>22429805</v>
          </cell>
        </row>
        <row r="77">
          <cell r="B77" t="str">
            <v>CTV054886</v>
          </cell>
          <cell r="C77" t="str">
            <v>Nguyễn Lê Hữu Duy</v>
          </cell>
          <cell r="D77">
            <v>4194400</v>
          </cell>
          <cell r="E77">
            <v>25</v>
          </cell>
          <cell r="F77">
            <v>13119456.810701907</v>
          </cell>
          <cell r="H77">
            <v>-59218.28986883827</v>
          </cell>
          <cell r="I77">
            <v>1571600</v>
          </cell>
          <cell r="L77">
            <v>8000000</v>
          </cell>
          <cell r="M77">
            <v>0</v>
          </cell>
          <cell r="O77">
            <v>0</v>
          </cell>
          <cell r="U77">
            <v>0</v>
          </cell>
          <cell r="Z77">
            <v>0</v>
          </cell>
          <cell r="AA77">
            <v>0</v>
          </cell>
          <cell r="AE77">
            <v>22631838.520833068</v>
          </cell>
        </row>
        <row r="78">
          <cell r="B78" t="str">
            <v>CTV036722</v>
          </cell>
          <cell r="C78" t="str">
            <v>Nguyễn Thành Long</v>
          </cell>
          <cell r="D78">
            <v>3670100</v>
          </cell>
          <cell r="E78">
            <v>25</v>
          </cell>
          <cell r="F78">
            <v>3409210</v>
          </cell>
          <cell r="H78">
            <v>15391245</v>
          </cell>
          <cell r="L78">
            <v>3000000</v>
          </cell>
          <cell r="M78">
            <v>1700000</v>
          </cell>
          <cell r="O78">
            <v>521400</v>
          </cell>
          <cell r="R78">
            <v>20000</v>
          </cell>
          <cell r="T78">
            <v>300000</v>
          </cell>
          <cell r="U78">
            <v>589400</v>
          </cell>
          <cell r="Z78">
            <v>3899450</v>
          </cell>
          <cell r="AA78">
            <v>770000</v>
          </cell>
          <cell r="AC78">
            <v>1141550</v>
          </cell>
          <cell r="AE78">
            <v>30742255</v>
          </cell>
        </row>
        <row r="79">
          <cell r="B79" t="str">
            <v>CTV059753</v>
          </cell>
          <cell r="C79" t="str">
            <v>Nguyễn Hữu Nhân</v>
          </cell>
          <cell r="D79">
            <v>4194400</v>
          </cell>
          <cell r="E79">
            <v>25</v>
          </cell>
          <cell r="F79">
            <v>2890365.5898659891</v>
          </cell>
          <cell r="H79">
            <v>13360674.610115731</v>
          </cell>
          <cell r="L79">
            <v>3000000</v>
          </cell>
          <cell r="M79">
            <v>752000</v>
          </cell>
          <cell r="O79">
            <v>750500</v>
          </cell>
          <cell r="Q79">
            <v>50000</v>
          </cell>
          <cell r="R79">
            <v>60000</v>
          </cell>
          <cell r="U79">
            <v>110000</v>
          </cell>
          <cell r="X79">
            <v>200000</v>
          </cell>
          <cell r="Y79">
            <v>1580400</v>
          </cell>
          <cell r="Z79">
            <v>318650</v>
          </cell>
          <cell r="AA79">
            <v>0</v>
          </cell>
          <cell r="AB79">
            <v>283333</v>
          </cell>
          <cell r="AE79">
            <v>23355923.199981719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OAT-T3.2022"/>
      <sheetName val="Thuế TNCN"/>
      <sheetName val="Bảng lương (3)"/>
      <sheetName val="Sheet4"/>
      <sheetName val="Bảng lương"/>
      <sheetName val="Bảng lương (2)"/>
      <sheetName val="Bảng lương-T8"/>
      <sheetName val="Thuế TNCN Tháng 6"/>
      <sheetName val="Sheet1"/>
      <sheetName val="Sheet2"/>
      <sheetName val="Sheet3"/>
      <sheetName val="BẢNG LƯƠNG T3.2022"/>
      <sheetName val="Sheet7"/>
      <sheetName val="khen thưởng T2"/>
      <sheetName val="THUE TNCN"/>
      <sheetName val="ĐNTT T2"/>
    </sheetNames>
    <sheetDataSet>
      <sheetData sheetId="0" refreshError="1">
        <row r="10">
          <cell r="B10" t="str">
            <v>CTV028376</v>
          </cell>
          <cell r="C10" t="str">
            <v>Nguyễn Thị Huỳnh Ngân</v>
          </cell>
          <cell r="D10">
            <v>4194400</v>
          </cell>
          <cell r="E10">
            <v>19.5</v>
          </cell>
          <cell r="F10">
            <v>8886122.0166121032</v>
          </cell>
          <cell r="H10">
            <v>0</v>
          </cell>
          <cell r="AG10">
            <v>8886122.0166121032</v>
          </cell>
          <cell r="AH10">
            <v>838880</v>
          </cell>
          <cell r="AI10">
            <v>20972</v>
          </cell>
          <cell r="AJ10">
            <v>83888</v>
          </cell>
          <cell r="AK10">
            <v>300000</v>
          </cell>
          <cell r="AL10">
            <v>10129862.016612103</v>
          </cell>
          <cell r="AM10">
            <v>810388.96132896829</v>
          </cell>
          <cell r="AN10">
            <v>10940250.977941072</v>
          </cell>
          <cell r="AO10">
            <v>440412</v>
          </cell>
          <cell r="AP10">
            <v>41944</v>
          </cell>
          <cell r="AQ10">
            <v>0</v>
          </cell>
          <cell r="AR10">
            <v>8403766.0166121032</v>
          </cell>
          <cell r="AS10">
            <v>125832</v>
          </cell>
          <cell r="AT10">
            <v>20972</v>
          </cell>
          <cell r="AU10">
            <v>0</v>
          </cell>
          <cell r="AV10">
            <v>2389680.9613289684</v>
          </cell>
          <cell r="AW10" t="str">
            <v>P01</v>
          </cell>
        </row>
        <row r="11">
          <cell r="B11" t="str">
            <v>CTV023010</v>
          </cell>
          <cell r="C11" t="str">
            <v>Trà Thị Minh Lý</v>
          </cell>
          <cell r="D11">
            <v>4194400</v>
          </cell>
          <cell r="E11">
            <v>0</v>
          </cell>
          <cell r="F11">
            <v>0</v>
          </cell>
          <cell r="H11">
            <v>0</v>
          </cell>
          <cell r="AG11">
            <v>0</v>
          </cell>
          <cell r="AL11">
            <v>0</v>
          </cell>
          <cell r="AM11">
            <v>0</v>
          </cell>
          <cell r="AN11">
            <v>0</v>
          </cell>
          <cell r="AQ11">
            <v>0</v>
          </cell>
          <cell r="AR11">
            <v>0</v>
          </cell>
          <cell r="AS11">
            <v>0</v>
          </cell>
          <cell r="AT11">
            <v>0</v>
          </cell>
          <cell r="AU11">
            <v>0</v>
          </cell>
          <cell r="AV11">
            <v>0</v>
          </cell>
          <cell r="AW11" t="str">
            <v>P01</v>
          </cell>
        </row>
        <row r="12">
          <cell r="B12" t="str">
            <v>CTV040279</v>
          </cell>
          <cell r="C12" t="str">
            <v>Nguyễn Châu Đoan</v>
          </cell>
          <cell r="D12">
            <v>4194400</v>
          </cell>
          <cell r="E12">
            <v>25</v>
          </cell>
          <cell r="F12">
            <v>5835691.1855675057</v>
          </cell>
          <cell r="H12">
            <v>528988.34249558824</v>
          </cell>
          <cell r="AG12">
            <v>6364679.5280630942</v>
          </cell>
          <cell r="AH12">
            <v>838880</v>
          </cell>
          <cell r="AI12">
            <v>20972</v>
          </cell>
          <cell r="AJ12">
            <v>83888</v>
          </cell>
          <cell r="AK12">
            <v>300000</v>
          </cell>
          <cell r="AL12">
            <v>7608419.5280630942</v>
          </cell>
          <cell r="AM12">
            <v>608673.56224504753</v>
          </cell>
          <cell r="AN12">
            <v>8217093.0903081419</v>
          </cell>
          <cell r="AO12">
            <v>440412</v>
          </cell>
          <cell r="AP12">
            <v>41944</v>
          </cell>
          <cell r="AQ12">
            <v>0</v>
          </cell>
          <cell r="AR12">
            <v>5882323.5280630942</v>
          </cell>
          <cell r="AS12">
            <v>125832</v>
          </cell>
          <cell r="AT12">
            <v>20972</v>
          </cell>
          <cell r="AU12">
            <v>0</v>
          </cell>
          <cell r="AV12">
            <v>2187965.5622450477</v>
          </cell>
          <cell r="AW12" t="str">
            <v>P01</v>
          </cell>
        </row>
        <row r="13">
          <cell r="B13" t="str">
            <v>CTV023011</v>
          </cell>
          <cell r="C13" t="str">
            <v>Nguyễn Thị Thu Hằng</v>
          </cell>
          <cell r="D13">
            <v>4194400</v>
          </cell>
          <cell r="E13">
            <v>25</v>
          </cell>
          <cell r="F13">
            <v>4348936.9569259314</v>
          </cell>
          <cell r="H13">
            <v>0</v>
          </cell>
          <cell r="AG13">
            <v>4348936.9569259314</v>
          </cell>
          <cell r="AH13">
            <v>838880</v>
          </cell>
          <cell r="AI13">
            <v>20972</v>
          </cell>
          <cell r="AJ13">
            <v>83888</v>
          </cell>
          <cell r="AK13">
            <v>300000</v>
          </cell>
          <cell r="AL13">
            <v>5592676.9569259314</v>
          </cell>
          <cell r="AM13">
            <v>447414.15655407449</v>
          </cell>
          <cell r="AN13">
            <v>6040091.1134800054</v>
          </cell>
          <cell r="AO13">
            <v>440412</v>
          </cell>
          <cell r="AP13">
            <v>41944</v>
          </cell>
          <cell r="AQ13">
            <v>0</v>
          </cell>
          <cell r="AR13">
            <v>3866580.9569259314</v>
          </cell>
          <cell r="AS13">
            <v>125832</v>
          </cell>
          <cell r="AT13">
            <v>20972</v>
          </cell>
          <cell r="AU13">
            <v>0</v>
          </cell>
          <cell r="AV13">
            <v>2026706.1565540745</v>
          </cell>
          <cell r="AW13" t="str">
            <v>P01</v>
          </cell>
        </row>
        <row r="14">
          <cell r="B14" t="str">
            <v>CTV023224</v>
          </cell>
          <cell r="C14" t="str">
            <v>Huỳnh Thị Hoàng Linh</v>
          </cell>
          <cell r="D14">
            <v>4194400</v>
          </cell>
          <cell r="E14">
            <v>25</v>
          </cell>
          <cell r="F14">
            <v>2712042.957479327</v>
          </cell>
          <cell r="H14">
            <v>1989690.1158035838</v>
          </cell>
          <cell r="AG14">
            <v>4701733.0732829105</v>
          </cell>
          <cell r="AH14">
            <v>838880</v>
          </cell>
          <cell r="AI14">
            <v>20972</v>
          </cell>
          <cell r="AJ14">
            <v>83888</v>
          </cell>
          <cell r="AK14">
            <v>300000</v>
          </cell>
          <cell r="AL14">
            <v>5945473.0732829105</v>
          </cell>
          <cell r="AM14">
            <v>475637.84586263285</v>
          </cell>
          <cell r="AN14">
            <v>6421110.9191455431</v>
          </cell>
          <cell r="AO14">
            <v>440412</v>
          </cell>
          <cell r="AP14">
            <v>41944</v>
          </cell>
          <cell r="AQ14">
            <v>0</v>
          </cell>
          <cell r="AR14">
            <v>4219377.0732829105</v>
          </cell>
          <cell r="AS14">
            <v>125832</v>
          </cell>
          <cell r="AT14">
            <v>20972</v>
          </cell>
          <cell r="AU14">
            <v>0</v>
          </cell>
          <cell r="AV14">
            <v>2054929.8458626329</v>
          </cell>
          <cell r="AW14" t="str">
            <v>P11</v>
          </cell>
        </row>
        <row r="15">
          <cell r="B15" t="str">
            <v>CTV023225</v>
          </cell>
          <cell r="C15" t="str">
            <v>Nguyễn Thị Diện</v>
          </cell>
          <cell r="D15">
            <v>4194400</v>
          </cell>
          <cell r="E15">
            <v>25</v>
          </cell>
          <cell r="F15">
            <v>2727960.6352301668</v>
          </cell>
          <cell r="H15">
            <v>1836727.505594465</v>
          </cell>
          <cell r="AG15">
            <v>4564688.1408246318</v>
          </cell>
          <cell r="AH15">
            <v>838880</v>
          </cell>
          <cell r="AI15">
            <v>20972</v>
          </cell>
          <cell r="AJ15">
            <v>83888</v>
          </cell>
          <cell r="AK15">
            <v>300000</v>
          </cell>
          <cell r="AL15">
            <v>5808428.1408246318</v>
          </cell>
          <cell r="AM15">
            <v>464674.25126597052</v>
          </cell>
          <cell r="AN15">
            <v>6273102.3920906018</v>
          </cell>
          <cell r="AO15">
            <v>440412</v>
          </cell>
          <cell r="AP15">
            <v>41944</v>
          </cell>
          <cell r="AQ15">
            <v>0</v>
          </cell>
          <cell r="AR15">
            <v>4082332.1408246318</v>
          </cell>
          <cell r="AS15">
            <v>125832</v>
          </cell>
          <cell r="AT15">
            <v>20972</v>
          </cell>
          <cell r="AU15">
            <v>0</v>
          </cell>
          <cell r="AV15">
            <v>2043966.2512659705</v>
          </cell>
          <cell r="AW15" t="str">
            <v>P11</v>
          </cell>
        </row>
        <row r="16">
          <cell r="B16" t="str">
            <v>CTV043657</v>
          </cell>
          <cell r="C16" t="str">
            <v>Võ Ngọc Ẩn</v>
          </cell>
          <cell r="D16">
            <v>4194400</v>
          </cell>
          <cell r="E16">
            <v>25</v>
          </cell>
          <cell r="F16">
            <v>7339735.3055591313</v>
          </cell>
          <cell r="H16">
            <v>183190.51549458114</v>
          </cell>
          <cell r="AG16">
            <v>7522925.8210537126</v>
          </cell>
          <cell r="AH16">
            <v>838880</v>
          </cell>
          <cell r="AI16">
            <v>20972</v>
          </cell>
          <cell r="AJ16">
            <v>83888</v>
          </cell>
          <cell r="AK16">
            <v>300000</v>
          </cell>
          <cell r="AL16">
            <v>8766665.8210537136</v>
          </cell>
          <cell r="AM16">
            <v>701333.26568429708</v>
          </cell>
          <cell r="AN16">
            <v>9467999.0867380109</v>
          </cell>
          <cell r="AO16">
            <v>440412</v>
          </cell>
          <cell r="AP16">
            <v>41944</v>
          </cell>
          <cell r="AQ16">
            <v>0</v>
          </cell>
          <cell r="AR16">
            <v>7040569.8210537126</v>
          </cell>
          <cell r="AS16">
            <v>125832</v>
          </cell>
          <cell r="AT16">
            <v>20972</v>
          </cell>
          <cell r="AU16">
            <v>0</v>
          </cell>
          <cell r="AV16">
            <v>2280625.2656842973</v>
          </cell>
          <cell r="AW16" t="str">
            <v>P01</v>
          </cell>
        </row>
        <row r="17">
          <cell r="B17" t="str">
            <v>CTV023047</v>
          </cell>
          <cell r="C17" t="str">
            <v>Lê Thị Mộng Thủy</v>
          </cell>
          <cell r="D17">
            <v>4194400</v>
          </cell>
          <cell r="E17">
            <v>25</v>
          </cell>
          <cell r="F17">
            <v>4068000</v>
          </cell>
          <cell r="H17">
            <v>0</v>
          </cell>
          <cell r="AG17">
            <v>4068000</v>
          </cell>
          <cell r="AH17">
            <v>838880</v>
          </cell>
          <cell r="AI17">
            <v>20972</v>
          </cell>
          <cell r="AJ17">
            <v>83888</v>
          </cell>
          <cell r="AK17">
            <v>300000</v>
          </cell>
          <cell r="AL17">
            <v>5311740</v>
          </cell>
          <cell r="AM17">
            <v>424939.2</v>
          </cell>
          <cell r="AN17">
            <v>5736679.2000000002</v>
          </cell>
          <cell r="AO17">
            <v>440412</v>
          </cell>
          <cell r="AP17">
            <v>41944</v>
          </cell>
          <cell r="AQ17">
            <v>0</v>
          </cell>
          <cell r="AR17">
            <v>3585644</v>
          </cell>
          <cell r="AS17">
            <v>125832</v>
          </cell>
          <cell r="AT17">
            <v>20972</v>
          </cell>
          <cell r="AU17">
            <v>0</v>
          </cell>
          <cell r="AV17">
            <v>2004231.2</v>
          </cell>
          <cell r="AW17" t="str">
            <v>P01</v>
          </cell>
        </row>
        <row r="18">
          <cell r="B18" t="str">
            <v>CTV028284</v>
          </cell>
          <cell r="C18" t="str">
            <v>Trần Lâm Minh Thu</v>
          </cell>
          <cell r="D18">
            <v>4194400</v>
          </cell>
          <cell r="E18">
            <v>25</v>
          </cell>
          <cell r="F18">
            <v>9955801.7232994027</v>
          </cell>
          <cell r="H18">
            <v>0</v>
          </cell>
          <cell r="AG18">
            <v>9955801.7232994027</v>
          </cell>
          <cell r="AH18">
            <v>838880</v>
          </cell>
          <cell r="AI18">
            <v>20972</v>
          </cell>
          <cell r="AJ18">
            <v>83888</v>
          </cell>
          <cell r="AK18">
            <v>300000</v>
          </cell>
          <cell r="AL18">
            <v>11199541.723299403</v>
          </cell>
          <cell r="AM18">
            <v>895963.33786395227</v>
          </cell>
          <cell r="AN18">
            <v>12095505.061163355</v>
          </cell>
          <cell r="AO18">
            <v>440412</v>
          </cell>
          <cell r="AP18">
            <v>41944</v>
          </cell>
          <cell r="AQ18">
            <v>0</v>
          </cell>
          <cell r="AR18">
            <v>9473445.7232994027</v>
          </cell>
          <cell r="AS18">
            <v>125832</v>
          </cell>
          <cell r="AT18">
            <v>20972</v>
          </cell>
          <cell r="AU18">
            <v>0</v>
          </cell>
          <cell r="AV18">
            <v>2475255.3378639524</v>
          </cell>
          <cell r="AW18" t="str">
            <v>P01</v>
          </cell>
        </row>
        <row r="19">
          <cell r="B19" t="str">
            <v>CTV023013</v>
          </cell>
          <cell r="C19" t="str">
            <v>Phạm Thị Thanh Thúy</v>
          </cell>
          <cell r="D19">
            <v>4194400</v>
          </cell>
          <cell r="E19">
            <v>26.5</v>
          </cell>
          <cell r="F19">
            <v>5904583.6433747532</v>
          </cell>
          <cell r="H19">
            <v>2582614.5431469497</v>
          </cell>
          <cell r="AG19">
            <v>8487198.1865217034</v>
          </cell>
          <cell r="AH19">
            <v>838880</v>
          </cell>
          <cell r="AI19">
            <v>20972</v>
          </cell>
          <cell r="AJ19">
            <v>83888</v>
          </cell>
          <cell r="AK19">
            <v>300000</v>
          </cell>
          <cell r="AL19">
            <v>9730938.1865217034</v>
          </cell>
          <cell r="AM19">
            <v>778475.05492173624</v>
          </cell>
          <cell r="AN19">
            <v>10509413.24144344</v>
          </cell>
          <cell r="AO19">
            <v>440412</v>
          </cell>
          <cell r="AP19">
            <v>41944</v>
          </cell>
          <cell r="AQ19">
            <v>0</v>
          </cell>
          <cell r="AR19">
            <v>8004842.1865217034</v>
          </cell>
          <cell r="AS19">
            <v>125832</v>
          </cell>
          <cell r="AT19">
            <v>20972</v>
          </cell>
          <cell r="AU19">
            <v>0</v>
          </cell>
          <cell r="AV19">
            <v>2357767.054921736</v>
          </cell>
          <cell r="AW19" t="str">
            <v>P02</v>
          </cell>
        </row>
        <row r="20">
          <cell r="B20" t="str">
            <v>CTV023014</v>
          </cell>
          <cell r="C20" t="str">
            <v>Trần Thị Thanh Trúc</v>
          </cell>
          <cell r="D20">
            <v>4194400</v>
          </cell>
          <cell r="E20">
            <v>24</v>
          </cell>
          <cell r="F20">
            <v>3020197.5095900386</v>
          </cell>
          <cell r="H20">
            <v>5774004.2743421653</v>
          </cell>
          <cell r="AG20">
            <v>8794201.7839322034</v>
          </cell>
          <cell r="AH20">
            <v>838880</v>
          </cell>
          <cell r="AI20">
            <v>20972</v>
          </cell>
          <cell r="AJ20">
            <v>83888</v>
          </cell>
          <cell r="AK20">
            <v>300000</v>
          </cell>
          <cell r="AL20">
            <v>10037941.783932203</v>
          </cell>
          <cell r="AM20">
            <v>803035.34271457628</v>
          </cell>
          <cell r="AN20">
            <v>10840977.126646779</v>
          </cell>
          <cell r="AO20">
            <v>440412</v>
          </cell>
          <cell r="AP20">
            <v>41944</v>
          </cell>
          <cell r="AQ20">
            <v>0</v>
          </cell>
          <cell r="AR20">
            <v>8311845.7839322034</v>
          </cell>
          <cell r="AS20">
            <v>125832</v>
          </cell>
          <cell r="AT20">
            <v>20972</v>
          </cell>
          <cell r="AU20">
            <v>0</v>
          </cell>
          <cell r="AV20">
            <v>2382327.3427145761</v>
          </cell>
          <cell r="AW20" t="str">
            <v>P02</v>
          </cell>
        </row>
        <row r="21">
          <cell r="B21" t="str">
            <v>CTV023015</v>
          </cell>
          <cell r="C21" t="str">
            <v>Đào Thị Thúy An</v>
          </cell>
          <cell r="D21">
            <v>4194400</v>
          </cell>
          <cell r="E21">
            <v>23</v>
          </cell>
          <cell r="F21">
            <v>2971883.5270484784</v>
          </cell>
          <cell r="H21">
            <v>3817905.7422086508</v>
          </cell>
          <cell r="AG21">
            <v>6789789.2692571292</v>
          </cell>
          <cell r="AH21">
            <v>838880</v>
          </cell>
          <cell r="AI21">
            <v>20972</v>
          </cell>
          <cell r="AJ21">
            <v>83888</v>
          </cell>
          <cell r="AK21">
            <v>300000</v>
          </cell>
          <cell r="AL21">
            <v>8033529.2692571292</v>
          </cell>
          <cell r="AM21">
            <v>642682.34154057037</v>
          </cell>
          <cell r="AN21">
            <v>8676211.6107976995</v>
          </cell>
          <cell r="AO21">
            <v>440412</v>
          </cell>
          <cell r="AP21">
            <v>41944</v>
          </cell>
          <cell r="AQ21">
            <v>0</v>
          </cell>
          <cell r="AR21">
            <v>6307433.2692571292</v>
          </cell>
          <cell r="AS21">
            <v>125832</v>
          </cell>
          <cell r="AT21">
            <v>20972</v>
          </cell>
          <cell r="AU21">
            <v>0</v>
          </cell>
          <cell r="AV21">
            <v>2221974.3415405704</v>
          </cell>
          <cell r="AW21" t="str">
            <v>P02</v>
          </cell>
        </row>
        <row r="22">
          <cell r="B22" t="str">
            <v>CTV023017</v>
          </cell>
          <cell r="C22" t="str">
            <v>Nguyễn Thị Thanh Thúy</v>
          </cell>
          <cell r="D22">
            <v>4194400</v>
          </cell>
          <cell r="E22">
            <v>0</v>
          </cell>
          <cell r="F22">
            <v>0</v>
          </cell>
          <cell r="H22">
            <v>0</v>
          </cell>
          <cell r="AG22">
            <v>0</v>
          </cell>
          <cell r="AU22">
            <v>0</v>
          </cell>
          <cell r="AV22">
            <v>0</v>
          </cell>
          <cell r="AW22" t="str">
            <v>P02</v>
          </cell>
        </row>
        <row r="23">
          <cell r="B23" t="str">
            <v>CTV023018</v>
          </cell>
          <cell r="C23" t="str">
            <v>Võ Thị Tuyết Vân</v>
          </cell>
          <cell r="D23">
            <v>4194400</v>
          </cell>
          <cell r="E23">
            <v>23</v>
          </cell>
          <cell r="F23">
            <v>2842671.1997855012</v>
          </cell>
          <cell r="H23">
            <v>6573090.1087440578</v>
          </cell>
          <cell r="AG23">
            <v>9415761.3085295595</v>
          </cell>
          <cell r="AH23">
            <v>838880</v>
          </cell>
          <cell r="AI23">
            <v>20972</v>
          </cell>
          <cell r="AJ23">
            <v>83888</v>
          </cell>
          <cell r="AK23">
            <v>300000</v>
          </cell>
          <cell r="AL23">
            <v>10659501.30852956</v>
          </cell>
          <cell r="AM23">
            <v>852760.10468236473</v>
          </cell>
          <cell r="AN23">
            <v>11512261.413211925</v>
          </cell>
          <cell r="AO23">
            <v>440412</v>
          </cell>
          <cell r="AP23">
            <v>41944</v>
          </cell>
          <cell r="AQ23">
            <v>0</v>
          </cell>
          <cell r="AR23">
            <v>8933405.3085295595</v>
          </cell>
          <cell r="AS23">
            <v>125832</v>
          </cell>
          <cell r="AT23">
            <v>20972</v>
          </cell>
          <cell r="AU23">
            <v>0</v>
          </cell>
          <cell r="AV23">
            <v>2432052.1046823645</v>
          </cell>
          <cell r="AW23" t="str">
            <v>P02</v>
          </cell>
        </row>
        <row r="24">
          <cell r="B24" t="str">
            <v>CTV028578</v>
          </cell>
          <cell r="C24" t="str">
            <v>Hồ Như Gương</v>
          </cell>
          <cell r="D24">
            <v>4194400</v>
          </cell>
          <cell r="E24">
            <v>25.5</v>
          </cell>
          <cell r="F24">
            <v>2556156.9088980295</v>
          </cell>
          <cell r="H24">
            <v>4204056.6420738772</v>
          </cell>
          <cell r="AG24">
            <v>6760213.5509719066</v>
          </cell>
          <cell r="AH24">
            <v>838880</v>
          </cell>
          <cell r="AI24">
            <v>20972</v>
          </cell>
          <cell r="AJ24">
            <v>83888</v>
          </cell>
          <cell r="AK24">
            <v>300000</v>
          </cell>
          <cell r="AL24">
            <v>8003953.5509719066</v>
          </cell>
          <cell r="AM24">
            <v>640316.2840777525</v>
          </cell>
          <cell r="AN24">
            <v>8644269.835049659</v>
          </cell>
          <cell r="AO24">
            <v>440412</v>
          </cell>
          <cell r="AP24">
            <v>41944</v>
          </cell>
          <cell r="AQ24">
            <v>0</v>
          </cell>
          <cell r="AR24">
            <v>6277857.5509719066</v>
          </cell>
          <cell r="AS24">
            <v>125832</v>
          </cell>
          <cell r="AT24">
            <v>20972</v>
          </cell>
          <cell r="AU24">
            <v>0</v>
          </cell>
          <cell r="AV24">
            <v>2219608.2840777524</v>
          </cell>
          <cell r="AW24" t="str">
            <v>P02</v>
          </cell>
        </row>
        <row r="25">
          <cell r="B25" t="str">
            <v>CTV036515</v>
          </cell>
          <cell r="C25" t="str">
            <v>Huỳnh Thy Nga</v>
          </cell>
          <cell r="D25">
            <v>4194400</v>
          </cell>
          <cell r="E25">
            <v>25</v>
          </cell>
          <cell r="F25">
            <v>6887471.3157047387</v>
          </cell>
          <cell r="H25">
            <v>366106.07391756837</v>
          </cell>
          <cell r="AG25">
            <v>7253577.3896223074</v>
          </cell>
          <cell r="AH25">
            <v>838880</v>
          </cell>
          <cell r="AI25">
            <v>20972</v>
          </cell>
          <cell r="AJ25">
            <v>83888</v>
          </cell>
          <cell r="AK25">
            <v>300000</v>
          </cell>
          <cell r="AL25">
            <v>8497317.3896223083</v>
          </cell>
          <cell r="AM25">
            <v>679785.39116978471</v>
          </cell>
          <cell r="AN25">
            <v>9177102.7807920929</v>
          </cell>
          <cell r="AO25">
            <v>440412</v>
          </cell>
          <cell r="AP25">
            <v>41944</v>
          </cell>
          <cell r="AQ25">
            <v>0</v>
          </cell>
          <cell r="AR25">
            <v>6771221.3896223074</v>
          </cell>
          <cell r="AS25">
            <v>125832</v>
          </cell>
          <cell r="AT25">
            <v>20972</v>
          </cell>
          <cell r="AU25">
            <v>0</v>
          </cell>
          <cell r="AV25">
            <v>2259077.3911697846</v>
          </cell>
          <cell r="AW25" t="str">
            <v>P02</v>
          </cell>
        </row>
        <row r="26">
          <cell r="B26" t="str">
            <v>CTV036516</v>
          </cell>
          <cell r="C26" t="str">
            <v>Nguyễn Dương Ngọc Linh</v>
          </cell>
          <cell r="D26">
            <v>4194400</v>
          </cell>
          <cell r="E26">
            <v>25</v>
          </cell>
          <cell r="F26">
            <v>8618929.5570455361</v>
          </cell>
          <cell r="H26">
            <v>0</v>
          </cell>
          <cell r="AG26">
            <v>8618929.5570455361</v>
          </cell>
          <cell r="AH26">
            <v>838880</v>
          </cell>
          <cell r="AI26">
            <v>20972</v>
          </cell>
          <cell r="AJ26">
            <v>83888</v>
          </cell>
          <cell r="AK26">
            <v>300000</v>
          </cell>
          <cell r="AL26">
            <v>9862669.5570455361</v>
          </cell>
          <cell r="AM26">
            <v>789013.56456364295</v>
          </cell>
          <cell r="AN26">
            <v>10651683.121609179</v>
          </cell>
          <cell r="AO26">
            <v>440412</v>
          </cell>
          <cell r="AP26">
            <v>41944</v>
          </cell>
          <cell r="AQ26">
            <v>0</v>
          </cell>
          <cell r="AR26">
            <v>8136573.5570455361</v>
          </cell>
          <cell r="AS26">
            <v>125832</v>
          </cell>
          <cell r="AT26">
            <v>20972</v>
          </cell>
          <cell r="AU26">
            <v>0</v>
          </cell>
          <cell r="AV26">
            <v>2368305.5645636432</v>
          </cell>
          <cell r="AW26" t="str">
            <v>P02</v>
          </cell>
        </row>
        <row r="27">
          <cell r="B27" t="str">
            <v>CTV023012</v>
          </cell>
          <cell r="C27" t="str">
            <v>Lê Thị Hồng Nhung</v>
          </cell>
          <cell r="D27">
            <v>4194400</v>
          </cell>
          <cell r="E27">
            <v>23</v>
          </cell>
          <cell r="F27">
            <v>3126938.1277638027</v>
          </cell>
          <cell r="H27">
            <v>8999531.6497279331</v>
          </cell>
          <cell r="AG27">
            <v>12126469.777491735</v>
          </cell>
          <cell r="AH27">
            <v>838880</v>
          </cell>
          <cell r="AI27">
            <v>20972</v>
          </cell>
          <cell r="AJ27">
            <v>83888</v>
          </cell>
          <cell r="AK27">
            <v>300000</v>
          </cell>
          <cell r="AL27">
            <v>13370209.777491735</v>
          </cell>
          <cell r="AM27">
            <v>1069616.7821993388</v>
          </cell>
          <cell r="AN27">
            <v>14439826.559691073</v>
          </cell>
          <cell r="AO27">
            <v>440412</v>
          </cell>
          <cell r="AP27">
            <v>41944</v>
          </cell>
          <cell r="AQ27">
            <v>0</v>
          </cell>
          <cell r="AR27">
            <v>11644113.777491735</v>
          </cell>
          <cell r="AS27">
            <v>125832</v>
          </cell>
          <cell r="AT27">
            <v>20972</v>
          </cell>
          <cell r="AU27">
            <v>0</v>
          </cell>
          <cell r="AV27">
            <v>2648908.782199339</v>
          </cell>
          <cell r="AW27" t="str">
            <v>P02</v>
          </cell>
        </row>
        <row r="28">
          <cell r="B28" t="str">
            <v>CTV048323</v>
          </cell>
          <cell r="C28" t="str">
            <v>Lê Thị Ngọc Hân</v>
          </cell>
          <cell r="D28">
            <v>4194400</v>
          </cell>
          <cell r="E28">
            <v>25</v>
          </cell>
          <cell r="F28">
            <v>5267814.8190892404</v>
          </cell>
          <cell r="H28">
            <v>0</v>
          </cell>
          <cell r="I28">
            <v>3996700</v>
          </cell>
          <cell r="AG28">
            <v>9264514.8190892413</v>
          </cell>
          <cell r="AH28">
            <v>838880</v>
          </cell>
          <cell r="AI28">
            <v>20972</v>
          </cell>
          <cell r="AJ28">
            <v>83888</v>
          </cell>
          <cell r="AK28">
            <v>300000</v>
          </cell>
          <cell r="AL28">
            <v>10508254.819089241</v>
          </cell>
          <cell r="AM28">
            <v>840660.3855271393</v>
          </cell>
          <cell r="AN28">
            <v>11348915.204616381</v>
          </cell>
          <cell r="AO28">
            <v>440412</v>
          </cell>
          <cell r="AP28">
            <v>41944</v>
          </cell>
          <cell r="AQ28">
            <v>0</v>
          </cell>
          <cell r="AR28">
            <v>8782158.8190892413</v>
          </cell>
          <cell r="AS28">
            <v>125832</v>
          </cell>
          <cell r="AT28">
            <v>20972</v>
          </cell>
          <cell r="AU28">
            <v>0</v>
          </cell>
          <cell r="AV28">
            <v>2419952.3855271395</v>
          </cell>
          <cell r="AW28" t="str">
            <v>P02</v>
          </cell>
        </row>
        <row r="29">
          <cell r="B29" t="str">
            <v>CTV055531</v>
          </cell>
          <cell r="C29" t="str">
            <v>Nguyễn Thị Thanh Trúc</v>
          </cell>
          <cell r="D29">
            <v>4194400</v>
          </cell>
          <cell r="E29">
            <v>23</v>
          </cell>
          <cell r="F29">
            <v>2868513.4732378479</v>
          </cell>
          <cell r="H29">
            <v>8694500.8548711874</v>
          </cell>
          <cell r="AG29">
            <v>11563014.328109035</v>
          </cell>
          <cell r="AH29">
            <v>838880</v>
          </cell>
          <cell r="AI29">
            <v>20972</v>
          </cell>
          <cell r="AJ29">
            <v>83888</v>
          </cell>
          <cell r="AK29">
            <v>300000</v>
          </cell>
          <cell r="AL29">
            <v>12806754.328109035</v>
          </cell>
          <cell r="AM29">
            <v>1024540.3462487229</v>
          </cell>
          <cell r="AN29">
            <v>13831294.674357759</v>
          </cell>
          <cell r="AO29">
            <v>440412</v>
          </cell>
          <cell r="AP29">
            <v>41944</v>
          </cell>
          <cell r="AQ29">
            <v>6130.116405451764</v>
          </cell>
          <cell r="AR29">
            <v>11074528.211703584</v>
          </cell>
          <cell r="AS29">
            <v>125832</v>
          </cell>
          <cell r="AT29">
            <v>20972</v>
          </cell>
          <cell r="AU29">
            <v>0</v>
          </cell>
          <cell r="AV29">
            <v>2609962.4626541743</v>
          </cell>
          <cell r="AW29" t="str">
            <v>P02</v>
          </cell>
        </row>
        <row r="30">
          <cell r="B30" t="str">
            <v>CTV023036</v>
          </cell>
          <cell r="C30" t="str">
            <v>Từ Thị Trâm (TS)</v>
          </cell>
          <cell r="D30">
            <v>4194400</v>
          </cell>
          <cell r="E30">
            <v>10</v>
          </cell>
          <cell r="F30">
            <v>1067406.1817376388</v>
          </cell>
          <cell r="H30">
            <v>1719477.4258318518</v>
          </cell>
          <cell r="AG30">
            <v>2786883.6075694906</v>
          </cell>
          <cell r="AL30">
            <v>2786883.6075694906</v>
          </cell>
          <cell r="AM30">
            <v>222950.68860555926</v>
          </cell>
          <cell r="AN30">
            <v>3009834.2961750496</v>
          </cell>
          <cell r="AQ30">
            <v>0</v>
          </cell>
          <cell r="AR30">
            <v>2786883.6075694906</v>
          </cell>
          <cell r="AS30">
            <v>0</v>
          </cell>
          <cell r="AT30">
            <v>0</v>
          </cell>
          <cell r="AU30">
            <v>0</v>
          </cell>
          <cell r="AV30">
            <v>222950.68860555926</v>
          </cell>
          <cell r="AW30" t="str">
            <v>P02</v>
          </cell>
        </row>
        <row r="31">
          <cell r="B31" t="str">
            <v>CTV020462</v>
          </cell>
          <cell r="C31" t="str">
            <v>Lê Trang Mỹ Nhiên</v>
          </cell>
          <cell r="D31">
            <v>3670100</v>
          </cell>
          <cell r="E31">
            <v>25</v>
          </cell>
          <cell r="F31">
            <v>8627302.9287496153</v>
          </cell>
          <cell r="H31">
            <v>0</v>
          </cell>
          <cell r="AG31">
            <v>8627302.9287496153</v>
          </cell>
          <cell r="AH31">
            <v>734020</v>
          </cell>
          <cell r="AI31">
            <v>18350.5</v>
          </cell>
          <cell r="AJ31">
            <v>73402</v>
          </cell>
          <cell r="AK31">
            <v>300000</v>
          </cell>
          <cell r="AL31">
            <v>9753075.4287496153</v>
          </cell>
          <cell r="AM31">
            <v>780246.03429996921</v>
          </cell>
          <cell r="AN31">
            <v>10533321.463049585</v>
          </cell>
          <cell r="AO31">
            <v>385360.5</v>
          </cell>
          <cell r="AP31">
            <v>36701</v>
          </cell>
          <cell r="AQ31">
            <v>0</v>
          </cell>
          <cell r="AR31">
            <v>8205241.4287496153</v>
          </cell>
          <cell r="AS31">
            <v>110103</v>
          </cell>
          <cell r="AT31">
            <v>18350.5</v>
          </cell>
          <cell r="AU31">
            <v>0</v>
          </cell>
          <cell r="AV31">
            <v>2199626.5342999692</v>
          </cell>
          <cell r="AW31" t="str">
            <v>P03</v>
          </cell>
        </row>
        <row r="32">
          <cell r="B32" t="str">
            <v>CTV023024</v>
          </cell>
          <cell r="C32" t="str">
            <v>Bùi Thị Thu Trang</v>
          </cell>
          <cell r="D32">
            <v>3670100</v>
          </cell>
          <cell r="E32">
            <v>25</v>
          </cell>
          <cell r="F32">
            <v>7033555.2115057129</v>
          </cell>
          <cell r="H32">
            <v>0</v>
          </cell>
          <cell r="AG32">
            <v>7033555.2115057129</v>
          </cell>
          <cell r="AH32">
            <v>734020</v>
          </cell>
          <cell r="AI32">
            <v>18350.5</v>
          </cell>
          <cell r="AJ32">
            <v>73402</v>
          </cell>
          <cell r="AK32">
            <v>300000</v>
          </cell>
          <cell r="AL32">
            <v>8159327.7115057129</v>
          </cell>
          <cell r="AM32">
            <v>652746.21692045708</v>
          </cell>
          <cell r="AN32">
            <v>8812073.9284261707</v>
          </cell>
          <cell r="AO32">
            <v>385360.5</v>
          </cell>
          <cell r="AP32">
            <v>36701</v>
          </cell>
          <cell r="AQ32">
            <v>0</v>
          </cell>
          <cell r="AR32">
            <v>6611493.7115057129</v>
          </cell>
          <cell r="AS32">
            <v>110103</v>
          </cell>
          <cell r="AT32">
            <v>18350.5</v>
          </cell>
          <cell r="AU32">
            <v>0</v>
          </cell>
          <cell r="AV32">
            <v>2072126.7169204571</v>
          </cell>
          <cell r="AW32" t="str">
            <v>P03</v>
          </cell>
        </row>
        <row r="33">
          <cell r="B33" t="str">
            <v>CTV023026</v>
          </cell>
          <cell r="C33" t="str">
            <v>Lê Thanh Quyên</v>
          </cell>
          <cell r="D33">
            <v>3670100</v>
          </cell>
          <cell r="E33">
            <v>0</v>
          </cell>
          <cell r="F33">
            <v>0</v>
          </cell>
          <cell r="H33">
            <v>0</v>
          </cell>
          <cell r="AG33">
            <v>0</v>
          </cell>
          <cell r="AL33">
            <v>0</v>
          </cell>
          <cell r="AM33">
            <v>0</v>
          </cell>
          <cell r="AN33">
            <v>0</v>
          </cell>
          <cell r="AQ33">
            <v>0</v>
          </cell>
          <cell r="AR33">
            <v>0</v>
          </cell>
          <cell r="AS33">
            <v>0</v>
          </cell>
          <cell r="AT33">
            <v>0</v>
          </cell>
          <cell r="AU33">
            <v>0</v>
          </cell>
          <cell r="AV33">
            <v>0</v>
          </cell>
          <cell r="AW33" t="str">
            <v>P03</v>
          </cell>
        </row>
        <row r="34">
          <cell r="B34" t="str">
            <v>CTV023027</v>
          </cell>
          <cell r="C34" t="str">
            <v>Lê Thị Kim Loan</v>
          </cell>
          <cell r="D34">
            <v>3670100</v>
          </cell>
          <cell r="E34">
            <v>27</v>
          </cell>
          <cell r="F34">
            <v>3735102.0692015868</v>
          </cell>
          <cell r="H34">
            <v>4570678.7110536145</v>
          </cell>
          <cell r="AG34">
            <v>8305780.7802552013</v>
          </cell>
          <cell r="AH34">
            <v>734020</v>
          </cell>
          <cell r="AI34">
            <v>18350.5</v>
          </cell>
          <cell r="AJ34">
            <v>73402</v>
          </cell>
          <cell r="AK34">
            <v>300000</v>
          </cell>
          <cell r="AL34">
            <v>9431553.2802552022</v>
          </cell>
          <cell r="AM34">
            <v>754524.26242041623</v>
          </cell>
          <cell r="AN34">
            <v>10186077.542675618</v>
          </cell>
          <cell r="AO34">
            <v>385360.5</v>
          </cell>
          <cell r="AP34">
            <v>36701</v>
          </cell>
          <cell r="AQ34">
            <v>0</v>
          </cell>
          <cell r="AR34">
            <v>7883719.2802552013</v>
          </cell>
          <cell r="AS34">
            <v>110103</v>
          </cell>
          <cell r="AT34">
            <v>18350.5</v>
          </cell>
          <cell r="AU34">
            <v>0</v>
          </cell>
          <cell r="AV34">
            <v>2173904.7624204163</v>
          </cell>
          <cell r="AW34" t="str">
            <v>P03</v>
          </cell>
        </row>
        <row r="35">
          <cell r="B35" t="str">
            <v>CTV028599</v>
          </cell>
          <cell r="C35" t="str">
            <v>Nguyễn Thị Trúc Mai</v>
          </cell>
          <cell r="D35">
            <v>3670100</v>
          </cell>
          <cell r="E35">
            <v>27</v>
          </cell>
          <cell r="F35">
            <v>3562712.7429307443</v>
          </cell>
          <cell r="H35">
            <v>8953237.4225232247</v>
          </cell>
          <cell r="AG35">
            <v>12515950.165453969</v>
          </cell>
          <cell r="AH35">
            <v>734020</v>
          </cell>
          <cell r="AI35">
            <v>18350.5</v>
          </cell>
          <cell r="AJ35">
            <v>73402</v>
          </cell>
          <cell r="AK35">
            <v>300000</v>
          </cell>
          <cell r="AL35">
            <v>13641722.665453969</v>
          </cell>
          <cell r="AM35">
            <v>1091337.8132363176</v>
          </cell>
          <cell r="AN35">
            <v>14733060.478690285</v>
          </cell>
          <cell r="AO35">
            <v>385360.5</v>
          </cell>
          <cell r="AP35">
            <v>36701</v>
          </cell>
          <cell r="AQ35">
            <v>0</v>
          </cell>
          <cell r="AR35">
            <v>12093888.665453969</v>
          </cell>
          <cell r="AS35">
            <v>110103</v>
          </cell>
          <cell r="AT35">
            <v>18350.5</v>
          </cell>
          <cell r="AU35">
            <v>0</v>
          </cell>
          <cell r="AV35">
            <v>2510718.3132363176</v>
          </cell>
          <cell r="AW35" t="str">
            <v>P03</v>
          </cell>
        </row>
        <row r="36">
          <cell r="B36" t="str">
            <v>CTV028603</v>
          </cell>
          <cell r="C36" t="str">
            <v>Lữ Thị Tuyết Loan</v>
          </cell>
          <cell r="D36">
            <v>3670100</v>
          </cell>
          <cell r="E36">
            <v>27</v>
          </cell>
          <cell r="F36">
            <v>3763833.6235800604</v>
          </cell>
          <cell r="H36">
            <v>6445707.2161462763</v>
          </cell>
          <cell r="AG36">
            <v>10209540.839726336</v>
          </cell>
          <cell r="AH36">
            <v>734020</v>
          </cell>
          <cell r="AI36">
            <v>18350.5</v>
          </cell>
          <cell r="AJ36">
            <v>73402</v>
          </cell>
          <cell r="AK36">
            <v>300000</v>
          </cell>
          <cell r="AL36">
            <v>11335313.339726336</v>
          </cell>
          <cell r="AM36">
            <v>906825.06717810687</v>
          </cell>
          <cell r="AN36">
            <v>12242138.406904444</v>
          </cell>
          <cell r="AO36">
            <v>385360.5</v>
          </cell>
          <cell r="AP36">
            <v>36701</v>
          </cell>
          <cell r="AQ36">
            <v>0</v>
          </cell>
          <cell r="AR36">
            <v>9787479.3397263363</v>
          </cell>
          <cell r="AS36">
            <v>110103</v>
          </cell>
          <cell r="AT36">
            <v>18350.5</v>
          </cell>
          <cell r="AU36">
            <v>0</v>
          </cell>
          <cell r="AV36">
            <v>2326205.5671781069</v>
          </cell>
          <cell r="AW36" t="str">
            <v>P03</v>
          </cell>
        </row>
        <row r="37">
          <cell r="B37" t="str">
            <v>CTV023023</v>
          </cell>
          <cell r="C37" t="str">
            <v>Dương Thi Kim Thoa</v>
          </cell>
          <cell r="D37">
            <v>3670100</v>
          </cell>
          <cell r="E37">
            <v>25</v>
          </cell>
          <cell r="F37">
            <v>6337340.355544487</v>
          </cell>
          <cell r="H37">
            <v>605306.88246980018</v>
          </cell>
          <cell r="AG37">
            <v>6942647.2380142873</v>
          </cell>
          <cell r="AH37">
            <v>734020</v>
          </cell>
          <cell r="AI37">
            <v>18350.5</v>
          </cell>
          <cell r="AJ37">
            <v>73402</v>
          </cell>
          <cell r="AK37">
            <v>300000</v>
          </cell>
          <cell r="AL37">
            <v>8068419.7380142873</v>
          </cell>
          <cell r="AM37">
            <v>645473.57904114295</v>
          </cell>
          <cell r="AN37">
            <v>8713893.3170554303</v>
          </cell>
          <cell r="AO37">
            <v>385360.5</v>
          </cell>
          <cell r="AP37">
            <v>36701</v>
          </cell>
          <cell r="AQ37">
            <v>0</v>
          </cell>
          <cell r="AR37">
            <v>6520585.7380142873</v>
          </cell>
          <cell r="AS37">
            <v>110103</v>
          </cell>
          <cell r="AT37">
            <v>18350.5</v>
          </cell>
          <cell r="AU37">
            <v>0</v>
          </cell>
          <cell r="AV37">
            <v>2064854.0790411429</v>
          </cell>
          <cell r="AW37" t="str">
            <v>P03</v>
          </cell>
        </row>
        <row r="38">
          <cell r="B38" t="str">
            <v>CTV023207</v>
          </cell>
          <cell r="C38" t="str">
            <v>Nguyễn Thị Ngọc Diệp</v>
          </cell>
          <cell r="D38">
            <v>3670100</v>
          </cell>
          <cell r="E38">
            <v>27</v>
          </cell>
          <cell r="F38">
            <v>3648907.4060661653</v>
          </cell>
          <cell r="H38">
            <v>4181806.0581918559</v>
          </cell>
          <cell r="AG38">
            <v>7830713.4642580207</v>
          </cell>
          <cell r="AH38">
            <v>734020</v>
          </cell>
          <cell r="AI38">
            <v>18350.5</v>
          </cell>
          <cell r="AJ38">
            <v>73402</v>
          </cell>
          <cell r="AK38">
            <v>300000</v>
          </cell>
          <cell r="AL38">
            <v>8956485.9642580207</v>
          </cell>
          <cell r="AM38">
            <v>716518.87714064168</v>
          </cell>
          <cell r="AN38">
            <v>9673004.841398662</v>
          </cell>
          <cell r="AO38">
            <v>385360.5</v>
          </cell>
          <cell r="AP38">
            <v>36701</v>
          </cell>
          <cell r="AQ38">
            <v>0</v>
          </cell>
          <cell r="AR38">
            <v>7408651.9642580207</v>
          </cell>
          <cell r="AS38">
            <v>110103</v>
          </cell>
          <cell r="AT38">
            <v>18350.5</v>
          </cell>
          <cell r="AU38">
            <v>0</v>
          </cell>
          <cell r="AV38">
            <v>2135899.3771406417</v>
          </cell>
          <cell r="AW38" t="str">
            <v>P03</v>
          </cell>
        </row>
        <row r="39">
          <cell r="B39" t="str">
            <v>CTV055530</v>
          </cell>
          <cell r="C39" t="str">
            <v>Phạm Trung Quân</v>
          </cell>
          <cell r="D39">
            <v>3670100</v>
          </cell>
          <cell r="E39">
            <v>25</v>
          </cell>
          <cell r="F39">
            <v>2562744.673318218</v>
          </cell>
          <cell r="H39">
            <v>6686164.5994750755</v>
          </cell>
          <cell r="AG39">
            <v>9248909.272793293</v>
          </cell>
          <cell r="AH39">
            <v>734020</v>
          </cell>
          <cell r="AI39">
            <v>18350.5</v>
          </cell>
          <cell r="AJ39">
            <v>73402</v>
          </cell>
          <cell r="AK39">
            <v>300000</v>
          </cell>
          <cell r="AL39">
            <v>10374681.772793293</v>
          </cell>
          <cell r="AM39">
            <v>829974.54182346351</v>
          </cell>
          <cell r="AN39">
            <v>11204656.314616757</v>
          </cell>
          <cell r="AO39">
            <v>385360.5</v>
          </cell>
          <cell r="AP39">
            <v>36701</v>
          </cell>
          <cell r="AQ39">
            <v>0</v>
          </cell>
          <cell r="AR39">
            <v>8826847.772793293</v>
          </cell>
          <cell r="AS39">
            <v>110103</v>
          </cell>
          <cell r="AT39">
            <v>18350.5</v>
          </cell>
          <cell r="AU39">
            <v>0</v>
          </cell>
          <cell r="AV39">
            <v>2249355.0418234635</v>
          </cell>
          <cell r="AW39" t="str">
            <v>P03</v>
          </cell>
        </row>
        <row r="40">
          <cell r="B40" t="str">
            <v>CTV023069</v>
          </cell>
          <cell r="C40" t="str">
            <v>Nguyễn Lê Thanh</v>
          </cell>
          <cell r="D40">
            <v>3670100</v>
          </cell>
          <cell r="E40">
            <v>25</v>
          </cell>
          <cell r="F40">
            <v>2162633.7210763623</v>
          </cell>
          <cell r="H40">
            <v>10061454.519978641</v>
          </cell>
          <cell r="AG40">
            <v>12224088.241055002</v>
          </cell>
          <cell r="AH40">
            <v>734020</v>
          </cell>
          <cell r="AI40">
            <v>18350.5</v>
          </cell>
          <cell r="AJ40">
            <v>73402</v>
          </cell>
          <cell r="AK40">
            <v>300000</v>
          </cell>
          <cell r="AL40">
            <v>13349860.741055002</v>
          </cell>
          <cell r="AM40">
            <v>1067988.8592844002</v>
          </cell>
          <cell r="AN40">
            <v>14417849.600339403</v>
          </cell>
          <cell r="AO40">
            <v>385360.5</v>
          </cell>
          <cell r="AP40">
            <v>36701</v>
          </cell>
          <cell r="AQ40">
            <v>41936.387052750128</v>
          </cell>
          <cell r="AR40">
            <v>11760090.354002252</v>
          </cell>
          <cell r="AS40">
            <v>110103</v>
          </cell>
          <cell r="AT40">
            <v>18350.5</v>
          </cell>
          <cell r="AU40">
            <v>0</v>
          </cell>
          <cell r="AV40">
            <v>2529305.7463371502</v>
          </cell>
          <cell r="AW40" t="str">
            <v>P03</v>
          </cell>
        </row>
        <row r="41">
          <cell r="B41" t="str">
            <v>CTV023071</v>
          </cell>
          <cell r="C41" t="str">
            <v>Trần Văn Cảnh</v>
          </cell>
          <cell r="D41">
            <v>3670100</v>
          </cell>
          <cell r="E41">
            <v>25</v>
          </cell>
          <cell r="F41">
            <v>2310759.3184103598</v>
          </cell>
          <cell r="H41">
            <v>10946324.532637209</v>
          </cell>
          <cell r="AG41">
            <v>13257083.851047568</v>
          </cell>
          <cell r="AH41">
            <v>734020</v>
          </cell>
          <cell r="AI41">
            <v>18350.5</v>
          </cell>
          <cell r="AJ41">
            <v>73402</v>
          </cell>
          <cell r="AK41">
            <v>300000</v>
          </cell>
          <cell r="AL41">
            <v>14382856.351047568</v>
          </cell>
          <cell r="AM41">
            <v>1150628.5080838054</v>
          </cell>
          <cell r="AN41">
            <v>15533484.859131373</v>
          </cell>
          <cell r="AO41">
            <v>385360.5</v>
          </cell>
          <cell r="AP41">
            <v>36701</v>
          </cell>
          <cell r="AQ41">
            <v>0</v>
          </cell>
          <cell r="AR41">
            <v>12835022.351047568</v>
          </cell>
          <cell r="AS41">
            <v>110103</v>
          </cell>
          <cell r="AT41">
            <v>18350.5</v>
          </cell>
          <cell r="AU41">
            <v>0</v>
          </cell>
          <cell r="AV41">
            <v>2570009.0080838054</v>
          </cell>
          <cell r="AW41" t="str">
            <v>P03</v>
          </cell>
        </row>
        <row r="42">
          <cell r="B42" t="str">
            <v>CTV023031</v>
          </cell>
          <cell r="C42" t="str">
            <v>Nguyễn Thị Vỹ Hương Lan</v>
          </cell>
          <cell r="D42">
            <v>3284900</v>
          </cell>
          <cell r="E42">
            <v>27</v>
          </cell>
          <cell r="F42">
            <v>2530411.4086912163</v>
          </cell>
          <cell r="H42">
            <v>2080419.4152625096</v>
          </cell>
          <cell r="AG42">
            <v>4610830.8239537254</v>
          </cell>
          <cell r="AH42">
            <v>656980</v>
          </cell>
          <cell r="AI42">
            <v>16424.5</v>
          </cell>
          <cell r="AJ42">
            <v>65698</v>
          </cell>
          <cell r="AK42">
            <v>300000</v>
          </cell>
          <cell r="AL42">
            <v>5649933.3239537254</v>
          </cell>
          <cell r="AM42">
            <v>451994.66591629805</v>
          </cell>
          <cell r="AN42">
            <v>6101927.989870023</v>
          </cell>
          <cell r="AO42">
            <v>344914.5</v>
          </cell>
          <cell r="AP42">
            <v>32849</v>
          </cell>
          <cell r="AQ42">
            <v>0</v>
          </cell>
          <cell r="AR42">
            <v>4233067.3239537254</v>
          </cell>
          <cell r="AS42">
            <v>98547</v>
          </cell>
          <cell r="AT42">
            <v>16424.5</v>
          </cell>
          <cell r="AU42">
            <v>0</v>
          </cell>
          <cell r="AV42">
            <v>1753889.1659162981</v>
          </cell>
          <cell r="AW42" t="str">
            <v>P04</v>
          </cell>
        </row>
        <row r="43">
          <cell r="B43" t="str">
            <v>CTV038176</v>
          </cell>
          <cell r="C43" t="str">
            <v>Nguyễn Thanh Hằng</v>
          </cell>
          <cell r="D43">
            <v>3284900</v>
          </cell>
          <cell r="E43">
            <v>27</v>
          </cell>
          <cell r="F43">
            <v>2645430.1090862714</v>
          </cell>
          <cell r="H43">
            <v>2391846.5013458403</v>
          </cell>
          <cell r="AG43">
            <v>5037276.6104321117</v>
          </cell>
          <cell r="AH43">
            <v>656980</v>
          </cell>
          <cell r="AI43">
            <v>16424.5</v>
          </cell>
          <cell r="AJ43">
            <v>65698</v>
          </cell>
          <cell r="AK43">
            <v>300000</v>
          </cell>
          <cell r="AL43">
            <v>6076379.1104321117</v>
          </cell>
          <cell r="AM43">
            <v>486110.32883456897</v>
          </cell>
          <cell r="AN43">
            <v>6562489.4392666807</v>
          </cell>
          <cell r="AO43">
            <v>344914.5</v>
          </cell>
          <cell r="AP43">
            <v>32849</v>
          </cell>
          <cell r="AQ43">
            <v>0</v>
          </cell>
          <cell r="AR43">
            <v>4659513.1104321117</v>
          </cell>
          <cell r="AS43">
            <v>98547</v>
          </cell>
          <cell r="AT43">
            <v>16424.5</v>
          </cell>
          <cell r="AU43">
            <v>0</v>
          </cell>
          <cell r="AV43">
            <v>1788004.8288345691</v>
          </cell>
          <cell r="AW43" t="str">
            <v>P04</v>
          </cell>
        </row>
        <row r="44">
          <cell r="B44" t="str">
            <v>CTV023032</v>
          </cell>
          <cell r="C44" t="str">
            <v>Nguyễn Thị Vỹ Hương Linh</v>
          </cell>
          <cell r="D44">
            <v>3284900</v>
          </cell>
          <cell r="E44">
            <v>25</v>
          </cell>
          <cell r="F44">
            <v>5748085.10321871</v>
          </cell>
          <cell r="H44">
            <v>0</v>
          </cell>
          <cell r="AG44">
            <v>5748085.10321871</v>
          </cell>
          <cell r="AH44">
            <v>656980</v>
          </cell>
          <cell r="AI44">
            <v>16424.5</v>
          </cell>
          <cell r="AJ44">
            <v>65698</v>
          </cell>
          <cell r="AK44">
            <v>300000</v>
          </cell>
          <cell r="AL44">
            <v>6787187.60321871</v>
          </cell>
          <cell r="AM44">
            <v>542975.00825749687</v>
          </cell>
          <cell r="AN44">
            <v>7330162.6114762072</v>
          </cell>
          <cell r="AO44">
            <v>344914.5</v>
          </cell>
          <cell r="AP44">
            <v>32849</v>
          </cell>
          <cell r="AQ44">
            <v>0</v>
          </cell>
          <cell r="AR44">
            <v>5370321.60321871</v>
          </cell>
          <cell r="AS44">
            <v>98547</v>
          </cell>
          <cell r="AT44">
            <v>16424.5</v>
          </cell>
          <cell r="AU44">
            <v>0</v>
          </cell>
          <cell r="AV44">
            <v>1844869.5082574969</v>
          </cell>
          <cell r="AW44" t="str">
            <v>P04</v>
          </cell>
        </row>
        <row r="45">
          <cell r="B45" t="str">
            <v>CTV028655</v>
          </cell>
          <cell r="C45" t="str">
            <v>Nguyễn Khắc Huy</v>
          </cell>
          <cell r="D45">
            <v>3284900</v>
          </cell>
          <cell r="E45">
            <v>25</v>
          </cell>
          <cell r="F45">
            <v>2371916.74020425</v>
          </cell>
          <cell r="H45">
            <v>15719628.582324477</v>
          </cell>
          <cell r="AG45">
            <v>18091545.322528727</v>
          </cell>
          <cell r="AH45">
            <v>656980</v>
          </cell>
          <cell r="AI45">
            <v>16424.5</v>
          </cell>
          <cell r="AJ45">
            <v>65698</v>
          </cell>
          <cell r="AK45">
            <v>300000</v>
          </cell>
          <cell r="AL45">
            <v>19130647.822528727</v>
          </cell>
          <cell r="AM45">
            <v>1530451.8258022983</v>
          </cell>
          <cell r="AN45">
            <v>20661099.648331024</v>
          </cell>
          <cell r="AO45">
            <v>344914.5</v>
          </cell>
          <cell r="AP45">
            <v>32849</v>
          </cell>
          <cell r="AQ45">
            <v>424663.08225287276</v>
          </cell>
          <cell r="AR45">
            <v>17289118.740275856</v>
          </cell>
          <cell r="AS45">
            <v>98547</v>
          </cell>
          <cell r="AT45">
            <v>16424.5</v>
          </cell>
          <cell r="AU45">
            <v>0</v>
          </cell>
          <cell r="AV45">
            <v>3257009.4080551709</v>
          </cell>
          <cell r="AW45" t="str">
            <v>P04</v>
          </cell>
        </row>
        <row r="46">
          <cell r="B46" t="str">
            <v>CTV023131</v>
          </cell>
          <cell r="C46" t="str">
            <v>Lê Thị Linh Phương</v>
          </cell>
          <cell r="D46">
            <v>3284900</v>
          </cell>
          <cell r="E46">
            <v>25</v>
          </cell>
          <cell r="F46">
            <v>2342267.7809516969</v>
          </cell>
          <cell r="H46">
            <v>12540949.607821554</v>
          </cell>
          <cell r="AG46">
            <v>14883217.388773251</v>
          </cell>
          <cell r="AH46">
            <v>656980</v>
          </cell>
          <cell r="AI46">
            <v>16424.5</v>
          </cell>
          <cell r="AJ46">
            <v>65698</v>
          </cell>
          <cell r="AK46">
            <v>300000</v>
          </cell>
          <cell r="AL46">
            <v>15922319.888773251</v>
          </cell>
          <cell r="AM46">
            <v>1273785.5911018602</v>
          </cell>
          <cell r="AN46">
            <v>17196105.47987511</v>
          </cell>
          <cell r="AO46">
            <v>344914.5</v>
          </cell>
          <cell r="AP46">
            <v>32849</v>
          </cell>
          <cell r="AQ46">
            <v>176915.14443866257</v>
          </cell>
          <cell r="AR46">
            <v>14328538.74433459</v>
          </cell>
          <cell r="AS46">
            <v>98547</v>
          </cell>
          <cell r="AT46">
            <v>16424.5</v>
          </cell>
          <cell r="AU46">
            <v>0</v>
          </cell>
          <cell r="AV46">
            <v>2752595.2355405227</v>
          </cell>
          <cell r="AW46" t="str">
            <v>P04</v>
          </cell>
        </row>
        <row r="47">
          <cell r="B47" t="str">
            <v>CTV020464</v>
          </cell>
          <cell r="C47" t="str">
            <v>Nguyễn Thị Kim Thi</v>
          </cell>
          <cell r="D47">
            <v>3284900</v>
          </cell>
          <cell r="E47">
            <v>25</v>
          </cell>
          <cell r="F47">
            <v>5928530.5992775271</v>
          </cell>
          <cell r="H47">
            <v>0</v>
          </cell>
          <cell r="I47">
            <v>2370575</v>
          </cell>
          <cell r="AG47">
            <v>8299105.5992775271</v>
          </cell>
          <cell r="AH47">
            <v>656980</v>
          </cell>
          <cell r="AI47">
            <v>16424.5</v>
          </cell>
          <cell r="AJ47">
            <v>65698</v>
          </cell>
          <cell r="AK47">
            <v>300000</v>
          </cell>
          <cell r="AL47">
            <v>9338208.0992775261</v>
          </cell>
          <cell r="AM47">
            <v>747056.64794220205</v>
          </cell>
          <cell r="AN47">
            <v>10085264.747219728</v>
          </cell>
          <cell r="AO47">
            <v>344914.5</v>
          </cell>
          <cell r="AP47">
            <v>32849</v>
          </cell>
          <cell r="AQ47">
            <v>0</v>
          </cell>
          <cell r="AR47">
            <v>7921342.0992775271</v>
          </cell>
          <cell r="AS47">
            <v>98547</v>
          </cell>
          <cell r="AT47">
            <v>16424.5</v>
          </cell>
          <cell r="AU47">
            <v>0</v>
          </cell>
          <cell r="AV47">
            <v>2048951.1479422022</v>
          </cell>
          <cell r="AW47" t="str">
            <v>P05</v>
          </cell>
        </row>
        <row r="48">
          <cell r="B48" t="str">
            <v>CTV023029</v>
          </cell>
          <cell r="C48" t="str">
            <v>Mai Thị Thùy</v>
          </cell>
          <cell r="D48">
            <v>3284900</v>
          </cell>
          <cell r="E48">
            <v>21.5</v>
          </cell>
          <cell r="F48">
            <v>2598966.0414656815</v>
          </cell>
          <cell r="H48">
            <v>8226294.2755360324</v>
          </cell>
          <cell r="AG48">
            <v>10825260.317001713</v>
          </cell>
          <cell r="AH48">
            <v>656980</v>
          </cell>
          <cell r="AI48">
            <v>16424.5</v>
          </cell>
          <cell r="AJ48">
            <v>65698</v>
          </cell>
          <cell r="AK48">
            <v>300000</v>
          </cell>
          <cell r="AL48">
            <v>11864362.817001713</v>
          </cell>
          <cell r="AM48">
            <v>949149.02536013711</v>
          </cell>
          <cell r="AN48">
            <v>12813511.842361851</v>
          </cell>
          <cell r="AO48">
            <v>344914.5</v>
          </cell>
          <cell r="AP48">
            <v>32849</v>
          </cell>
          <cell r="AQ48">
            <v>0</v>
          </cell>
          <cell r="AR48">
            <v>10447496.817001713</v>
          </cell>
          <cell r="AS48">
            <v>98547</v>
          </cell>
          <cell r="AT48">
            <v>16424.5</v>
          </cell>
          <cell r="AU48">
            <v>0</v>
          </cell>
          <cell r="AV48">
            <v>2251043.5253601372</v>
          </cell>
          <cell r="AW48" t="str">
            <v>P05</v>
          </cell>
        </row>
        <row r="49">
          <cell r="B49" t="str">
            <v>CTV023030</v>
          </cell>
          <cell r="C49" t="str">
            <v>Nguyễn Thị Lan Phương</v>
          </cell>
          <cell r="D49">
            <v>3284900</v>
          </cell>
          <cell r="E49">
            <v>25</v>
          </cell>
          <cell r="F49">
            <v>1677868.4051277901</v>
          </cell>
          <cell r="H49">
            <v>4839175.3913174113</v>
          </cell>
          <cell r="AG49">
            <v>6517043.7964452012</v>
          </cell>
          <cell r="AH49">
            <v>656980</v>
          </cell>
          <cell r="AI49">
            <v>16424.5</v>
          </cell>
          <cell r="AJ49">
            <v>65698</v>
          </cell>
          <cell r="AK49">
            <v>300000</v>
          </cell>
          <cell r="AL49">
            <v>7556146.2964452012</v>
          </cell>
          <cell r="AM49">
            <v>604491.70371561614</v>
          </cell>
          <cell r="AN49">
            <v>8160638.0001608171</v>
          </cell>
          <cell r="AO49">
            <v>344914.5</v>
          </cell>
          <cell r="AP49">
            <v>32849</v>
          </cell>
          <cell r="AQ49">
            <v>0</v>
          </cell>
          <cell r="AR49">
            <v>6139280.2964452012</v>
          </cell>
          <cell r="AS49">
            <v>98547</v>
          </cell>
          <cell r="AT49">
            <v>16424.5</v>
          </cell>
          <cell r="AU49">
            <v>0</v>
          </cell>
          <cell r="AV49">
            <v>1906386.2037156161</v>
          </cell>
          <cell r="AW49" t="str">
            <v>P05</v>
          </cell>
        </row>
        <row r="50">
          <cell r="B50" t="str">
            <v>CTV023107</v>
          </cell>
          <cell r="C50" t="str">
            <v>Nguyễn Thị Ngọc Hằng</v>
          </cell>
          <cell r="D50">
            <v>3284900</v>
          </cell>
          <cell r="E50">
            <v>25</v>
          </cell>
          <cell r="F50">
            <v>3399810.7483087378</v>
          </cell>
          <cell r="H50">
            <v>9047928.6132759973</v>
          </cell>
          <cell r="AG50">
            <v>12447739.361584734</v>
          </cell>
          <cell r="AH50">
            <v>656980</v>
          </cell>
          <cell r="AI50">
            <v>16424.5</v>
          </cell>
          <cell r="AJ50">
            <v>65698</v>
          </cell>
          <cell r="AK50">
            <v>300000</v>
          </cell>
          <cell r="AL50">
            <v>13486841.861584734</v>
          </cell>
          <cell r="AM50">
            <v>1078947.3489267786</v>
          </cell>
          <cell r="AN50">
            <v>14565789.210511513</v>
          </cell>
          <cell r="AO50">
            <v>344914.5</v>
          </cell>
          <cell r="AP50">
            <v>32849</v>
          </cell>
          <cell r="AQ50">
            <v>55141.243079236709</v>
          </cell>
          <cell r="AR50">
            <v>12014834.618505497</v>
          </cell>
          <cell r="AS50">
            <v>98547</v>
          </cell>
          <cell r="AT50">
            <v>16424.5</v>
          </cell>
          <cell r="AU50">
            <v>0</v>
          </cell>
          <cell r="AV50">
            <v>2435983.0920060156</v>
          </cell>
          <cell r="AW50" t="str">
            <v>P05</v>
          </cell>
        </row>
        <row r="51">
          <cell r="B51" t="str">
            <v>CTV035279</v>
          </cell>
          <cell r="C51" t="str">
            <v>Lê Văn Giàu</v>
          </cell>
          <cell r="D51">
            <v>3284900</v>
          </cell>
          <cell r="E51">
            <v>25</v>
          </cell>
          <cell r="F51">
            <v>2906307.7731677792</v>
          </cell>
          <cell r="H51">
            <v>6363370.9443869395</v>
          </cell>
          <cell r="AG51">
            <v>9269678.7175547183</v>
          </cell>
          <cell r="AH51">
            <v>656980</v>
          </cell>
          <cell r="AI51">
            <v>16424.5</v>
          </cell>
          <cell r="AJ51">
            <v>65698</v>
          </cell>
          <cell r="AK51">
            <v>300000</v>
          </cell>
          <cell r="AL51">
            <v>10308781.217554718</v>
          </cell>
          <cell r="AM51">
            <v>824702.49740437744</v>
          </cell>
          <cell r="AN51">
            <v>11133483.714959096</v>
          </cell>
          <cell r="AO51">
            <v>344914.5</v>
          </cell>
          <cell r="AP51">
            <v>32849</v>
          </cell>
          <cell r="AQ51">
            <v>0</v>
          </cell>
          <cell r="AR51">
            <v>8891915.2175547183</v>
          </cell>
          <cell r="AS51">
            <v>98547</v>
          </cell>
          <cell r="AT51">
            <v>16424.5</v>
          </cell>
          <cell r="AU51">
            <v>0</v>
          </cell>
          <cell r="AV51">
            <v>2126596.9974043774</v>
          </cell>
          <cell r="AW51" t="str">
            <v>P05</v>
          </cell>
        </row>
        <row r="52">
          <cell r="B52" t="str">
            <v>CTV028601</v>
          </cell>
          <cell r="C52" t="str">
            <v>Huỳnh Nguyễn Giao Hân</v>
          </cell>
          <cell r="D52">
            <v>3284900</v>
          </cell>
          <cell r="E52">
            <v>25</v>
          </cell>
          <cell r="F52">
            <v>2726536.1583326589</v>
          </cell>
          <cell r="H52">
            <v>5621304.0675937748</v>
          </cell>
          <cell r="AG52">
            <v>8347840.2259264337</v>
          </cell>
          <cell r="AH52">
            <v>656980</v>
          </cell>
          <cell r="AI52">
            <v>16424.5</v>
          </cell>
          <cell r="AJ52">
            <v>65698</v>
          </cell>
          <cell r="AK52">
            <v>300000</v>
          </cell>
          <cell r="AL52">
            <v>9386942.7259264328</v>
          </cell>
          <cell r="AM52">
            <v>750955.4180741146</v>
          </cell>
          <cell r="AN52">
            <v>10137898.144000547</v>
          </cell>
          <cell r="AO52">
            <v>344914.5</v>
          </cell>
          <cell r="AP52">
            <v>32849</v>
          </cell>
          <cell r="AQ52">
            <v>0</v>
          </cell>
          <cell r="AR52">
            <v>7970076.7259264337</v>
          </cell>
          <cell r="AS52">
            <v>98547</v>
          </cell>
          <cell r="AT52">
            <v>16424.5</v>
          </cell>
          <cell r="AU52">
            <v>0</v>
          </cell>
          <cell r="AV52">
            <v>2052849.9180741147</v>
          </cell>
          <cell r="AW52" t="str">
            <v>P05</v>
          </cell>
        </row>
        <row r="53">
          <cell r="B53" t="str">
            <v>CTV036506</v>
          </cell>
          <cell r="C53" t="str">
            <v>Bùi Tấn Đạt</v>
          </cell>
          <cell r="D53">
            <v>3284900</v>
          </cell>
          <cell r="E53">
            <v>25</v>
          </cell>
          <cell r="F53">
            <v>2456878.7360799783</v>
          </cell>
          <cell r="H53">
            <v>6356642.6674534073</v>
          </cell>
          <cell r="AG53">
            <v>8813521.4035333861</v>
          </cell>
          <cell r="AH53">
            <v>656980</v>
          </cell>
          <cell r="AI53">
            <v>16424.5</v>
          </cell>
          <cell r="AJ53">
            <v>65698</v>
          </cell>
          <cell r="AK53">
            <v>300000</v>
          </cell>
          <cell r="AL53">
            <v>9852623.9035333861</v>
          </cell>
          <cell r="AM53">
            <v>788209.91228267085</v>
          </cell>
          <cell r="AN53">
            <v>10640833.815816056</v>
          </cell>
          <cell r="AO53">
            <v>344914.5</v>
          </cell>
          <cell r="AP53">
            <v>32849</v>
          </cell>
          <cell r="AQ53">
            <v>0</v>
          </cell>
          <cell r="AR53">
            <v>8435757.9035333861</v>
          </cell>
          <cell r="AS53">
            <v>98547</v>
          </cell>
          <cell r="AT53">
            <v>16424.5</v>
          </cell>
          <cell r="AU53">
            <v>0</v>
          </cell>
          <cell r="AV53">
            <v>2090104.4122826708</v>
          </cell>
          <cell r="AW53" t="str">
            <v>P05</v>
          </cell>
        </row>
        <row r="54">
          <cell r="B54" t="str">
            <v>CTV054887</v>
          </cell>
          <cell r="C54" t="str">
            <v>Nguyễn Thị Diệu Hương (TS)</v>
          </cell>
          <cell r="D54">
            <v>4194400</v>
          </cell>
          <cell r="E54">
            <v>0</v>
          </cell>
          <cell r="F54">
            <v>0</v>
          </cell>
          <cell r="H54">
            <v>0</v>
          </cell>
          <cell r="AG54">
            <v>0</v>
          </cell>
          <cell r="AL54">
            <v>0</v>
          </cell>
          <cell r="AM54">
            <v>0</v>
          </cell>
          <cell r="AN54">
            <v>0</v>
          </cell>
          <cell r="AR54">
            <v>0</v>
          </cell>
          <cell r="AS54">
            <v>0</v>
          </cell>
          <cell r="AT54">
            <v>0</v>
          </cell>
          <cell r="AU54">
            <v>0</v>
          </cell>
          <cell r="AV54">
            <v>0</v>
          </cell>
          <cell r="AW54" t="str">
            <v>P06</v>
          </cell>
        </row>
        <row r="55">
          <cell r="B55" t="str">
            <v>CTV023019</v>
          </cell>
          <cell r="C55" t="str">
            <v>Hồ Thanh Liêm</v>
          </cell>
          <cell r="D55">
            <v>4194400</v>
          </cell>
          <cell r="E55">
            <v>25</v>
          </cell>
          <cell r="F55">
            <v>3601319.4621948055</v>
          </cell>
          <cell r="H55">
            <v>6440372.7291718349</v>
          </cell>
          <cell r="I55">
            <v>7869600</v>
          </cell>
          <cell r="AG55">
            <v>17911292.191366643</v>
          </cell>
          <cell r="AH55">
            <v>838880</v>
          </cell>
          <cell r="AI55">
            <v>20972</v>
          </cell>
          <cell r="AJ55">
            <v>83888</v>
          </cell>
          <cell r="AK55">
            <v>300000</v>
          </cell>
          <cell r="AL55">
            <v>19155032.191366643</v>
          </cell>
          <cell r="AM55">
            <v>1532402.5753093315</v>
          </cell>
          <cell r="AN55">
            <v>20687434.766675975</v>
          </cell>
          <cell r="AO55">
            <v>440412</v>
          </cell>
          <cell r="AP55">
            <v>41944</v>
          </cell>
          <cell r="AQ55">
            <v>103544.00956833214</v>
          </cell>
          <cell r="AR55">
            <v>17325392.181798309</v>
          </cell>
          <cell r="AS55">
            <v>125832</v>
          </cell>
          <cell r="AT55">
            <v>20972</v>
          </cell>
          <cell r="AU55">
            <v>0</v>
          </cell>
          <cell r="AV55">
            <v>3215238.5848776638</v>
          </cell>
          <cell r="AW55" t="str">
            <v>P06</v>
          </cell>
        </row>
        <row r="56">
          <cell r="B56" t="str">
            <v>CTV028602</v>
          </cell>
          <cell r="C56" t="str">
            <v>Nguyễn Thanh Trúc</v>
          </cell>
          <cell r="D56">
            <v>4194400</v>
          </cell>
          <cell r="E56">
            <v>26</v>
          </cell>
          <cell r="F56">
            <v>2901536.3560103113</v>
          </cell>
          <cell r="H56">
            <v>5663477.4009151543</v>
          </cell>
          <cell r="I56">
            <v>2529100</v>
          </cell>
          <cell r="AG56">
            <v>11094113.756925466</v>
          </cell>
          <cell r="AH56">
            <v>838880</v>
          </cell>
          <cell r="AI56">
            <v>20972</v>
          </cell>
          <cell r="AJ56">
            <v>83888</v>
          </cell>
          <cell r="AK56">
            <v>300000</v>
          </cell>
          <cell r="AL56">
            <v>12337853.756925466</v>
          </cell>
          <cell r="AM56">
            <v>987028.30055403721</v>
          </cell>
          <cell r="AN56">
            <v>13324882.057479503</v>
          </cell>
          <cell r="AO56">
            <v>440412</v>
          </cell>
          <cell r="AP56">
            <v>41944</v>
          </cell>
          <cell r="AQ56">
            <v>0</v>
          </cell>
          <cell r="AR56">
            <v>10611757.756925466</v>
          </cell>
          <cell r="AS56">
            <v>125832</v>
          </cell>
          <cell r="AT56">
            <v>20972</v>
          </cell>
          <cell r="AU56">
            <v>0</v>
          </cell>
          <cell r="AV56">
            <v>2566320.3005540371</v>
          </cell>
          <cell r="AW56" t="str">
            <v>P06</v>
          </cell>
        </row>
        <row r="57">
          <cell r="B57" t="str">
            <v>CTV031867</v>
          </cell>
          <cell r="C57" t="str">
            <v>Nguyễn Thị Ngọc Ngoan</v>
          </cell>
          <cell r="D57">
            <v>4194400</v>
          </cell>
          <cell r="E57">
            <v>26</v>
          </cell>
          <cell r="F57">
            <v>2671711.6941481084</v>
          </cell>
          <cell r="H57">
            <v>5586070.632540171</v>
          </cell>
          <cell r="AG57">
            <v>8257782.3266882794</v>
          </cell>
          <cell r="AH57">
            <v>838880</v>
          </cell>
          <cell r="AI57">
            <v>20972</v>
          </cell>
          <cell r="AJ57">
            <v>83888</v>
          </cell>
          <cell r="AK57">
            <v>300000</v>
          </cell>
          <cell r="AL57">
            <v>9501522.3266882785</v>
          </cell>
          <cell r="AM57">
            <v>760121.78613506234</v>
          </cell>
          <cell r="AN57">
            <v>10261644.112823341</v>
          </cell>
          <cell r="AO57">
            <v>440412</v>
          </cell>
          <cell r="AP57">
            <v>41944</v>
          </cell>
          <cell r="AQ57">
            <v>0</v>
          </cell>
          <cell r="AR57">
            <v>7775426.3266882794</v>
          </cell>
          <cell r="AS57">
            <v>125832</v>
          </cell>
          <cell r="AT57">
            <v>20972</v>
          </cell>
          <cell r="AU57">
            <v>0</v>
          </cell>
          <cell r="AV57">
            <v>2339413.7861350626</v>
          </cell>
          <cell r="AW57" t="str">
            <v>P06</v>
          </cell>
        </row>
        <row r="58">
          <cell r="B58" t="str">
            <v>CTV042998</v>
          </cell>
          <cell r="C58" t="str">
            <v>Huỳnh Ánh Hồng</v>
          </cell>
          <cell r="D58">
            <v>4194400</v>
          </cell>
          <cell r="E58">
            <v>0</v>
          </cell>
          <cell r="F58">
            <v>0</v>
          </cell>
          <cell r="H58">
            <v>0</v>
          </cell>
          <cell r="AG58">
            <v>0</v>
          </cell>
          <cell r="AU58">
            <v>0</v>
          </cell>
          <cell r="AV58">
            <v>0</v>
          </cell>
          <cell r="AW58" t="str">
            <v>P06</v>
          </cell>
        </row>
        <row r="59">
          <cell r="B59" t="str">
            <v>CTV045659</v>
          </cell>
          <cell r="C59" t="str">
            <v>Phan Thị Quyên</v>
          </cell>
          <cell r="D59">
            <v>4194400</v>
          </cell>
          <cell r="E59">
            <v>19.5</v>
          </cell>
          <cell r="F59">
            <v>3837679.1246950589</v>
          </cell>
          <cell r="H59">
            <v>0</v>
          </cell>
          <cell r="AG59">
            <v>3837679.1246950589</v>
          </cell>
          <cell r="AH59">
            <v>838880</v>
          </cell>
          <cell r="AI59">
            <v>20972</v>
          </cell>
          <cell r="AJ59">
            <v>83888</v>
          </cell>
          <cell r="AK59">
            <v>300000</v>
          </cell>
          <cell r="AL59">
            <v>5081419.1246950589</v>
          </cell>
          <cell r="AM59">
            <v>406513.52997560473</v>
          </cell>
          <cell r="AN59">
            <v>5487932.6546706632</v>
          </cell>
          <cell r="AO59">
            <v>440412</v>
          </cell>
          <cell r="AP59">
            <v>41944</v>
          </cell>
          <cell r="AQ59">
            <v>0</v>
          </cell>
          <cell r="AR59">
            <v>3355323.1246950589</v>
          </cell>
          <cell r="AS59">
            <v>125832</v>
          </cell>
          <cell r="AT59">
            <v>20972</v>
          </cell>
          <cell r="AU59">
            <v>0</v>
          </cell>
          <cell r="AV59">
            <v>1985805.5299756047</v>
          </cell>
          <cell r="AW59" t="str">
            <v>P06</v>
          </cell>
        </row>
        <row r="60">
          <cell r="B60" t="str">
            <v>CTV041732</v>
          </cell>
          <cell r="C60" t="str">
            <v>Lê Chí Cường</v>
          </cell>
          <cell r="D60">
            <v>4194400</v>
          </cell>
          <cell r="E60">
            <v>18.5</v>
          </cell>
          <cell r="F60">
            <v>1622075.3258907301</v>
          </cell>
          <cell r="H60">
            <v>11861320.704364153</v>
          </cell>
          <cell r="AG60">
            <v>13483396.030254882</v>
          </cell>
          <cell r="AH60">
            <v>838880</v>
          </cell>
          <cell r="AI60">
            <v>20972</v>
          </cell>
          <cell r="AJ60">
            <v>83888</v>
          </cell>
          <cell r="AK60">
            <v>300000</v>
          </cell>
          <cell r="AL60">
            <v>14727136.030254882</v>
          </cell>
          <cell r="AM60">
            <v>1178170.8824203906</v>
          </cell>
          <cell r="AN60">
            <v>15905306.912675273</v>
          </cell>
          <cell r="AO60">
            <v>440412</v>
          </cell>
          <cell r="AP60">
            <v>41944</v>
          </cell>
          <cell r="AQ60">
            <v>0</v>
          </cell>
          <cell r="AR60">
            <v>13001040.030254882</v>
          </cell>
          <cell r="AS60">
            <v>125832</v>
          </cell>
          <cell r="AT60">
            <v>20972</v>
          </cell>
          <cell r="AU60">
            <v>0</v>
          </cell>
          <cell r="AV60">
            <v>2757462.8824203908</v>
          </cell>
          <cell r="AW60" t="str">
            <v>P06</v>
          </cell>
        </row>
        <row r="61">
          <cell r="B61" t="str">
            <v>CTV023033</v>
          </cell>
          <cell r="C61" t="str">
            <v>Nguyễn Thị Thu Lan</v>
          </cell>
          <cell r="D61">
            <v>3670100</v>
          </cell>
          <cell r="E61">
            <v>26</v>
          </cell>
          <cell r="F61">
            <v>3022602.4429996856</v>
          </cell>
          <cell r="H61">
            <v>3718087.2976705632</v>
          </cell>
          <cell r="AG61">
            <v>6740689.7406702489</v>
          </cell>
          <cell r="AH61">
            <v>734020</v>
          </cell>
          <cell r="AI61">
            <v>18350.5</v>
          </cell>
          <cell r="AJ61">
            <v>73402</v>
          </cell>
          <cell r="AK61">
            <v>300000</v>
          </cell>
          <cell r="AL61">
            <v>7866462.2406702489</v>
          </cell>
          <cell r="AM61">
            <v>629316.97925361991</v>
          </cell>
          <cell r="AN61">
            <v>8495779.2199238688</v>
          </cell>
          <cell r="AO61">
            <v>385360.5</v>
          </cell>
          <cell r="AP61">
            <v>36701</v>
          </cell>
          <cell r="AQ61">
            <v>0</v>
          </cell>
          <cell r="AR61">
            <v>6318628.2406702489</v>
          </cell>
          <cell r="AS61">
            <v>110103</v>
          </cell>
          <cell r="AT61">
            <v>18350.5</v>
          </cell>
          <cell r="AU61">
            <v>0</v>
          </cell>
          <cell r="AV61">
            <v>2048697.4792536199</v>
          </cell>
          <cell r="AW61" t="str">
            <v>P07</v>
          </cell>
        </row>
        <row r="62">
          <cell r="B62" t="str">
            <v>CTV023034</v>
          </cell>
          <cell r="C62" t="str">
            <v>Nguyễn Văn Thanh Bình</v>
          </cell>
          <cell r="D62">
            <v>3284900</v>
          </cell>
          <cell r="E62">
            <v>25</v>
          </cell>
          <cell r="F62">
            <v>4569967.0444902144</v>
          </cell>
          <cell r="H62">
            <v>7645695.8583274037</v>
          </cell>
          <cell r="I62">
            <v>1172400</v>
          </cell>
          <cell r="AG62">
            <v>13388062.902817618</v>
          </cell>
          <cell r="AH62">
            <v>656980</v>
          </cell>
          <cell r="AI62">
            <v>16424.5</v>
          </cell>
          <cell r="AJ62">
            <v>65698</v>
          </cell>
          <cell r="AK62">
            <v>300000</v>
          </cell>
          <cell r="AL62">
            <v>14427165.402817618</v>
          </cell>
          <cell r="AM62">
            <v>1154173.2322254095</v>
          </cell>
          <cell r="AN62">
            <v>15581338.635043027</v>
          </cell>
          <cell r="AO62">
            <v>344914.5</v>
          </cell>
          <cell r="AP62">
            <v>32849</v>
          </cell>
          <cell r="AQ62">
            <v>102157.42014088092</v>
          </cell>
          <cell r="AR62">
            <v>12908141.982676737</v>
          </cell>
          <cell r="AS62">
            <v>98547</v>
          </cell>
          <cell r="AT62">
            <v>16424.5</v>
          </cell>
          <cell r="AU62">
            <v>0</v>
          </cell>
          <cell r="AV62">
            <v>2558225.1523662908</v>
          </cell>
          <cell r="AW62" t="str">
            <v>P07</v>
          </cell>
        </row>
        <row r="63">
          <cell r="B63" t="str">
            <v>CTV023035</v>
          </cell>
          <cell r="C63" t="str">
            <v>Trần Thị Bé Muội</v>
          </cell>
          <cell r="D63">
            <v>3284900</v>
          </cell>
          <cell r="E63">
            <v>27</v>
          </cell>
          <cell r="F63">
            <v>3789032.0016648448</v>
          </cell>
          <cell r="H63">
            <v>12495402.146400422</v>
          </cell>
          <cell r="AG63">
            <v>16284434.148065267</v>
          </cell>
          <cell r="AH63">
            <v>656980</v>
          </cell>
          <cell r="AI63">
            <v>16424.5</v>
          </cell>
          <cell r="AJ63">
            <v>65698</v>
          </cell>
          <cell r="AK63">
            <v>300000</v>
          </cell>
          <cell r="AL63">
            <v>17323536.648065269</v>
          </cell>
          <cell r="AM63">
            <v>1385882.9318452214</v>
          </cell>
          <cell r="AN63">
            <v>18709419.579910491</v>
          </cell>
          <cell r="AO63">
            <v>344914.5</v>
          </cell>
          <cell r="AP63">
            <v>32849</v>
          </cell>
          <cell r="AQ63">
            <v>246975.98240326336</v>
          </cell>
          <cell r="AR63">
            <v>15659694.665662004</v>
          </cell>
          <cell r="AS63">
            <v>98547</v>
          </cell>
          <cell r="AT63">
            <v>16424.5</v>
          </cell>
          <cell r="AU63">
            <v>0</v>
          </cell>
          <cell r="AV63">
            <v>2934753.4142484851</v>
          </cell>
          <cell r="AW63" t="str">
            <v>P07</v>
          </cell>
        </row>
        <row r="64">
          <cell r="B64" t="str">
            <v>CTV038173</v>
          </cell>
          <cell r="C64" t="str">
            <v>Ngô Thị Thu Hạnh (TS)</v>
          </cell>
          <cell r="D64">
            <v>3284900</v>
          </cell>
          <cell r="E64">
            <v>0</v>
          </cell>
          <cell r="F64">
            <v>0</v>
          </cell>
          <cell r="H64">
            <v>1795275.5243083602</v>
          </cell>
          <cell r="AG64">
            <v>1795275.5243083602</v>
          </cell>
          <cell r="AL64">
            <v>1795275.5243083602</v>
          </cell>
          <cell r="AM64">
            <v>143622.04194466883</v>
          </cell>
          <cell r="AN64">
            <v>1938897.566253029</v>
          </cell>
          <cell r="AQ64">
            <v>0</v>
          </cell>
          <cell r="AR64">
            <v>1795275.5243083602</v>
          </cell>
          <cell r="AS64">
            <v>0</v>
          </cell>
          <cell r="AT64">
            <v>0</v>
          </cell>
          <cell r="AU64">
            <v>0</v>
          </cell>
          <cell r="AV64">
            <v>143622.04194466883</v>
          </cell>
          <cell r="AW64" t="str">
            <v>P07</v>
          </cell>
        </row>
        <row r="65">
          <cell r="B65" t="str">
            <v>CTV038174</v>
          </cell>
          <cell r="C65" t="str">
            <v>Hồ Thị Nhi</v>
          </cell>
          <cell r="D65">
            <v>3284900</v>
          </cell>
          <cell r="E65">
            <v>27</v>
          </cell>
          <cell r="F65">
            <v>3358460.1832938395</v>
          </cell>
          <cell r="H65">
            <v>4606382.6879122509</v>
          </cell>
          <cell r="AG65">
            <v>7964842.8712060899</v>
          </cell>
          <cell r="AH65">
            <v>656980</v>
          </cell>
          <cell r="AI65">
            <v>16424.5</v>
          </cell>
          <cell r="AJ65">
            <v>65698</v>
          </cell>
          <cell r="AK65">
            <v>300000</v>
          </cell>
          <cell r="AL65">
            <v>9003945.3712060899</v>
          </cell>
          <cell r="AM65">
            <v>720315.62969648722</v>
          </cell>
          <cell r="AN65">
            <v>9724261.0009025764</v>
          </cell>
          <cell r="AO65">
            <v>344914.5</v>
          </cell>
          <cell r="AP65">
            <v>32849</v>
          </cell>
          <cell r="AQ65">
            <v>0</v>
          </cell>
          <cell r="AR65">
            <v>7587079.3712060899</v>
          </cell>
          <cell r="AS65">
            <v>98547</v>
          </cell>
          <cell r="AT65">
            <v>16424.5</v>
          </cell>
          <cell r="AU65">
            <v>0</v>
          </cell>
          <cell r="AV65">
            <v>2022210.1296964872</v>
          </cell>
          <cell r="AW65" t="str">
            <v>P07</v>
          </cell>
        </row>
        <row r="66">
          <cell r="B66" t="str">
            <v>CTV023179</v>
          </cell>
          <cell r="C66" t="str">
            <v>Nguyễn Thị Bé Thu</v>
          </cell>
          <cell r="D66">
            <v>3670100</v>
          </cell>
          <cell r="E66">
            <v>0</v>
          </cell>
          <cell r="F66">
            <v>0</v>
          </cell>
          <cell r="H66">
            <v>0</v>
          </cell>
          <cell r="AG66">
            <v>0</v>
          </cell>
          <cell r="AL66">
            <v>0</v>
          </cell>
          <cell r="AM66">
            <v>0</v>
          </cell>
          <cell r="AN66">
            <v>0</v>
          </cell>
          <cell r="AQ66">
            <v>0</v>
          </cell>
          <cell r="AR66">
            <v>0</v>
          </cell>
          <cell r="AS66">
            <v>0</v>
          </cell>
          <cell r="AT66">
            <v>0</v>
          </cell>
          <cell r="AU66">
            <v>0</v>
          </cell>
          <cell r="AV66">
            <v>0</v>
          </cell>
          <cell r="AW66" t="str">
            <v>P08</v>
          </cell>
        </row>
        <row r="67">
          <cell r="B67" t="str">
            <v>CTV049292</v>
          </cell>
          <cell r="C67" t="str">
            <v>Nguyễn Hữu Trọng</v>
          </cell>
          <cell r="D67">
            <v>3670100</v>
          </cell>
          <cell r="E67">
            <v>25</v>
          </cell>
          <cell r="F67">
            <v>4402573.0001386171</v>
          </cell>
          <cell r="H67">
            <v>6490168.7999790926</v>
          </cell>
          <cell r="I67">
            <v>7850240</v>
          </cell>
          <cell r="AG67">
            <v>18742981.800117709</v>
          </cell>
          <cell r="AH67">
            <v>734020</v>
          </cell>
          <cell r="AI67">
            <v>18350.5</v>
          </cell>
          <cell r="AJ67">
            <v>73402</v>
          </cell>
          <cell r="AK67">
            <v>300000</v>
          </cell>
          <cell r="AL67">
            <v>19868754.300117709</v>
          </cell>
          <cell r="AM67">
            <v>1589500.3440094166</v>
          </cell>
          <cell r="AN67">
            <v>21458254.644127127</v>
          </cell>
          <cell r="AO67">
            <v>385360.5</v>
          </cell>
          <cell r="AP67">
            <v>36701</v>
          </cell>
          <cell r="AQ67">
            <v>485762.13001177087</v>
          </cell>
          <cell r="AR67">
            <v>17835158.170105938</v>
          </cell>
          <cell r="AS67">
            <v>110103</v>
          </cell>
          <cell r="AT67">
            <v>18350.5</v>
          </cell>
          <cell r="AU67">
            <v>0</v>
          </cell>
          <cell r="AV67">
            <v>3494642.9740211875</v>
          </cell>
          <cell r="AW67" t="str">
            <v>P08</v>
          </cell>
        </row>
        <row r="68">
          <cell r="B68" t="str">
            <v>CTV041556</v>
          </cell>
          <cell r="C68" t="str">
            <v>Đặng La Đô</v>
          </cell>
          <cell r="D68">
            <v>3670100</v>
          </cell>
          <cell r="E68">
            <v>25</v>
          </cell>
          <cell r="F68">
            <v>1157596.8207879178</v>
          </cell>
          <cell r="H68">
            <v>7402896.7488956414</v>
          </cell>
          <cell r="I68">
            <v>7445980</v>
          </cell>
          <cell r="AG68">
            <v>16006473.569683559</v>
          </cell>
          <cell r="AH68">
            <v>734020</v>
          </cell>
          <cell r="AI68">
            <v>18350.5</v>
          </cell>
          <cell r="AJ68">
            <v>73402</v>
          </cell>
          <cell r="AK68">
            <v>300000</v>
          </cell>
          <cell r="AL68">
            <v>17132246.069683559</v>
          </cell>
          <cell r="AM68">
            <v>1370579.6855746848</v>
          </cell>
          <cell r="AN68">
            <v>18502825.755258244</v>
          </cell>
          <cell r="AO68">
            <v>385360.5</v>
          </cell>
          <cell r="AP68">
            <v>36701</v>
          </cell>
          <cell r="AQ68">
            <v>231055.65348417798</v>
          </cell>
          <cell r="AR68">
            <v>15353356.416199381</v>
          </cell>
          <cell r="AS68">
            <v>110103</v>
          </cell>
          <cell r="AT68">
            <v>18350.5</v>
          </cell>
          <cell r="AU68">
            <v>0</v>
          </cell>
          <cell r="AV68">
            <v>3021015.8390588625</v>
          </cell>
          <cell r="AW68" t="str">
            <v>P08</v>
          </cell>
        </row>
        <row r="69">
          <cell r="B69" t="str">
            <v>CTV062159</v>
          </cell>
          <cell r="C69" t="str">
            <v>Trương Thị Huệ Phương</v>
          </cell>
          <cell r="D69">
            <v>3670100</v>
          </cell>
          <cell r="E69">
            <v>26</v>
          </cell>
          <cell r="F69">
            <v>2446868.6443330785</v>
          </cell>
          <cell r="H69">
            <v>2293544.5946864667</v>
          </cell>
          <cell r="AG69">
            <v>4740413.2390195448</v>
          </cell>
          <cell r="AH69">
            <v>734020</v>
          </cell>
          <cell r="AI69">
            <v>18350.5</v>
          </cell>
          <cell r="AJ69">
            <v>73402</v>
          </cell>
          <cell r="AK69">
            <v>300000</v>
          </cell>
          <cell r="AL69">
            <v>5866185.7390195448</v>
          </cell>
          <cell r="AM69">
            <v>469294.85912156361</v>
          </cell>
          <cell r="AN69">
            <v>6335480.5981411086</v>
          </cell>
          <cell r="AO69">
            <v>385360.5</v>
          </cell>
          <cell r="AP69">
            <v>36701</v>
          </cell>
          <cell r="AQ69">
            <v>0</v>
          </cell>
          <cell r="AR69">
            <v>4318351.7390195448</v>
          </cell>
          <cell r="AS69">
            <v>110103</v>
          </cell>
          <cell r="AT69">
            <v>18350.5</v>
          </cell>
          <cell r="AU69">
            <v>0</v>
          </cell>
          <cell r="AV69">
            <v>1888675.3591215636</v>
          </cell>
          <cell r="AW69" t="str">
            <v>P08</v>
          </cell>
        </row>
        <row r="70">
          <cell r="B70" t="str">
            <v>CTV058438</v>
          </cell>
          <cell r="C70" t="str">
            <v>Trần Thị Ngọc Tuyền</v>
          </cell>
          <cell r="D70">
            <v>3670100</v>
          </cell>
          <cell r="E70">
            <v>26</v>
          </cell>
          <cell r="F70">
            <v>2779700</v>
          </cell>
          <cell r="H70">
            <v>2765300</v>
          </cell>
          <cell r="AG70">
            <v>5545000</v>
          </cell>
          <cell r="AH70">
            <v>734020</v>
          </cell>
          <cell r="AI70">
            <v>18350.5</v>
          </cell>
          <cell r="AJ70">
            <v>73402</v>
          </cell>
          <cell r="AK70">
            <v>300000</v>
          </cell>
          <cell r="AL70">
            <v>6670772.5</v>
          </cell>
          <cell r="AM70">
            <v>533661.80000000005</v>
          </cell>
          <cell r="AN70">
            <v>7204434.2999999998</v>
          </cell>
          <cell r="AO70">
            <v>385360.5</v>
          </cell>
          <cell r="AP70">
            <v>36701</v>
          </cell>
          <cell r="AQ70">
            <v>0</v>
          </cell>
          <cell r="AR70">
            <v>5122938.5</v>
          </cell>
          <cell r="AS70">
            <v>110103</v>
          </cell>
          <cell r="AT70">
            <v>18350.5</v>
          </cell>
          <cell r="AU70">
            <v>0</v>
          </cell>
          <cell r="AV70">
            <v>1953042.3</v>
          </cell>
          <cell r="AW70" t="str">
            <v>P09</v>
          </cell>
        </row>
        <row r="71">
          <cell r="B71" t="str">
            <v>CTV023040</v>
          </cell>
          <cell r="C71" t="str">
            <v>Trần Thị Thảo Phương</v>
          </cell>
          <cell r="D71">
            <v>3670100</v>
          </cell>
          <cell r="E71">
            <v>26</v>
          </cell>
          <cell r="F71">
            <v>3423420</v>
          </cell>
          <cell r="H71">
            <v>3961560</v>
          </cell>
          <cell r="AG71">
            <v>7384980</v>
          </cell>
          <cell r="AH71">
            <v>734020</v>
          </cell>
          <cell r="AI71">
            <v>18350.5</v>
          </cell>
          <cell r="AJ71">
            <v>73402</v>
          </cell>
          <cell r="AK71">
            <v>300000</v>
          </cell>
          <cell r="AL71">
            <v>8510752.5</v>
          </cell>
          <cell r="AM71">
            <v>680860.20000000007</v>
          </cell>
          <cell r="AN71">
            <v>9191612.6999999993</v>
          </cell>
          <cell r="AO71">
            <v>385360.5</v>
          </cell>
          <cell r="AP71">
            <v>36701</v>
          </cell>
          <cell r="AQ71">
            <v>0</v>
          </cell>
          <cell r="AR71">
            <v>6962918.5</v>
          </cell>
          <cell r="AS71">
            <v>110103</v>
          </cell>
          <cell r="AT71">
            <v>18350.5</v>
          </cell>
          <cell r="AU71">
            <v>0</v>
          </cell>
          <cell r="AV71">
            <v>2100240.7000000002</v>
          </cell>
          <cell r="AW71" t="str">
            <v>P09</v>
          </cell>
        </row>
        <row r="72">
          <cell r="B72" t="str">
            <v>CTV023041</v>
          </cell>
          <cell r="C72" t="str">
            <v>Phan Thị Mỹ Hảo</v>
          </cell>
          <cell r="D72">
            <v>3670100</v>
          </cell>
          <cell r="E72">
            <v>26</v>
          </cell>
          <cell r="F72">
            <v>3569720</v>
          </cell>
          <cell r="H72">
            <v>5012700</v>
          </cell>
          <cell r="AG72">
            <v>8582420</v>
          </cell>
          <cell r="AH72">
            <v>734020</v>
          </cell>
          <cell r="AI72">
            <v>18350.5</v>
          </cell>
          <cell r="AJ72">
            <v>73402</v>
          </cell>
          <cell r="AK72">
            <v>300000</v>
          </cell>
          <cell r="AL72">
            <v>9708192.5</v>
          </cell>
          <cell r="AM72">
            <v>776655.4</v>
          </cell>
          <cell r="AN72">
            <v>10484847.9</v>
          </cell>
          <cell r="AO72">
            <v>385360.5</v>
          </cell>
          <cell r="AP72">
            <v>36701</v>
          </cell>
          <cell r="AQ72">
            <v>0</v>
          </cell>
          <cell r="AR72">
            <v>8160358.5</v>
          </cell>
          <cell r="AS72">
            <v>110103</v>
          </cell>
          <cell r="AT72">
            <v>18350.5</v>
          </cell>
          <cell r="AU72">
            <v>0</v>
          </cell>
          <cell r="AV72">
            <v>2196035.9</v>
          </cell>
          <cell r="AW72" t="str">
            <v>P09</v>
          </cell>
        </row>
        <row r="73">
          <cell r="B73" t="str">
            <v>CTV023042</v>
          </cell>
          <cell r="C73" t="str">
            <v>Nguyễn Thị Mỹ Duyên</v>
          </cell>
          <cell r="D73">
            <v>3670100</v>
          </cell>
          <cell r="E73">
            <v>25</v>
          </cell>
          <cell r="F73">
            <v>2172240</v>
          </cell>
          <cell r="H73">
            <v>5613000</v>
          </cell>
          <cell r="AG73">
            <v>7785240</v>
          </cell>
          <cell r="AH73">
            <v>734020</v>
          </cell>
          <cell r="AI73">
            <v>18350.5</v>
          </cell>
          <cell r="AJ73">
            <v>73402</v>
          </cell>
          <cell r="AK73">
            <v>300000</v>
          </cell>
          <cell r="AL73">
            <v>8911012.5</v>
          </cell>
          <cell r="AM73">
            <v>712881</v>
          </cell>
          <cell r="AN73">
            <v>9623893.5</v>
          </cell>
          <cell r="AO73">
            <v>385360.5</v>
          </cell>
          <cell r="AP73">
            <v>36701</v>
          </cell>
          <cell r="AQ73">
            <v>0</v>
          </cell>
          <cell r="AR73">
            <v>7363178.5</v>
          </cell>
          <cell r="AS73">
            <v>110103</v>
          </cell>
          <cell r="AT73">
            <v>18350.5</v>
          </cell>
          <cell r="AU73">
            <v>0</v>
          </cell>
          <cell r="AV73">
            <v>2132261.5</v>
          </cell>
          <cell r="AW73" t="str">
            <v>P09</v>
          </cell>
        </row>
        <row r="74">
          <cell r="B74" t="str">
            <v>CTV023043</v>
          </cell>
          <cell r="C74" t="str">
            <v>Võ Phạm Huỳnh Trang</v>
          </cell>
          <cell r="D74">
            <v>3670100</v>
          </cell>
          <cell r="E74">
            <v>25</v>
          </cell>
          <cell r="F74">
            <v>6581700</v>
          </cell>
          <cell r="H74">
            <v>166320</v>
          </cell>
          <cell r="I74">
            <v>254000</v>
          </cell>
          <cell r="AG74">
            <v>7002020</v>
          </cell>
          <cell r="AH74">
            <v>734020</v>
          </cell>
          <cell r="AI74">
            <v>18350.5</v>
          </cell>
          <cell r="AJ74">
            <v>73402</v>
          </cell>
          <cell r="AK74">
            <v>300000</v>
          </cell>
          <cell r="AL74">
            <v>8127792.5</v>
          </cell>
          <cell r="AM74">
            <v>650223.4</v>
          </cell>
          <cell r="AN74">
            <v>8778015.9000000004</v>
          </cell>
          <cell r="AO74">
            <v>385360.5</v>
          </cell>
          <cell r="AP74">
            <v>36701</v>
          </cell>
          <cell r="AQ74">
            <v>0</v>
          </cell>
          <cell r="AR74">
            <v>6579958.5</v>
          </cell>
          <cell r="AS74">
            <v>110103</v>
          </cell>
          <cell r="AT74">
            <v>18350.5</v>
          </cell>
          <cell r="AU74">
            <v>0</v>
          </cell>
          <cell r="AV74">
            <v>2069603.9</v>
          </cell>
          <cell r="AW74" t="str">
            <v>P09</v>
          </cell>
        </row>
        <row r="75">
          <cell r="B75" t="str">
            <v>CTV036747</v>
          </cell>
          <cell r="C75" t="str">
            <v>Hà Thị Trúc Huỳnh</v>
          </cell>
          <cell r="D75">
            <v>3670100</v>
          </cell>
          <cell r="E75">
            <v>25</v>
          </cell>
          <cell r="F75">
            <v>2487100</v>
          </cell>
          <cell r="H75">
            <v>7190495</v>
          </cell>
          <cell r="I75">
            <v>2256800</v>
          </cell>
          <cell r="AG75">
            <v>11934395</v>
          </cell>
          <cell r="AH75">
            <v>734020</v>
          </cell>
          <cell r="AI75">
            <v>18350.5</v>
          </cell>
          <cell r="AJ75">
            <v>73402</v>
          </cell>
          <cell r="AK75">
            <v>300000</v>
          </cell>
          <cell r="AL75">
            <v>13060167.5</v>
          </cell>
          <cell r="AM75">
            <v>1044813.4</v>
          </cell>
          <cell r="AN75">
            <v>14104980.9</v>
          </cell>
          <cell r="AO75">
            <v>385360.5</v>
          </cell>
          <cell r="AP75">
            <v>36701</v>
          </cell>
          <cell r="AQ75">
            <v>27451.725000000002</v>
          </cell>
          <cell r="AR75">
            <v>11484881.775</v>
          </cell>
          <cell r="AS75">
            <v>110103</v>
          </cell>
          <cell r="AT75">
            <v>18350.5</v>
          </cell>
          <cell r="AU75">
            <v>0</v>
          </cell>
          <cell r="AV75">
            <v>2491645.625</v>
          </cell>
          <cell r="AW75" t="str">
            <v>P09</v>
          </cell>
        </row>
        <row r="76">
          <cell r="B76" t="str">
            <v>CTV023209</v>
          </cell>
          <cell r="C76" t="str">
            <v>Phan Trần Đức Ngân</v>
          </cell>
          <cell r="D76">
            <v>3670100</v>
          </cell>
          <cell r="E76">
            <v>25</v>
          </cell>
          <cell r="F76">
            <v>1719690</v>
          </cell>
          <cell r="H76">
            <v>7932705</v>
          </cell>
          <cell r="AG76">
            <v>9652395</v>
          </cell>
          <cell r="AH76">
            <v>734020</v>
          </cell>
          <cell r="AI76">
            <v>18350.5</v>
          </cell>
          <cell r="AJ76">
            <v>73402</v>
          </cell>
          <cell r="AK76">
            <v>300000</v>
          </cell>
          <cell r="AL76">
            <v>10778167.5</v>
          </cell>
          <cell r="AM76">
            <v>862253.4</v>
          </cell>
          <cell r="AN76">
            <v>11640420.9</v>
          </cell>
          <cell r="AO76">
            <v>385360.5</v>
          </cell>
          <cell r="AP76">
            <v>36701</v>
          </cell>
          <cell r="AQ76">
            <v>0</v>
          </cell>
          <cell r="AR76">
            <v>9230333.5</v>
          </cell>
          <cell r="AS76">
            <v>110103</v>
          </cell>
          <cell r="AT76">
            <v>18350.5</v>
          </cell>
          <cell r="AU76">
            <v>0</v>
          </cell>
          <cell r="AV76">
            <v>2281633.9</v>
          </cell>
          <cell r="AW76" t="str">
            <v>P09</v>
          </cell>
        </row>
        <row r="77">
          <cell r="B77" t="str">
            <v>CTV054886</v>
          </cell>
          <cell r="C77" t="str">
            <v>Nguyễn Lê Hữu Duy</v>
          </cell>
          <cell r="D77">
            <v>4194400</v>
          </cell>
          <cell r="E77">
            <v>25</v>
          </cell>
          <cell r="F77">
            <v>12933015.15730042</v>
          </cell>
          <cell r="H77">
            <v>0</v>
          </cell>
          <cell r="AG77">
            <v>12933015.15730042</v>
          </cell>
          <cell r="AH77">
            <v>838880</v>
          </cell>
          <cell r="AI77">
            <v>20972</v>
          </cell>
          <cell r="AJ77">
            <v>83888</v>
          </cell>
          <cell r="AK77">
            <v>300000</v>
          </cell>
          <cell r="AL77">
            <v>14176755.15730042</v>
          </cell>
          <cell r="AM77">
            <v>1134140.4125840336</v>
          </cell>
          <cell r="AN77">
            <v>15310895.569884453</v>
          </cell>
          <cell r="AO77">
            <v>440412</v>
          </cell>
          <cell r="AP77">
            <v>41944</v>
          </cell>
          <cell r="AQ77">
            <v>74630.157865021014</v>
          </cell>
          <cell r="AR77">
            <v>12376028.999435399</v>
          </cell>
          <cell r="AS77">
            <v>125832</v>
          </cell>
          <cell r="AT77">
            <v>20972</v>
          </cell>
          <cell r="AU77">
            <v>0</v>
          </cell>
          <cell r="AV77">
            <v>2788062.5704490547</v>
          </cell>
          <cell r="AW77" t="str">
            <v>P10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T Nghệ AN - t52021-Hết HĐ"/>
      <sheetName val="KD Lào Cai - t72021"/>
      <sheetName val="VT Hưng Yên - t12-Hết HĐ"/>
      <sheetName val="KD Hải Phòng - t12021-Hết HĐ"/>
      <sheetName val="KD Cao Bằng - t12-Hết HĐ"/>
      <sheetName val="VT Thải Nguyên - T32021- Hết Đ"/>
      <sheetName val="KD Bình Dương - T32021-Hết HĐ"/>
      <sheetName val="VT Tuyên Quang - t72021"/>
      <sheetName val="KD Hà Nam - T42021-Hết HĐ"/>
      <sheetName val="VT Cao Bằng - t52021-Hết HĐ"/>
      <sheetName val="VT Vĩnh Phúc - T12"/>
      <sheetName val="VT Vĩnh Phúc-t62021-Hết HĐ"/>
      <sheetName val="KD Nghệ An - T72021"/>
      <sheetName val="VT Hà Nam - T72021"/>
      <sheetName val="KD Ninh Thuận - T82021"/>
      <sheetName val="KD Đồng Nai - T82021"/>
      <sheetName val="KD Thái Bình - T72021"/>
      <sheetName val="KD Cà Mau - T82021"/>
      <sheetName val="KD Long An - T82021"/>
      <sheetName val="BV ĐK Bưu điện-T32021-Hết HĐ"/>
      <sheetName val="BV Bưu điện t32021-Hết HĐ"/>
      <sheetName val="VT Đắc Nông t52021-Hết HĐ"/>
      <sheetName val="VT Điện Biên T62021-Hết HĐ"/>
      <sheetName val="KD Bắc Kanj-T72021"/>
      <sheetName val="VT Sơn La - T12-hết hĐ "/>
      <sheetName val="IT T42021-Hết HĐ"/>
      <sheetName val="VT Hà Giang - T32021-Hết HĐ"/>
      <sheetName val="KD Thái Nguyên - T32021-Hết HĐ"/>
      <sheetName val="KD Quảng Bình-T72021"/>
      <sheetName val="Net 1-T82021"/>
      <sheetName val="KD Quảng trị-T72021"/>
      <sheetName val="KD Bến Tre - T82021"/>
      <sheetName val="KD Tây Ninh T52021-CN Miên Nam"/>
      <sheetName val="KD Cần Thơ T72021"/>
      <sheetName val="VT Đồng Nai-t82021"/>
      <sheetName val="VT Bắc Giang-t82021"/>
      <sheetName val="KD Điện Biên-t72021"/>
      <sheetName val="Net 2-t82021"/>
      <sheetName val="VT Bình Phước-t82021"/>
      <sheetName val="Bình chánh t72021"/>
      <sheetName val="Chợ lơn t72021"/>
      <sheetName val="Củ Chi T72021"/>
      <sheetName val="Gia Định T72021"/>
      <sheetName val="Hóc Môn T72021"/>
      <sheetName val="Nam SG t72021"/>
      <sheetName val="Sài Gòn T72021"/>
      <sheetName val="Thủ Đức t72021"/>
      <sheetName val="Tân Bình T72021"/>
      <sheetName val="CNTT HCM t72021"/>
      <sheetName val="KD Thanh Hóa t72021"/>
      <sheetName val="VT Bắc Kạn-t62021-Hết HĐ"/>
      <sheetName val="KD Lạng Sơn-t72021"/>
      <sheetName val="VT Thái Bình-t82021"/>
      <sheetName val="KD Bình Phước-t72021"/>
      <sheetName val="VT Ninh Thuận-t42021-Hết HĐ"/>
      <sheetName val="KD Yên Bái-t72021"/>
      <sheetName val="VT Bình Thuận-t82021"/>
      <sheetName val="KD Tiền Giang bsung-Hết HĐ"/>
      <sheetName val="VT Hà Nội_t72021"/>
      <sheetName val="TTVT 1-t72021"/>
      <sheetName val="TTVT3-t72021"/>
      <sheetName val="TTVT4-t72021"/>
      <sheetName val="TTVT 5-t72021"/>
      <sheetName val="TTVT6-t72021"/>
      <sheetName val="TTVT7-t72021"/>
      <sheetName val="TTVT 8_t72021"/>
      <sheetName val="TTVT 9_t72021"/>
      <sheetName val="CT DV Vật tư _t72021"/>
      <sheetName val="TT ĐHTT_t72021"/>
      <sheetName val="KD Hà Nội-t72021"/>
      <sheetName val="VT Yên Bái t72021"/>
      <sheetName val="VT Long An-t62021-hết HĐ"/>
      <sheetName val="VT Nam Định t72021"/>
      <sheetName val="VT Hải Dương t72021"/>
      <sheetName val="VT Lạng Sơn t72021"/>
      <sheetName val="KD Trà Vinh t52021-CN Nam"/>
      <sheetName val="KD Đồng Tháp t72021"/>
      <sheetName val="VT Ninh BÌnh t72021"/>
      <sheetName val="KD Ninh BÌnh t72021"/>
      <sheetName val="VT Phú Thọ t72021"/>
      <sheetName val="KD Hưng Yên t72021"/>
      <sheetName val="Tổng hợp"/>
      <sheetName val="KD Bến Tre - T72021"/>
      <sheetName val="VT Đồng Nai-t72021"/>
      <sheetName val="VT Bắc Giang-t72021"/>
      <sheetName val="Net 2-t72021"/>
      <sheetName val="VT Bình Phước-t7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row r="3">
          <cell r="C3" t="str">
            <v>Nguyễn Thị Thu Hằng</v>
          </cell>
        </row>
        <row r="4">
          <cell r="C4" t="str">
            <v>Phạm Thị Thanh Thúy</v>
          </cell>
        </row>
        <row r="5">
          <cell r="C5" t="str">
            <v>Trần Thị Thanh Trúc</v>
          </cell>
        </row>
        <row r="6">
          <cell r="C6" t="str">
            <v>Đào Thị Thúy An</v>
          </cell>
        </row>
        <row r="7">
          <cell r="C7" t="str">
            <v>Nguyễn Thị Thanh Thúy</v>
          </cell>
        </row>
        <row r="8">
          <cell r="C8" t="str">
            <v>Võ Thị Tuyết Vân</v>
          </cell>
        </row>
        <row r="9">
          <cell r="C9" t="str">
            <v>Lê Trang Mỹ Nhiên</v>
          </cell>
        </row>
        <row r="10">
          <cell r="C10" t="str">
            <v>Bùi Thị Thu Trang</v>
          </cell>
        </row>
        <row r="11">
          <cell r="C11" t="str">
            <v>Lê Thanh Quyên</v>
          </cell>
        </row>
        <row r="12">
          <cell r="C12" t="str">
            <v>Lê Thị Kim Loan</v>
          </cell>
        </row>
        <row r="13">
          <cell r="C13" t="str">
            <v>Nguyễn Thị Kim Thi</v>
          </cell>
        </row>
        <row r="14">
          <cell r="C14" t="str">
            <v>Mai Thị Thùy</v>
          </cell>
        </row>
        <row r="15">
          <cell r="C15" t="str">
            <v>Nguyễn Thị Lan Phương</v>
          </cell>
        </row>
        <row r="16">
          <cell r="C16" t="str">
            <v>Nguyễn Thị Vỹ Hương Lan</v>
          </cell>
        </row>
        <row r="17">
          <cell r="C17" t="str">
            <v>Hồ Thanh Liêm</v>
          </cell>
        </row>
        <row r="18">
          <cell r="C18" t="str">
            <v>Lê Thị Anh Thư</v>
          </cell>
        </row>
        <row r="19">
          <cell r="C19" t="str">
            <v>Nguyễn Thị Thu Lan</v>
          </cell>
        </row>
        <row r="20">
          <cell r="C20" t="str">
            <v>Nguyễn Văn Thanh Bình</v>
          </cell>
        </row>
        <row r="21">
          <cell r="C21" t="str">
            <v>Trần Thị Bé Muội</v>
          </cell>
        </row>
        <row r="22">
          <cell r="C22" t="str">
            <v>Từ Thị Trâm</v>
          </cell>
        </row>
        <row r="23">
          <cell r="C23" t="str">
            <v>Trần Thị Thảo Phương</v>
          </cell>
        </row>
        <row r="24">
          <cell r="C24" t="str">
            <v>Phan Thị Mỹ Hảo</v>
          </cell>
        </row>
        <row r="25">
          <cell r="C25" t="str">
            <v>Nguyễn Thị Mỹ Duyên</v>
          </cell>
        </row>
        <row r="26">
          <cell r="C26" t="str">
            <v>Võ Phạm Huỳnh Trang</v>
          </cell>
        </row>
        <row r="27">
          <cell r="C27" t="str">
            <v>Hồ Như Gương</v>
          </cell>
        </row>
        <row r="28">
          <cell r="C28" t="str">
            <v>Nguyễn Thị Bé Thu</v>
          </cell>
        </row>
        <row r="29">
          <cell r="C29" t="str">
            <v>Nguyễn Thị Trúc Mai</v>
          </cell>
        </row>
        <row r="30">
          <cell r="C30" t="str">
            <v>Trần Lâm Minh Thu</v>
          </cell>
        </row>
        <row r="31">
          <cell r="C31" t="str">
            <v>Nguyễn Thị Ngọc Hằng</v>
          </cell>
        </row>
        <row r="32">
          <cell r="C32" t="str">
            <v>Nguyễn Thanh Trúc</v>
          </cell>
        </row>
        <row r="33">
          <cell r="C33" t="str">
            <v>Lữ Thị Tuyết Loan</v>
          </cell>
        </row>
        <row r="34">
          <cell r="C34" t="str">
            <v>Nguyễn Thị Ngọc Ngoan</v>
          </cell>
        </row>
        <row r="35">
          <cell r="C35" t="str">
            <v>Huỳnh Thy Nga</v>
          </cell>
        </row>
        <row r="36">
          <cell r="C36" t="str">
            <v>Nguyễn Dương Ngọc Linh</v>
          </cell>
        </row>
        <row r="37">
          <cell r="C37" t="str">
            <v>Hà Thị Trúc Huỳnh</v>
          </cell>
        </row>
        <row r="38">
          <cell r="C38" t="str">
            <v>Đoàn Quốc Khanh</v>
          </cell>
        </row>
        <row r="39">
          <cell r="C39" t="str">
            <v>Ngô Thị Thu Hạnh</v>
          </cell>
        </row>
        <row r="40">
          <cell r="C40" t="str">
            <v>Nguyễn Thanh Hằng</v>
          </cell>
        </row>
        <row r="41">
          <cell r="C41" t="str">
            <v>Lê Thị Hồng Nhung</v>
          </cell>
        </row>
        <row r="42">
          <cell r="C42" t="str">
            <v>Dương Thi Kim Thoa</v>
          </cell>
        </row>
        <row r="43">
          <cell r="C43" t="str">
            <v>Trần Thị Thúy Trang</v>
          </cell>
        </row>
        <row r="44">
          <cell r="C44" t="str">
            <v>Huỳnh Ánh Hồng</v>
          </cell>
        </row>
        <row r="45">
          <cell r="C45" t="str">
            <v>Phan Thị Quyên</v>
          </cell>
        </row>
        <row r="46">
          <cell r="C46" t="str">
            <v>Lê Thị Ngọc Hân</v>
          </cell>
        </row>
        <row r="47">
          <cell r="C47" t="str">
            <v>Trà Thị Minh Lý</v>
          </cell>
        </row>
        <row r="48">
          <cell r="C48" t="str">
            <v>Nguyễn Hữu Trọng</v>
          </cell>
        </row>
        <row r="49">
          <cell r="C49" t="str">
            <v>Nguyễn Thị Ngọc Diệp</v>
          </cell>
        </row>
        <row r="50">
          <cell r="C50" t="str">
            <v>Nguyễn Thị Vỹ Hương Linh</v>
          </cell>
        </row>
        <row r="51">
          <cell r="C51" t="str">
            <v>Nguyễn Châu Đoan</v>
          </cell>
        </row>
        <row r="52">
          <cell r="C52" t="str">
            <v>Nguyễn Thị Diệu Hương</v>
          </cell>
        </row>
        <row r="53">
          <cell r="C53" t="str">
            <v>Nguyễn Lê Hữu Duy</v>
          </cell>
        </row>
        <row r="54">
          <cell r="C54" t="str">
            <v>Phạm Trung Quân</v>
          </cell>
        </row>
        <row r="55">
          <cell r="C55" t="str">
            <v>Nguyễn Thị Thanh Trúc</v>
          </cell>
        </row>
        <row r="56">
          <cell r="C56" t="str">
            <v>Trần Thị Ngọc Tuyền</v>
          </cell>
        </row>
        <row r="57">
          <cell r="C57" t="str">
            <v>Nguyễn Thị Huỳnh Ngân</v>
          </cell>
        </row>
        <row r="58">
          <cell r="C58" t="str">
            <v>Hồ Thị Nhi</v>
          </cell>
        </row>
        <row r="59">
          <cell r="C59" t="str">
            <v>Huỳnh Thị Hoàng Linh</v>
          </cell>
        </row>
        <row r="60">
          <cell r="C60" t="str">
            <v>Nguyễn Thị Diện</v>
          </cell>
        </row>
        <row r="61">
          <cell r="C61" t="str">
            <v>Võ Ngọc Ẩn</v>
          </cell>
        </row>
        <row r="62">
          <cell r="C62" t="str">
            <v>Lê Thị Mộng Thủy</v>
          </cell>
        </row>
        <row r="63">
          <cell r="C63" t="str">
            <v>Nguyễn Lê Thanh</v>
          </cell>
        </row>
        <row r="64">
          <cell r="C64" t="str">
            <v>Trần Văn Cảnh</v>
          </cell>
        </row>
        <row r="65">
          <cell r="C65" t="str">
            <v>Nguyễn Khắc Huy</v>
          </cell>
        </row>
        <row r="66">
          <cell r="C66" t="str">
            <v>Lê Văn Giàu</v>
          </cell>
        </row>
        <row r="67">
          <cell r="C67" t="str">
            <v>Huỳnh Nguyễn Gia Hân</v>
          </cell>
        </row>
        <row r="68">
          <cell r="C68" t="str">
            <v>Bùi Tấn Đạt</v>
          </cell>
        </row>
        <row r="69">
          <cell r="C69" t="str">
            <v>Lê Chí Cường</v>
          </cell>
        </row>
        <row r="70">
          <cell r="C70" t="str">
            <v xml:space="preserve"> Đặng La Đô</v>
          </cell>
        </row>
        <row r="71">
          <cell r="C71" t="str">
            <v>Phan Trần Đức Ngân</v>
          </cell>
        </row>
        <row r="72">
          <cell r="C72" t="str">
            <v>Trương Thị Huệ Phương</v>
          </cell>
        </row>
        <row r="73">
          <cell r="C73" t="str">
            <v>Lê Thị Linh Phương</v>
          </cell>
        </row>
      </sheetData>
      <sheetData sheetId="83" refreshError="1"/>
      <sheetData sheetId="84" refreshError="1"/>
      <sheetData sheetId="85" refreshError="1"/>
      <sheetData sheetId="8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ngatang"/>
      <sheetName val="NPT - TTKD BẾN TRE"/>
    </sheetNames>
    <sheetDataSet>
      <sheetData sheetId="0" refreshError="1"/>
      <sheetData sheetId="1" refreshError="1">
        <row r="15">
          <cell r="C15" t="str">
            <v>Nguyễn Thị Diệu Hương</v>
          </cell>
          <cell r="D15">
            <v>2</v>
          </cell>
        </row>
        <row r="16">
          <cell r="C16" t="str">
            <v>Lê Chí Cường</v>
          </cell>
          <cell r="D16">
            <v>3</v>
          </cell>
        </row>
        <row r="17">
          <cell r="C17" t="str">
            <v>Nguyễn Thị Ngọc Ngoan</v>
          </cell>
          <cell r="D17">
            <v>1</v>
          </cell>
        </row>
        <row r="18">
          <cell r="C18" t="str">
            <v>Trần Văn Cảnh</v>
          </cell>
          <cell r="D18">
            <v>4</v>
          </cell>
        </row>
        <row r="19">
          <cell r="C19" t="str">
            <v>Nguyễn Thanh Trúc</v>
          </cell>
          <cell r="D19">
            <v>1</v>
          </cell>
        </row>
        <row r="20">
          <cell r="C20" t="str">
            <v>Trương Thị Huệ Phương</v>
          </cell>
          <cell r="D20">
            <v>2</v>
          </cell>
        </row>
        <row r="21">
          <cell r="C21" t="str">
            <v>Trương Thị Huệ Phương</v>
          </cell>
          <cell r="D21">
            <v>0</v>
          </cell>
        </row>
        <row r="22">
          <cell r="C22" t="str">
            <v>Nguyễn Thị Diệu Hương</v>
          </cell>
          <cell r="D22">
            <v>0</v>
          </cell>
        </row>
        <row r="23">
          <cell r="C23" t="str">
            <v>Lê Chí Cường</v>
          </cell>
          <cell r="D23">
            <v>0</v>
          </cell>
        </row>
        <row r="24">
          <cell r="C24" t="str">
            <v>Lê Chí Cường</v>
          </cell>
          <cell r="D24">
            <v>0</v>
          </cell>
        </row>
        <row r="25">
          <cell r="C25" t="str">
            <v>Nguyễn Thị Trúc Mai</v>
          </cell>
          <cell r="D25">
            <v>1</v>
          </cell>
        </row>
        <row r="26">
          <cell r="C26" t="str">
            <v>Phạm Trung Quân</v>
          </cell>
          <cell r="D26">
            <v>2</v>
          </cell>
        </row>
        <row r="27">
          <cell r="C27" t="str">
            <v>Phạm Trung Quân</v>
          </cell>
          <cell r="D27">
            <v>0</v>
          </cell>
        </row>
        <row r="28">
          <cell r="C28" t="str">
            <v>Phan Thị Quyên</v>
          </cell>
          <cell r="D28">
            <v>2</v>
          </cell>
        </row>
        <row r="29">
          <cell r="C29" t="str">
            <v>Phan Thị Quyên</v>
          </cell>
          <cell r="D29">
            <v>0</v>
          </cell>
        </row>
        <row r="30">
          <cell r="C30" t="str">
            <v>Trần Thị Thanh Trúc</v>
          </cell>
          <cell r="D30">
            <v>1</v>
          </cell>
        </row>
        <row r="31">
          <cell r="C31" t="str">
            <v>Lê Thị Hồng Nhung</v>
          </cell>
          <cell r="D31">
            <v>1</v>
          </cell>
        </row>
        <row r="32">
          <cell r="C32" t="str">
            <v>Đào Thị Thúy An</v>
          </cell>
          <cell r="D32">
            <v>1</v>
          </cell>
        </row>
        <row r="33">
          <cell r="C33" t="str">
            <v>Bùi Thị Thu Trang</v>
          </cell>
          <cell r="D33">
            <v>1</v>
          </cell>
        </row>
        <row r="34">
          <cell r="C34" t="str">
            <v>Lê Thị Kim Loan</v>
          </cell>
          <cell r="D34">
            <v>1</v>
          </cell>
        </row>
        <row r="35">
          <cell r="C35" t="str">
            <v>Nguyễn Thị Ngọc Diệp</v>
          </cell>
          <cell r="D35">
            <v>1</v>
          </cell>
        </row>
        <row r="36">
          <cell r="C36" t="str">
            <v>Trần Văn Cảnh</v>
          </cell>
          <cell r="D36">
            <v>0</v>
          </cell>
        </row>
        <row r="37">
          <cell r="C37" t="str">
            <v>Trần Văn Cảnh</v>
          </cell>
          <cell r="D37">
            <v>0</v>
          </cell>
        </row>
        <row r="38">
          <cell r="C38" t="str">
            <v>Trần Văn Cảnh</v>
          </cell>
          <cell r="D38">
            <v>0</v>
          </cell>
        </row>
        <row r="39">
          <cell r="C39" t="str">
            <v>Dương Thị Kim Thoa</v>
          </cell>
          <cell r="D39">
            <v>2</v>
          </cell>
        </row>
        <row r="40">
          <cell r="C40" t="str">
            <v>Dương Thị Kim Thoa</v>
          </cell>
          <cell r="D40">
            <v>0</v>
          </cell>
        </row>
        <row r="41">
          <cell r="C41" t="str">
            <v>Lê Trang Mỹ Nhiên</v>
          </cell>
          <cell r="D41">
            <v>1</v>
          </cell>
        </row>
        <row r="42">
          <cell r="C42" t="str">
            <v>Hồ Thanh Liêm</v>
          </cell>
          <cell r="D42">
            <v>2</v>
          </cell>
        </row>
        <row r="43">
          <cell r="C43" t="str">
            <v>Hồ Thanh Liêm</v>
          </cell>
          <cell r="D43">
            <v>0</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ổng hợp"/>
      <sheetName val="Kangatang"/>
      <sheetName val="Kangatang_2"/>
      <sheetName val="Kangatang_3"/>
      <sheetName val="Kangatang_4"/>
      <sheetName val="Kangatang_5"/>
      <sheetName val="Kangatang_6"/>
      <sheetName val="Kangatang_7"/>
      <sheetName val="Kangatang_8"/>
      <sheetName val="Kangatang_9"/>
      <sheetName val="Kangatang_10"/>
      <sheetName val="Kangatang_11"/>
      <sheetName val="Kangatang_12"/>
      <sheetName val="Kangatang_13"/>
      <sheetName val="Kangatang_14"/>
      <sheetName val="Kangatang_15"/>
      <sheetName val="Kangatang_16"/>
      <sheetName val="Kangatang_17"/>
      <sheetName val="Kangatang_18"/>
      <sheetName val="Kangatang_19"/>
      <sheetName val="Kangatang_20"/>
      <sheetName val="Kangatang_21"/>
      <sheetName val="Kangatang_22"/>
      <sheetName val="Kangatang_23"/>
      <sheetName val="Kangatang_24"/>
      <sheetName val="Kangatang_25"/>
      <sheetName val="Kangatang_26"/>
      <sheetName val="Kangatang_27"/>
      <sheetName val="Kangatang_28"/>
      <sheetName val="Kangatang_29"/>
      <sheetName val="Kangatang_30"/>
      <sheetName val="TH2"/>
      <sheetName val="bc tổng hợp"/>
      <sheetName val="lương đơn giá"/>
      <sheetName val="Dịch vụ Cốt lõi"/>
      <sheetName val="Dịch vụ số"/>
      <sheetName val="Sản lượng"/>
      <sheetName val="phathuy"/>
      <sheetName val="Q.lý dịch vụ_KHDN"/>
      <sheetName val="Đánh giá hồ s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ow r="7">
          <cell r="B7" t="str">
            <v>P01</v>
          </cell>
        </row>
        <row r="8">
          <cell r="B8" t="str">
            <v>P02</v>
          </cell>
        </row>
        <row r="9">
          <cell r="B9" t="str">
            <v>P03</v>
          </cell>
        </row>
        <row r="10">
          <cell r="B10" t="str">
            <v>P04</v>
          </cell>
        </row>
        <row r="11">
          <cell r="B11" t="str">
            <v>P05</v>
          </cell>
        </row>
        <row r="12">
          <cell r="B12" t="str">
            <v>P06</v>
          </cell>
        </row>
        <row r="13">
          <cell r="B13" t="str">
            <v>P07</v>
          </cell>
        </row>
        <row r="14">
          <cell r="B14" t="str">
            <v>P08</v>
          </cell>
        </row>
        <row r="15">
          <cell r="B15" t="str">
            <v>P09</v>
          </cell>
        </row>
        <row r="16">
          <cell r="B16" t="str">
            <v>P10</v>
          </cell>
        </row>
        <row r="17">
          <cell r="B17" t="str">
            <v>P11</v>
          </cell>
        </row>
      </sheetData>
      <sheetData sheetId="33">
        <row r="1">
          <cell r="D1" t="str">
            <v xml:space="preserve">Đơn vị </v>
          </cell>
          <cell r="K1" t="str">
            <v>Hiện hữu</v>
          </cell>
          <cell r="L1" t="str">
            <v>Dịch vụ di động trả trước</v>
          </cell>
          <cell r="N1" t="str">
            <v>Dịch vụ Di động trả sau</v>
          </cell>
          <cell r="P1" t="str">
            <v>Dịch vụ băng rộng cố định</v>
          </cell>
          <cell r="R1" t="str">
            <v>Dịch vụ điện thoại cố định</v>
          </cell>
          <cell r="T1" t="str">
            <v>Video, truyền hình trả tiền</v>
          </cell>
          <cell r="V1" t="str">
            <v>VNPT CA</v>
          </cell>
          <cell r="W1" t="str">
            <v>Hóa đơn điện tử (VNPT Invoice)</v>
          </cell>
          <cell r="X1" t="str">
            <v>Giáo dục số</v>
          </cell>
          <cell r="Y1" t="str">
            <v>Y tế số</v>
          </cell>
          <cell r="Z1" t="str">
            <v>Dịch vụ I-Van (BHXH)</v>
          </cell>
          <cell r="AA1" t="str">
            <v>Dịch vụ công nghệ thông tin khác</v>
          </cell>
          <cell r="AB1" t="str">
            <v>Truyền số liệu</v>
          </cell>
          <cell r="AC1" t="str">
            <v>Internet trực tiếp</v>
          </cell>
          <cell r="AD1" t="str">
            <v>SMS brandname</v>
          </cell>
          <cell r="AE1" t="str">
            <v>Dịch vụ Viễn thông còn lại (là cột C sheet lương sản lượng)</v>
          </cell>
          <cell r="AF1" t="str">
            <v>Sản phẩm dịch vụ khác (trong đó có truyền thông)</v>
          </cell>
          <cell r="AG1" t="str">
            <v>SPDV kinh doanh thương mại</v>
          </cell>
          <cell r="AH1" t="str">
            <v>Lương BR Gia hạn
(anh Tuấn tính vào lương KK)</v>
          </cell>
          <cell r="AI1" t="str">
            <v>Lương BR đóng cước trước hạn
(anh Tuấn tính vào lương đơn giá)</v>
          </cell>
          <cell r="AJ1" t="str">
            <v>Lương khuyến khích (thu cước)
sheet SL cột D)</v>
          </cell>
          <cell r="AK1" t="str">
            <v>Quản lý dịch vụ phòng KHDN</v>
          </cell>
        </row>
        <row r="2">
          <cell r="D2">
            <v>0</v>
          </cell>
          <cell r="L2" t="str">
            <v>Tăng mới</v>
          </cell>
          <cell r="M2" t="str">
            <v>Gia hạn</v>
          </cell>
          <cell r="N2" t="str">
            <v>Tăng mới</v>
          </cell>
          <cell r="O2" t="str">
            <v>Gia hạn</v>
          </cell>
          <cell r="P2" t="str">
            <v>Tăng mới</v>
          </cell>
          <cell r="Q2" t="str">
            <v>Gia hạn</v>
          </cell>
          <cell r="R2" t="str">
            <v>Tăng mới</v>
          </cell>
          <cell r="S2" t="str">
            <v>Gia hạn</v>
          </cell>
          <cell r="T2" t="str">
            <v>Tăng mới</v>
          </cell>
          <cell r="U2" t="str">
            <v>Gia hạn</v>
          </cell>
          <cell r="AY2" t="str">
            <v>MyTV</v>
          </cell>
        </row>
        <row r="3">
          <cell r="D3">
            <v>0</v>
          </cell>
          <cell r="AK3" t="e">
            <v>#NAME?</v>
          </cell>
        </row>
        <row r="4">
          <cell r="D4">
            <v>0</v>
          </cell>
          <cell r="K4">
            <v>10</v>
          </cell>
          <cell r="L4">
            <v>11</v>
          </cell>
          <cell r="M4">
            <v>12</v>
          </cell>
          <cell r="N4">
            <v>13</v>
          </cell>
          <cell r="O4">
            <v>14</v>
          </cell>
          <cell r="P4">
            <v>15</v>
          </cell>
          <cell r="Q4">
            <v>16</v>
          </cell>
          <cell r="R4">
            <v>17</v>
          </cell>
          <cell r="S4">
            <v>18</v>
          </cell>
          <cell r="T4">
            <v>19</v>
          </cell>
          <cell r="U4">
            <v>20</v>
          </cell>
          <cell r="V4">
            <v>21</v>
          </cell>
          <cell r="W4">
            <v>22</v>
          </cell>
          <cell r="X4">
            <v>23</v>
          </cell>
          <cell r="Y4">
            <v>24</v>
          </cell>
          <cell r="Z4">
            <v>25</v>
          </cell>
          <cell r="AA4">
            <v>26</v>
          </cell>
          <cell r="AB4">
            <v>27</v>
          </cell>
          <cell r="AC4">
            <v>28</v>
          </cell>
          <cell r="AD4">
            <v>29</v>
          </cell>
          <cell r="AE4">
            <v>30</v>
          </cell>
          <cell r="AF4">
            <v>31</v>
          </cell>
          <cell r="AG4">
            <v>32</v>
          </cell>
          <cell r="AH4">
            <v>33</v>
          </cell>
          <cell r="AI4">
            <v>34</v>
          </cell>
          <cell r="AJ4">
            <v>35</v>
          </cell>
          <cell r="AK4">
            <v>36</v>
          </cell>
          <cell r="AY4">
            <v>50</v>
          </cell>
          <cell r="BN4">
            <v>14787500</v>
          </cell>
        </row>
        <row r="5">
          <cell r="D5">
            <v>0</v>
          </cell>
          <cell r="V5">
            <v>1108363.6499999999</v>
          </cell>
          <cell r="X5">
            <v>971981.81818181812</v>
          </cell>
          <cell r="Y5">
            <v>343636.2</v>
          </cell>
          <cell r="Z5">
            <v>0</v>
          </cell>
          <cell r="AA5">
            <v>255000</v>
          </cell>
          <cell r="AY5">
            <v>3087500</v>
          </cell>
        </row>
        <row r="6">
          <cell r="D6">
            <v>0</v>
          </cell>
          <cell r="K6">
            <v>59262250.077439077</v>
          </cell>
          <cell r="L6">
            <v>127598130.84278157</v>
          </cell>
          <cell r="M6">
            <v>0</v>
          </cell>
          <cell r="N6">
            <v>2220990.1311306059</v>
          </cell>
          <cell r="O6">
            <v>0</v>
          </cell>
          <cell r="P6">
            <v>34176044.610655405</v>
          </cell>
          <cell r="Q6">
            <v>0</v>
          </cell>
          <cell r="R6">
            <v>0</v>
          </cell>
          <cell r="S6">
            <v>0</v>
          </cell>
          <cell r="T6">
            <v>2738553.7112457831</v>
          </cell>
          <cell r="U6">
            <v>0</v>
          </cell>
          <cell r="V6">
            <v>18213744.359382551</v>
          </cell>
          <cell r="W6">
            <v>5203451.7129817642</v>
          </cell>
          <cell r="X6">
            <v>4204471.1212502709</v>
          </cell>
          <cell r="Y6">
            <v>1901955.962588245</v>
          </cell>
          <cell r="Z6">
            <v>1625345.4259039704</v>
          </cell>
          <cell r="AA6">
            <v>5237541.025917517</v>
          </cell>
          <cell r="AB6">
            <v>0</v>
          </cell>
          <cell r="AC6">
            <v>0</v>
          </cell>
          <cell r="AD6">
            <v>0</v>
          </cell>
          <cell r="AE6">
            <v>26968398.135106467</v>
          </cell>
          <cell r="AF6">
            <v>0</v>
          </cell>
          <cell r="AG6">
            <v>9112702.9337107018</v>
          </cell>
          <cell r="AH6">
            <v>21803766.037506841</v>
          </cell>
          <cell r="AI6">
            <v>6678704.0742464308</v>
          </cell>
          <cell r="AJ6">
            <v>18857265.444521472</v>
          </cell>
          <cell r="AK6">
            <v>0</v>
          </cell>
          <cell r="AY6">
            <v>3087500</v>
          </cell>
          <cell r="BN6" t="str">
            <v>didong</v>
          </cell>
        </row>
        <row r="7">
          <cell r="D7" t="str">
            <v>P02</v>
          </cell>
          <cell r="K7">
            <v>0</v>
          </cell>
          <cell r="L7">
            <v>10962147.746512979</v>
          </cell>
          <cell r="N7">
            <v>191166.42555631106</v>
          </cell>
          <cell r="P7">
            <v>122390.39589500186</v>
          </cell>
          <cell r="R7">
            <v>0</v>
          </cell>
          <cell r="T7">
            <v>14440.861407549115</v>
          </cell>
          <cell r="V7">
            <v>0</v>
          </cell>
          <cell r="W7">
            <v>0</v>
          </cell>
          <cell r="X7">
            <v>0</v>
          </cell>
          <cell r="Y7">
            <v>0</v>
          </cell>
          <cell r="Z7">
            <v>0</v>
          </cell>
          <cell r="AA7">
            <v>0</v>
          </cell>
          <cell r="AB7">
            <v>0</v>
          </cell>
          <cell r="AC7">
            <v>0</v>
          </cell>
          <cell r="AD7">
            <v>0</v>
          </cell>
          <cell r="AE7">
            <v>420964.26516334305</v>
          </cell>
          <cell r="AG7">
            <v>314676.2488309631</v>
          </cell>
          <cell r="AH7">
            <v>147196.84705763462</v>
          </cell>
          <cell r="AI7">
            <v>75816.895277825635</v>
          </cell>
          <cell r="AJ7">
            <v>0</v>
          </cell>
          <cell r="AY7">
            <v>0</v>
          </cell>
          <cell r="BN7">
            <v>0</v>
          </cell>
        </row>
        <row r="8">
          <cell r="D8" t="str">
            <v>P01</v>
          </cell>
          <cell r="K8">
            <v>0</v>
          </cell>
          <cell r="L8">
            <v>0</v>
          </cell>
          <cell r="N8">
            <v>0</v>
          </cell>
          <cell r="P8">
            <v>0</v>
          </cell>
          <cell r="R8">
            <v>0</v>
          </cell>
          <cell r="T8">
            <v>0</v>
          </cell>
          <cell r="V8">
            <v>0</v>
          </cell>
          <cell r="W8">
            <v>0</v>
          </cell>
          <cell r="X8">
            <v>0</v>
          </cell>
          <cell r="Y8">
            <v>0</v>
          </cell>
          <cell r="Z8">
            <v>0</v>
          </cell>
          <cell r="AA8">
            <v>0</v>
          </cell>
          <cell r="AB8">
            <v>0</v>
          </cell>
          <cell r="AC8">
            <v>0</v>
          </cell>
          <cell r="AD8">
            <v>0</v>
          </cell>
          <cell r="AE8">
            <v>0</v>
          </cell>
          <cell r="AG8">
            <v>0</v>
          </cell>
          <cell r="AH8">
            <v>0</v>
          </cell>
          <cell r="AI8">
            <v>0</v>
          </cell>
          <cell r="AJ8">
            <v>0</v>
          </cell>
          <cell r="AY8">
            <v>0</v>
          </cell>
          <cell r="BN8">
            <v>0</v>
          </cell>
        </row>
        <row r="9">
          <cell r="D9" t="str">
            <v>P02</v>
          </cell>
          <cell r="K9">
            <v>0</v>
          </cell>
          <cell r="L9">
            <v>3373771.5887362799</v>
          </cell>
          <cell r="N9">
            <v>46032.045259512357</v>
          </cell>
          <cell r="P9">
            <v>58487.226171007962</v>
          </cell>
          <cell r="R9">
            <v>0</v>
          </cell>
          <cell r="T9">
            <v>23466.772102360323</v>
          </cell>
          <cell r="V9">
            <v>0</v>
          </cell>
          <cell r="W9">
            <v>0</v>
          </cell>
          <cell r="X9">
            <v>0</v>
          </cell>
          <cell r="Y9">
            <v>0</v>
          </cell>
          <cell r="Z9">
            <v>0</v>
          </cell>
          <cell r="AA9">
            <v>0</v>
          </cell>
          <cell r="AB9">
            <v>0</v>
          </cell>
          <cell r="AC9">
            <v>0</v>
          </cell>
          <cell r="AD9">
            <v>0</v>
          </cell>
          <cell r="AE9">
            <v>560954.74013511522</v>
          </cell>
          <cell r="AG9">
            <v>118451.30221095572</v>
          </cell>
          <cell r="AH9">
            <v>35742.24892896309</v>
          </cell>
          <cell r="AI9">
            <v>56104.489002963601</v>
          </cell>
          <cell r="AJ9">
            <v>0</v>
          </cell>
          <cell r="AY9">
            <v>0</v>
          </cell>
          <cell r="BN9">
            <v>180000</v>
          </cell>
        </row>
        <row r="10">
          <cell r="D10" t="str">
            <v>P02</v>
          </cell>
          <cell r="K10">
            <v>0</v>
          </cell>
          <cell r="L10">
            <v>0</v>
          </cell>
          <cell r="N10">
            <v>0</v>
          </cell>
          <cell r="P10">
            <v>0</v>
          </cell>
          <cell r="R10">
            <v>0</v>
          </cell>
          <cell r="T10">
            <v>0</v>
          </cell>
          <cell r="V10">
            <v>0</v>
          </cell>
          <cell r="W10">
            <v>0</v>
          </cell>
          <cell r="X10">
            <v>0</v>
          </cell>
          <cell r="Y10">
            <v>0</v>
          </cell>
          <cell r="Z10">
            <v>0</v>
          </cell>
          <cell r="AA10">
            <v>0</v>
          </cell>
          <cell r="AB10">
            <v>0</v>
          </cell>
          <cell r="AC10">
            <v>0</v>
          </cell>
          <cell r="AD10">
            <v>0</v>
          </cell>
          <cell r="AE10">
            <v>0</v>
          </cell>
          <cell r="AG10">
            <v>0</v>
          </cell>
          <cell r="AH10">
            <v>0</v>
          </cell>
          <cell r="AI10">
            <v>0</v>
          </cell>
          <cell r="AJ10">
            <v>0</v>
          </cell>
          <cell r="AY10">
            <v>0</v>
          </cell>
          <cell r="BN10">
            <v>0</v>
          </cell>
        </row>
        <row r="11">
          <cell r="D11" t="str">
            <v>P02</v>
          </cell>
          <cell r="K11">
            <v>0</v>
          </cell>
          <cell r="L11">
            <v>0</v>
          </cell>
          <cell r="N11">
            <v>44948.856548915166</v>
          </cell>
          <cell r="P11">
            <v>-3249.566131791561</v>
          </cell>
          <cell r="R11">
            <v>0</v>
          </cell>
          <cell r="T11">
            <v>0</v>
          </cell>
          <cell r="V11">
            <v>0</v>
          </cell>
          <cell r="W11">
            <v>0</v>
          </cell>
          <cell r="X11">
            <v>0</v>
          </cell>
          <cell r="Y11">
            <v>0</v>
          </cell>
          <cell r="Z11">
            <v>0</v>
          </cell>
          <cell r="AA11">
            <v>0</v>
          </cell>
          <cell r="AB11">
            <v>0</v>
          </cell>
          <cell r="AC11">
            <v>0</v>
          </cell>
          <cell r="AD11">
            <v>0</v>
          </cell>
          <cell r="AE11">
            <v>1646129.1312283557</v>
          </cell>
          <cell r="AG11">
            <v>0</v>
          </cell>
          <cell r="AH11">
            <v>70672.165895393176</v>
          </cell>
          <cell r="AI11">
            <v>0</v>
          </cell>
          <cell r="AJ11">
            <v>0</v>
          </cell>
          <cell r="AY11">
            <v>0</v>
          </cell>
          <cell r="BN11">
            <v>0</v>
          </cell>
        </row>
        <row r="12">
          <cell r="D12" t="str">
            <v>P02</v>
          </cell>
          <cell r="K12">
            <v>0</v>
          </cell>
          <cell r="L12">
            <v>2786677.2014747923</v>
          </cell>
          <cell r="N12">
            <v>51175.950584538958</v>
          </cell>
          <cell r="P12">
            <v>117335.84619229767</v>
          </cell>
          <cell r="R12">
            <v>0</v>
          </cell>
          <cell r="T12">
            <v>28881.72281509823</v>
          </cell>
          <cell r="V12">
            <v>0</v>
          </cell>
          <cell r="W12">
            <v>0</v>
          </cell>
          <cell r="X12">
            <v>0</v>
          </cell>
          <cell r="Y12">
            <v>0</v>
          </cell>
          <cell r="Z12">
            <v>0</v>
          </cell>
          <cell r="AA12">
            <v>0</v>
          </cell>
          <cell r="AB12">
            <v>0</v>
          </cell>
          <cell r="AC12">
            <v>0</v>
          </cell>
          <cell r="AD12">
            <v>0</v>
          </cell>
          <cell r="AE12">
            <v>530176.69244628586</v>
          </cell>
          <cell r="AG12">
            <v>414832.28522348026</v>
          </cell>
          <cell r="AH12">
            <v>57512.505257507699</v>
          </cell>
          <cell r="AI12">
            <v>147301.39313575183</v>
          </cell>
          <cell r="AJ12">
            <v>0</v>
          </cell>
          <cell r="AY12">
            <v>0</v>
          </cell>
          <cell r="BN12">
            <v>0</v>
          </cell>
        </row>
        <row r="13">
          <cell r="D13" t="str">
            <v>P02</v>
          </cell>
          <cell r="K13">
            <v>5551360.012935048</v>
          </cell>
          <cell r="L13">
            <v>1200840.2799883571</v>
          </cell>
          <cell r="N13">
            <v>44948.856548915166</v>
          </cell>
          <cell r="P13">
            <v>88182.085149240113</v>
          </cell>
          <cell r="R13">
            <v>0</v>
          </cell>
          <cell r="T13">
            <v>0</v>
          </cell>
          <cell r="V13">
            <v>0</v>
          </cell>
          <cell r="W13">
            <v>0</v>
          </cell>
          <cell r="X13">
            <v>0</v>
          </cell>
          <cell r="Y13">
            <v>0</v>
          </cell>
          <cell r="Z13">
            <v>0</v>
          </cell>
          <cell r="AA13">
            <v>0</v>
          </cell>
          <cell r="AB13">
            <v>0</v>
          </cell>
          <cell r="AC13">
            <v>0</v>
          </cell>
          <cell r="AD13">
            <v>0</v>
          </cell>
          <cell r="AE13">
            <v>466634.91657257371</v>
          </cell>
          <cell r="AG13">
            <v>273478.83915921702</v>
          </cell>
          <cell r="AH13">
            <v>35065.315555254732</v>
          </cell>
          <cell r="AI13">
            <v>45490.153052139358</v>
          </cell>
          <cell r="AJ13">
            <v>0</v>
          </cell>
          <cell r="AY13">
            <v>0</v>
          </cell>
          <cell r="BN13">
            <v>60000</v>
          </cell>
        </row>
        <row r="14">
          <cell r="D14" t="str">
            <v>P02</v>
          </cell>
          <cell r="K14">
            <v>0</v>
          </cell>
          <cell r="L14">
            <v>2391129.6466609342</v>
          </cell>
          <cell r="N14">
            <v>67422.788403248735</v>
          </cell>
          <cell r="P14">
            <v>124556.77331619624</v>
          </cell>
          <cell r="R14">
            <v>0</v>
          </cell>
          <cell r="T14">
            <v>37908.626350157465</v>
          </cell>
          <cell r="V14">
            <v>0</v>
          </cell>
          <cell r="W14">
            <v>0</v>
          </cell>
          <cell r="X14">
            <v>0</v>
          </cell>
          <cell r="Y14">
            <v>0</v>
          </cell>
          <cell r="Z14">
            <v>0</v>
          </cell>
          <cell r="AA14">
            <v>0</v>
          </cell>
          <cell r="AB14">
            <v>0</v>
          </cell>
          <cell r="AC14">
            <v>0</v>
          </cell>
          <cell r="AD14">
            <v>0</v>
          </cell>
          <cell r="AE14">
            <v>326644.4416008016</v>
          </cell>
          <cell r="AG14">
            <v>510826.43458029401</v>
          </cell>
          <cell r="AH14">
            <v>100809.37491773114</v>
          </cell>
          <cell r="AI14">
            <v>40074.646348862552</v>
          </cell>
          <cell r="AJ14">
            <v>0</v>
          </cell>
          <cell r="AY14">
            <v>0</v>
          </cell>
          <cell r="BN14">
            <v>90000</v>
          </cell>
        </row>
        <row r="15">
          <cell r="D15" t="str">
            <v>P02</v>
          </cell>
          <cell r="K15">
            <v>0</v>
          </cell>
          <cell r="L15">
            <v>3517037.2946099681</v>
          </cell>
          <cell r="N15">
            <v>67422.788403248735</v>
          </cell>
          <cell r="P15">
            <v>292437.12369528785</v>
          </cell>
          <cell r="R15">
            <v>0</v>
          </cell>
          <cell r="T15">
            <v>0</v>
          </cell>
          <cell r="V15">
            <v>0</v>
          </cell>
          <cell r="W15">
            <v>0</v>
          </cell>
          <cell r="X15">
            <v>0</v>
          </cell>
          <cell r="Y15">
            <v>0</v>
          </cell>
          <cell r="Z15">
            <v>0</v>
          </cell>
          <cell r="AA15">
            <v>0</v>
          </cell>
          <cell r="AB15">
            <v>0</v>
          </cell>
          <cell r="AC15">
            <v>0</v>
          </cell>
          <cell r="AD15">
            <v>0</v>
          </cell>
          <cell r="AE15">
            <v>389193.37722648698</v>
          </cell>
          <cell r="AG15">
            <v>263399.52496124944</v>
          </cell>
          <cell r="AH15">
            <v>0</v>
          </cell>
          <cell r="AI15">
            <v>0</v>
          </cell>
          <cell r="AJ15">
            <v>0</v>
          </cell>
          <cell r="AY15">
            <v>0</v>
          </cell>
          <cell r="BN15">
            <v>0</v>
          </cell>
        </row>
        <row r="16">
          <cell r="D16" t="str">
            <v>P02</v>
          </cell>
          <cell r="K16">
            <v>0</v>
          </cell>
          <cell r="L16">
            <v>2843295.9022990139</v>
          </cell>
          <cell r="N16">
            <v>60924.64897991364</v>
          </cell>
          <cell r="P16">
            <v>373651.45598387619</v>
          </cell>
          <cell r="R16">
            <v>0</v>
          </cell>
          <cell r="T16">
            <v>23466.772102360323</v>
          </cell>
          <cell r="V16">
            <v>0</v>
          </cell>
          <cell r="W16">
            <v>0</v>
          </cell>
          <cell r="X16">
            <v>0</v>
          </cell>
          <cell r="Y16">
            <v>0</v>
          </cell>
          <cell r="Z16">
            <v>0</v>
          </cell>
          <cell r="AA16">
            <v>0</v>
          </cell>
          <cell r="AB16">
            <v>0</v>
          </cell>
          <cell r="AC16">
            <v>0</v>
          </cell>
          <cell r="AD16">
            <v>0</v>
          </cell>
          <cell r="AE16">
            <v>633432.07824106805</v>
          </cell>
          <cell r="AG16">
            <v>148138.21846720364</v>
          </cell>
          <cell r="AH16">
            <v>50039.148500548334</v>
          </cell>
          <cell r="AI16">
            <v>47439.694163164684</v>
          </cell>
          <cell r="AJ16">
            <v>0</v>
          </cell>
          <cell r="AY16">
            <v>0</v>
          </cell>
          <cell r="BN16">
            <v>0</v>
          </cell>
        </row>
        <row r="17">
          <cell r="D17" t="str">
            <v>P02</v>
          </cell>
          <cell r="K17">
            <v>0</v>
          </cell>
          <cell r="L17">
            <v>0</v>
          </cell>
          <cell r="N17">
            <v>0</v>
          </cell>
          <cell r="P17">
            <v>38127.05120472335</v>
          </cell>
          <cell r="R17">
            <v>0</v>
          </cell>
          <cell r="T17">
            <v>0</v>
          </cell>
          <cell r="V17">
            <v>0</v>
          </cell>
          <cell r="W17">
            <v>0</v>
          </cell>
          <cell r="X17">
            <v>0</v>
          </cell>
          <cell r="Y17">
            <v>0</v>
          </cell>
          <cell r="Z17">
            <v>0</v>
          </cell>
          <cell r="AA17">
            <v>0</v>
          </cell>
          <cell r="AB17">
            <v>0</v>
          </cell>
          <cell r="AC17">
            <v>0</v>
          </cell>
          <cell r="AD17">
            <v>0</v>
          </cell>
          <cell r="AE17">
            <v>446778.11161203863</v>
          </cell>
          <cell r="AG17">
            <v>0</v>
          </cell>
          <cell r="AH17">
            <v>278907.58042300004</v>
          </cell>
          <cell r="AI17">
            <v>84481.690117624559</v>
          </cell>
          <cell r="AJ17">
            <v>0</v>
          </cell>
          <cell r="AY17">
            <v>0</v>
          </cell>
          <cell r="BN17">
            <v>0</v>
          </cell>
        </row>
        <row r="18">
          <cell r="D18" t="str">
            <v>P02</v>
          </cell>
          <cell r="K18">
            <v>0</v>
          </cell>
          <cell r="L18">
            <v>3351486.1474527474</v>
          </cell>
          <cell r="N18">
            <v>53072.275458270058</v>
          </cell>
          <cell r="P18">
            <v>58487.226171007962</v>
          </cell>
          <cell r="R18">
            <v>0</v>
          </cell>
          <cell r="T18">
            <v>23466.772102360323</v>
          </cell>
          <cell r="V18">
            <v>0</v>
          </cell>
          <cell r="W18">
            <v>0</v>
          </cell>
          <cell r="X18">
            <v>0</v>
          </cell>
          <cell r="Y18">
            <v>0</v>
          </cell>
          <cell r="Z18">
            <v>0</v>
          </cell>
          <cell r="AA18">
            <v>0</v>
          </cell>
          <cell r="AB18">
            <v>0</v>
          </cell>
          <cell r="AC18">
            <v>0</v>
          </cell>
          <cell r="AD18">
            <v>0</v>
          </cell>
          <cell r="AE18">
            <v>337565.68432909588</v>
          </cell>
          <cell r="AG18">
            <v>375209.32161705499</v>
          </cell>
          <cell r="AH18">
            <v>0</v>
          </cell>
          <cell r="AI18">
            <v>0</v>
          </cell>
          <cell r="AJ18">
            <v>0</v>
          </cell>
          <cell r="AY18">
            <v>0</v>
          </cell>
          <cell r="BN18">
            <v>-60000</v>
          </cell>
        </row>
        <row r="19">
          <cell r="D19" t="str">
            <v>P02</v>
          </cell>
          <cell r="K19">
            <v>0</v>
          </cell>
          <cell r="L19">
            <v>0</v>
          </cell>
          <cell r="N19">
            <v>0</v>
          </cell>
          <cell r="P19">
            <v>0</v>
          </cell>
          <cell r="R19">
            <v>0</v>
          </cell>
          <cell r="T19">
            <v>0</v>
          </cell>
          <cell r="V19">
            <v>0</v>
          </cell>
          <cell r="W19">
            <v>0</v>
          </cell>
          <cell r="X19">
            <v>0</v>
          </cell>
          <cell r="Y19">
            <v>0</v>
          </cell>
          <cell r="Z19">
            <v>0</v>
          </cell>
          <cell r="AA19">
            <v>0</v>
          </cell>
          <cell r="AB19">
            <v>0</v>
          </cell>
          <cell r="AC19">
            <v>0</v>
          </cell>
          <cell r="AD19">
            <v>0</v>
          </cell>
          <cell r="AE19">
            <v>0</v>
          </cell>
          <cell r="AG19">
            <v>0</v>
          </cell>
          <cell r="AH19">
            <v>0</v>
          </cell>
          <cell r="AI19">
            <v>0</v>
          </cell>
          <cell r="AJ19">
            <v>0</v>
          </cell>
          <cell r="AY19">
            <v>0</v>
          </cell>
          <cell r="BN19">
            <v>0</v>
          </cell>
        </row>
        <row r="20">
          <cell r="D20" t="str">
            <v>P02</v>
          </cell>
          <cell r="K20">
            <v>0</v>
          </cell>
          <cell r="L20">
            <v>1677395.5872148201</v>
          </cell>
          <cell r="N20">
            <v>24369.26388781664</v>
          </cell>
          <cell r="P20">
            <v>58487.226171007962</v>
          </cell>
          <cell r="R20">
            <v>0</v>
          </cell>
          <cell r="T20">
            <v>0</v>
          </cell>
          <cell r="AE20">
            <v>481527.52029297495</v>
          </cell>
          <cell r="AH20">
            <v>98188.37000000001</v>
          </cell>
          <cell r="AI20">
            <v>34572.484548737972</v>
          </cell>
          <cell r="AJ20">
            <v>0</v>
          </cell>
          <cell r="AY20">
            <v>0</v>
          </cell>
          <cell r="BN20">
            <v>0</v>
          </cell>
        </row>
        <row r="21">
          <cell r="D21" t="str">
            <v>P03</v>
          </cell>
          <cell r="K21">
            <v>0</v>
          </cell>
          <cell r="L21">
            <v>0</v>
          </cell>
          <cell r="N21">
            <v>0</v>
          </cell>
          <cell r="P21">
            <v>0</v>
          </cell>
          <cell r="R21">
            <v>0</v>
          </cell>
          <cell r="T21">
            <v>0</v>
          </cell>
          <cell r="V21">
            <v>0</v>
          </cell>
          <cell r="W21">
            <v>0</v>
          </cell>
          <cell r="X21">
            <v>0</v>
          </cell>
          <cell r="Y21">
            <v>0</v>
          </cell>
          <cell r="Z21">
            <v>0</v>
          </cell>
          <cell r="AA21">
            <v>0</v>
          </cell>
          <cell r="AB21">
            <v>0</v>
          </cell>
          <cell r="AC21">
            <v>0</v>
          </cell>
          <cell r="AD21">
            <v>0</v>
          </cell>
          <cell r="AE21">
            <v>972907.39807055367</v>
          </cell>
          <cell r="AG21">
            <v>0</v>
          </cell>
          <cell r="AH21">
            <v>0</v>
          </cell>
          <cell r="AI21">
            <v>0</v>
          </cell>
          <cell r="AJ21">
            <v>0</v>
          </cell>
          <cell r="AY21">
            <v>0</v>
          </cell>
          <cell r="BN21">
            <v>0</v>
          </cell>
        </row>
        <row r="22">
          <cell r="D22" t="str">
            <v>P03</v>
          </cell>
          <cell r="K22">
            <v>0</v>
          </cell>
          <cell r="V22">
            <v>0</v>
          </cell>
          <cell r="W22">
            <v>0</v>
          </cell>
          <cell r="X22">
            <v>0</v>
          </cell>
          <cell r="Y22">
            <v>0</v>
          </cell>
          <cell r="Z22">
            <v>0</v>
          </cell>
          <cell r="AA22">
            <v>0</v>
          </cell>
          <cell r="AB22">
            <v>0</v>
          </cell>
          <cell r="AC22">
            <v>0</v>
          </cell>
          <cell r="AD22">
            <v>0</v>
          </cell>
          <cell r="AE22">
            <v>968920.07266862516</v>
          </cell>
          <cell r="AG22">
            <v>0</v>
          </cell>
          <cell r="AJ22">
            <v>0</v>
          </cell>
          <cell r="AY22">
            <v>0</v>
          </cell>
          <cell r="BN22">
            <v>0</v>
          </cell>
        </row>
        <row r="23">
          <cell r="D23" t="str">
            <v>P03</v>
          </cell>
          <cell r="K23">
            <v>2961028.5120000001</v>
          </cell>
          <cell r="L23">
            <v>1155427.2</v>
          </cell>
          <cell r="N23">
            <v>0</v>
          </cell>
          <cell r="P23">
            <v>2252501.8432</v>
          </cell>
          <cell r="R23">
            <v>0</v>
          </cell>
          <cell r="T23">
            <v>94995.820800000001</v>
          </cell>
          <cell r="V23">
            <v>0</v>
          </cell>
          <cell r="W23">
            <v>0</v>
          </cell>
          <cell r="X23">
            <v>0</v>
          </cell>
          <cell r="Y23">
            <v>0</v>
          </cell>
          <cell r="Z23">
            <v>0</v>
          </cell>
          <cell r="AA23">
            <v>0</v>
          </cell>
          <cell r="AB23">
            <v>0</v>
          </cell>
          <cell r="AC23">
            <v>0</v>
          </cell>
          <cell r="AD23">
            <v>0</v>
          </cell>
          <cell r="AE23">
            <v>316473.59999999998</v>
          </cell>
          <cell r="AG23">
            <v>64500.902399999999</v>
          </cell>
          <cell r="AH23">
            <v>1481521.4730399998</v>
          </cell>
          <cell r="AI23">
            <v>337077.86252800003</v>
          </cell>
          <cell r="AJ23">
            <v>839948.79999999993</v>
          </cell>
          <cell r="AY23">
            <v>0</v>
          </cell>
          <cell r="BN23">
            <v>660000</v>
          </cell>
        </row>
        <row r="24">
          <cell r="D24" t="str">
            <v>P03</v>
          </cell>
          <cell r="K24">
            <v>1758289.662</v>
          </cell>
          <cell r="L24">
            <v>1273348.44</v>
          </cell>
          <cell r="N24">
            <v>0</v>
          </cell>
          <cell r="P24">
            <v>4411858.0980000002</v>
          </cell>
          <cell r="R24">
            <v>0</v>
          </cell>
          <cell r="T24">
            <v>103570.8336</v>
          </cell>
          <cell r="V24">
            <v>0</v>
          </cell>
          <cell r="W24">
            <v>0</v>
          </cell>
          <cell r="X24">
            <v>0</v>
          </cell>
          <cell r="Y24">
            <v>0</v>
          </cell>
          <cell r="Z24">
            <v>0</v>
          </cell>
          <cell r="AA24">
            <v>0</v>
          </cell>
          <cell r="AB24">
            <v>0</v>
          </cell>
          <cell r="AC24">
            <v>0</v>
          </cell>
          <cell r="AD24">
            <v>0</v>
          </cell>
          <cell r="AE24">
            <v>557728.79999999993</v>
          </cell>
          <cell r="AG24">
            <v>32159.714399999997</v>
          </cell>
          <cell r="AH24">
            <v>451224.40222799993</v>
          </cell>
          <cell r="AI24">
            <v>141822.8916</v>
          </cell>
          <cell r="AJ24">
            <v>23817.599999999999</v>
          </cell>
          <cell r="AY24">
            <v>237500</v>
          </cell>
          <cell r="BN24">
            <v>180000</v>
          </cell>
        </row>
        <row r="25">
          <cell r="D25" t="str">
            <v>P03</v>
          </cell>
          <cell r="K25">
            <v>0</v>
          </cell>
          <cell r="L25">
            <v>1327779.3588421901</v>
          </cell>
          <cell r="N25">
            <v>53285.619840021973</v>
          </cell>
          <cell r="P25">
            <v>308474.44556344592</v>
          </cell>
          <cell r="R25">
            <v>0</v>
          </cell>
          <cell r="T25">
            <v>0</v>
          </cell>
          <cell r="V25">
            <v>0</v>
          </cell>
          <cell r="W25">
            <v>0</v>
          </cell>
          <cell r="X25">
            <v>0</v>
          </cell>
          <cell r="Y25">
            <v>0</v>
          </cell>
          <cell r="Z25">
            <v>0</v>
          </cell>
          <cell r="AA25">
            <v>0</v>
          </cell>
          <cell r="AB25">
            <v>0</v>
          </cell>
          <cell r="AC25">
            <v>0</v>
          </cell>
          <cell r="AD25">
            <v>0</v>
          </cell>
          <cell r="AE25">
            <v>498415.67524106236</v>
          </cell>
          <cell r="AG25">
            <v>168105.24021276532</v>
          </cell>
          <cell r="AH25">
            <v>1769456.0315858743</v>
          </cell>
          <cell r="AI25">
            <v>78273.031809541309</v>
          </cell>
          <cell r="AJ25">
            <v>0</v>
          </cell>
          <cell r="AY25">
            <v>37500</v>
          </cell>
          <cell r="BN25">
            <v>90000</v>
          </cell>
        </row>
        <row r="26">
          <cell r="D26" t="str">
            <v>P03</v>
          </cell>
          <cell r="K26">
            <v>0</v>
          </cell>
          <cell r="L26">
            <v>1406728.4018003743</v>
          </cell>
          <cell r="N26">
            <v>36067.351923144233</v>
          </cell>
          <cell r="P26">
            <v>863619.79296044598</v>
          </cell>
          <cell r="R26">
            <v>0</v>
          </cell>
          <cell r="T26">
            <v>96963.779124097229</v>
          </cell>
          <cell r="V26">
            <v>0</v>
          </cell>
          <cell r="W26">
            <v>0</v>
          </cell>
          <cell r="X26">
            <v>0</v>
          </cell>
          <cell r="Y26">
            <v>0</v>
          </cell>
          <cell r="Z26">
            <v>0</v>
          </cell>
          <cell r="AA26">
            <v>0</v>
          </cell>
          <cell r="AB26">
            <v>0</v>
          </cell>
          <cell r="AC26">
            <v>0</v>
          </cell>
          <cell r="AD26">
            <v>0</v>
          </cell>
          <cell r="AE26">
            <v>863255.94951752003</v>
          </cell>
          <cell r="AG26">
            <v>179347.40450036767</v>
          </cell>
          <cell r="AH26">
            <v>1522548.0882413322</v>
          </cell>
          <cell r="AI26">
            <v>362500.95033640019</v>
          </cell>
          <cell r="AJ26">
            <v>0</v>
          </cell>
          <cell r="AY26">
            <v>0</v>
          </cell>
          <cell r="BN26">
            <v>0</v>
          </cell>
        </row>
        <row r="27">
          <cell r="D27" t="str">
            <v>P03</v>
          </cell>
          <cell r="K27">
            <v>0</v>
          </cell>
          <cell r="L27">
            <v>1009889.8411734406</v>
          </cell>
          <cell r="N27">
            <v>73131.535196770594</v>
          </cell>
          <cell r="P27">
            <v>349798.08919768239</v>
          </cell>
          <cell r="R27">
            <v>0</v>
          </cell>
          <cell r="T27">
            <v>0</v>
          </cell>
          <cell r="V27">
            <v>0</v>
          </cell>
          <cell r="W27">
            <v>0</v>
          </cell>
          <cell r="X27">
            <v>0</v>
          </cell>
          <cell r="Y27">
            <v>0</v>
          </cell>
          <cell r="Z27">
            <v>0</v>
          </cell>
          <cell r="AA27">
            <v>0</v>
          </cell>
          <cell r="AB27">
            <v>0</v>
          </cell>
          <cell r="AC27">
            <v>0</v>
          </cell>
          <cell r="AD27">
            <v>0</v>
          </cell>
          <cell r="AE27">
            <v>430631.14340827789</v>
          </cell>
          <cell r="AG27">
            <v>197178.22528211668</v>
          </cell>
          <cell r="AH27">
            <v>487744.12712341652</v>
          </cell>
          <cell r="AI27">
            <v>80471.483543148614</v>
          </cell>
          <cell r="AJ27">
            <v>0</v>
          </cell>
          <cell r="AY27">
            <v>0</v>
          </cell>
          <cell r="BN27">
            <v>0</v>
          </cell>
        </row>
        <row r="28">
          <cell r="D28" t="str">
            <v>P03</v>
          </cell>
          <cell r="K28">
            <v>2411533.4062550054</v>
          </cell>
          <cell r="L28">
            <v>2622065.1843081806</v>
          </cell>
          <cell r="N28">
            <v>0</v>
          </cell>
          <cell r="P28">
            <v>2175.0860067519961</v>
          </cell>
          <cell r="R28">
            <v>0</v>
          </cell>
          <cell r="T28">
            <v>0</v>
          </cell>
          <cell r="V28">
            <v>0</v>
          </cell>
          <cell r="W28">
            <v>0</v>
          </cell>
          <cell r="X28">
            <v>0</v>
          </cell>
          <cell r="Y28">
            <v>0</v>
          </cell>
          <cell r="Z28">
            <v>0</v>
          </cell>
          <cell r="AA28">
            <v>0</v>
          </cell>
          <cell r="AB28">
            <v>0</v>
          </cell>
          <cell r="AC28">
            <v>0</v>
          </cell>
          <cell r="AD28">
            <v>0</v>
          </cell>
          <cell r="AE28">
            <v>623019.59405132791</v>
          </cell>
          <cell r="AG28">
            <v>88834.121045240259</v>
          </cell>
          <cell r="AH28">
            <v>26033.596440163834</v>
          </cell>
          <cell r="AI28">
            <v>0</v>
          </cell>
          <cell r="AJ28">
            <v>0</v>
          </cell>
          <cell r="AY28">
            <v>0</v>
          </cell>
          <cell r="BN28">
            <v>0</v>
          </cell>
        </row>
        <row r="29">
          <cell r="D29" t="str">
            <v>P03</v>
          </cell>
          <cell r="K29">
            <v>1992579.1452862753</v>
          </cell>
          <cell r="L29">
            <v>3880465.0811568149</v>
          </cell>
          <cell r="N29">
            <v>0</v>
          </cell>
          <cell r="P29">
            <v>880838.06087732373</v>
          </cell>
          <cell r="R29">
            <v>0</v>
          </cell>
          <cell r="T29">
            <v>11780.552899997749</v>
          </cell>
          <cell r="V29">
            <v>0</v>
          </cell>
          <cell r="W29">
            <v>0</v>
          </cell>
          <cell r="X29">
            <v>0</v>
          </cell>
          <cell r="Y29">
            <v>0</v>
          </cell>
          <cell r="Z29">
            <v>0</v>
          </cell>
          <cell r="AA29">
            <v>0</v>
          </cell>
          <cell r="AB29">
            <v>0</v>
          </cell>
          <cell r="AC29">
            <v>0</v>
          </cell>
          <cell r="AD29">
            <v>0</v>
          </cell>
          <cell r="AE29">
            <v>568193.86977481109</v>
          </cell>
          <cell r="AG29">
            <v>273219.01277526934</v>
          </cell>
          <cell r="AH29">
            <v>29541.296437807858</v>
          </cell>
          <cell r="AI29">
            <v>118742.55046943069</v>
          </cell>
          <cell r="AJ29">
            <v>0</v>
          </cell>
          <cell r="AY29">
            <v>0</v>
          </cell>
          <cell r="BN29">
            <v>0</v>
          </cell>
        </row>
        <row r="30">
          <cell r="D30" t="str">
            <v>P03</v>
          </cell>
          <cell r="K30">
            <v>0</v>
          </cell>
          <cell r="L30">
            <v>0</v>
          </cell>
          <cell r="N30">
            <v>0</v>
          </cell>
          <cell r="P30">
            <v>0</v>
          </cell>
          <cell r="R30">
            <v>0</v>
          </cell>
          <cell r="T30">
            <v>0</v>
          </cell>
          <cell r="V30">
            <v>0</v>
          </cell>
          <cell r="W30">
            <v>0</v>
          </cell>
          <cell r="X30">
            <v>0</v>
          </cell>
          <cell r="Y30">
            <v>0</v>
          </cell>
          <cell r="Z30">
            <v>0</v>
          </cell>
          <cell r="AA30">
            <v>0</v>
          </cell>
          <cell r="AB30">
            <v>0</v>
          </cell>
          <cell r="AC30">
            <v>0</v>
          </cell>
          <cell r="AD30">
            <v>0</v>
          </cell>
          <cell r="AE30">
            <v>980882.04887441068</v>
          </cell>
          <cell r="AG30">
            <v>0</v>
          </cell>
          <cell r="AH30">
            <v>1122899.1560038272</v>
          </cell>
          <cell r="AI30">
            <v>198487.2642115698</v>
          </cell>
          <cell r="AJ30">
            <v>0</v>
          </cell>
          <cell r="AY30">
            <v>0</v>
          </cell>
          <cell r="BN30">
            <v>0</v>
          </cell>
        </row>
        <row r="31">
          <cell r="D31" t="str">
            <v>P03</v>
          </cell>
          <cell r="K31">
            <v>0</v>
          </cell>
          <cell r="L31">
            <v>2766180.0831414331</v>
          </cell>
          <cell r="N31">
            <v>21748.866404818997</v>
          </cell>
          <cell r="P31">
            <v>300499.7947595889</v>
          </cell>
          <cell r="R31">
            <v>0</v>
          </cell>
          <cell r="T31">
            <v>0</v>
          </cell>
          <cell r="V31">
            <v>0</v>
          </cell>
          <cell r="W31">
            <v>0</v>
          </cell>
          <cell r="X31">
            <v>0</v>
          </cell>
          <cell r="Y31">
            <v>0</v>
          </cell>
          <cell r="Z31">
            <v>0</v>
          </cell>
          <cell r="AA31">
            <v>0</v>
          </cell>
          <cell r="AB31">
            <v>0</v>
          </cell>
          <cell r="AC31">
            <v>0</v>
          </cell>
          <cell r="AD31">
            <v>0</v>
          </cell>
          <cell r="AE31">
            <v>381786.40723465377</v>
          </cell>
          <cell r="AG31">
            <v>195499.06287222952</v>
          </cell>
          <cell r="AH31">
            <v>106711.71315395388</v>
          </cell>
          <cell r="AI31">
            <v>80471.483543148614</v>
          </cell>
          <cell r="AJ31">
            <v>0</v>
          </cell>
          <cell r="AY31">
            <v>0</v>
          </cell>
          <cell r="BN31">
            <v>0</v>
          </cell>
        </row>
        <row r="32">
          <cell r="D32" t="str">
            <v>P03</v>
          </cell>
          <cell r="K32">
            <v>2579907.3563999999</v>
          </cell>
          <cell r="L32">
            <v>1390730.4000000001</v>
          </cell>
          <cell r="N32">
            <v>0</v>
          </cell>
          <cell r="P32">
            <v>1680490.77</v>
          </cell>
          <cell r="R32">
            <v>0</v>
          </cell>
          <cell r="T32">
            <v>137463.45360000001</v>
          </cell>
          <cell r="V32">
            <v>0</v>
          </cell>
          <cell r="W32">
            <v>0</v>
          </cell>
          <cell r="X32">
            <v>0</v>
          </cell>
          <cell r="Y32">
            <v>0</v>
          </cell>
          <cell r="Z32">
            <v>0</v>
          </cell>
          <cell r="AA32">
            <v>0</v>
          </cell>
          <cell r="AB32">
            <v>0</v>
          </cell>
          <cell r="AC32">
            <v>0</v>
          </cell>
          <cell r="AD32">
            <v>0</v>
          </cell>
          <cell r="AE32">
            <v>389961.60000000003</v>
          </cell>
          <cell r="AG32">
            <v>48356.233200000002</v>
          </cell>
          <cell r="AH32">
            <v>155835.15637799999</v>
          </cell>
          <cell r="AI32">
            <v>269271.15086400002</v>
          </cell>
          <cell r="AJ32">
            <v>787881.6</v>
          </cell>
          <cell r="AY32">
            <v>0</v>
          </cell>
          <cell r="BN32">
            <v>0</v>
          </cell>
        </row>
        <row r="33">
          <cell r="D33" t="str">
            <v>P03</v>
          </cell>
          <cell r="K33">
            <v>0</v>
          </cell>
          <cell r="L33">
            <v>270000</v>
          </cell>
          <cell r="N33">
            <v>0</v>
          </cell>
          <cell r="P33">
            <v>0</v>
          </cell>
          <cell r="R33">
            <v>0</v>
          </cell>
          <cell r="T33">
            <v>0</v>
          </cell>
          <cell r="V33">
            <v>4711271.7749999994</v>
          </cell>
          <cell r="W33">
            <v>2074227.4999999998</v>
          </cell>
          <cell r="X33">
            <v>0</v>
          </cell>
          <cell r="Y33">
            <v>107672.67599999999</v>
          </cell>
          <cell r="Z33">
            <v>205731.69</v>
          </cell>
          <cell r="AA33">
            <v>155100</v>
          </cell>
          <cell r="AB33">
            <v>0</v>
          </cell>
          <cell r="AC33">
            <v>0</v>
          </cell>
          <cell r="AD33">
            <v>0</v>
          </cell>
          <cell r="AE33">
            <v>10000</v>
          </cell>
          <cell r="AG33">
            <v>713814.47399999993</v>
          </cell>
          <cell r="AH33">
            <v>0</v>
          </cell>
          <cell r="AI33">
            <v>0</v>
          </cell>
          <cell r="AJ33">
            <v>0</v>
          </cell>
          <cell r="AY33">
            <v>0</v>
          </cell>
          <cell r="BN33">
            <v>1980000</v>
          </cell>
        </row>
        <row r="34">
          <cell r="D34" t="str">
            <v>P03</v>
          </cell>
          <cell r="K34">
            <v>0</v>
          </cell>
          <cell r="L34">
            <v>474427.93125088199</v>
          </cell>
          <cell r="N34">
            <v>0</v>
          </cell>
          <cell r="P34">
            <v>415023.9844544665</v>
          </cell>
          <cell r="R34">
            <v>0</v>
          </cell>
          <cell r="T34">
            <v>0</v>
          </cell>
          <cell r="V34">
            <v>2482791.0794247463</v>
          </cell>
          <cell r="W34">
            <v>1993039.9117346406</v>
          </cell>
          <cell r="X34">
            <v>0</v>
          </cell>
          <cell r="Y34">
            <v>214184.1716013689</v>
          </cell>
          <cell r="Z34">
            <v>387996.27775766287</v>
          </cell>
          <cell r="AA34">
            <v>114996.55641766661</v>
          </cell>
          <cell r="AB34">
            <v>0</v>
          </cell>
          <cell r="AC34">
            <v>0</v>
          </cell>
          <cell r="AD34">
            <v>0</v>
          </cell>
          <cell r="AE34">
            <v>39784.312893155722</v>
          </cell>
          <cell r="AG34">
            <v>277471.82522731693</v>
          </cell>
          <cell r="AH34">
            <v>0</v>
          </cell>
          <cell r="AI34">
            <v>0</v>
          </cell>
          <cell r="AJ34">
            <v>0</v>
          </cell>
          <cell r="AY34">
            <v>0</v>
          </cell>
          <cell r="BN34">
            <v>750000</v>
          </cell>
        </row>
        <row r="35">
          <cell r="D35" t="str">
            <v>P04</v>
          </cell>
          <cell r="K35">
            <v>3426680.2584000002</v>
          </cell>
          <cell r="L35">
            <v>4065358.2</v>
          </cell>
          <cell r="N35">
            <v>48938.817900000002</v>
          </cell>
          <cell r="P35">
            <v>885610.07160000002</v>
          </cell>
          <cell r="R35">
            <v>0</v>
          </cell>
          <cell r="T35">
            <v>159574.77989999999</v>
          </cell>
          <cell r="V35">
            <v>0</v>
          </cell>
          <cell r="W35">
            <v>0</v>
          </cell>
          <cell r="X35">
            <v>0</v>
          </cell>
          <cell r="Y35">
            <v>0</v>
          </cell>
          <cell r="Z35">
            <v>0</v>
          </cell>
          <cell r="AA35">
            <v>0</v>
          </cell>
          <cell r="AB35">
            <v>0</v>
          </cell>
          <cell r="AC35">
            <v>0</v>
          </cell>
          <cell r="AD35">
            <v>0</v>
          </cell>
          <cell r="AE35">
            <v>372840.6</v>
          </cell>
          <cell r="AG35">
            <v>106672.2876</v>
          </cell>
          <cell r="AH35">
            <v>2543770.9932645001</v>
          </cell>
          <cell r="AI35">
            <v>527334.818616</v>
          </cell>
          <cell r="AJ35">
            <v>3867972</v>
          </cell>
          <cell r="AY35">
            <v>112500</v>
          </cell>
          <cell r="BN35">
            <v>360000</v>
          </cell>
        </row>
        <row r="36">
          <cell r="D36" t="str">
            <v>P04</v>
          </cell>
          <cell r="K36">
            <v>0</v>
          </cell>
          <cell r="L36">
            <v>0</v>
          </cell>
          <cell r="N36">
            <v>0</v>
          </cell>
          <cell r="P36">
            <v>0</v>
          </cell>
          <cell r="R36">
            <v>0</v>
          </cell>
          <cell r="T36">
            <v>0</v>
          </cell>
          <cell r="V36">
            <v>0</v>
          </cell>
          <cell r="W36">
            <v>0</v>
          </cell>
          <cell r="X36">
            <v>0</v>
          </cell>
          <cell r="Y36">
            <v>0</v>
          </cell>
          <cell r="Z36">
            <v>0</v>
          </cell>
          <cell r="AA36">
            <v>0</v>
          </cell>
          <cell r="AB36">
            <v>0</v>
          </cell>
          <cell r="AC36">
            <v>0</v>
          </cell>
          <cell r="AD36">
            <v>0</v>
          </cell>
          <cell r="AE36">
            <v>1917692.6716799829</v>
          </cell>
          <cell r="AG36">
            <v>0</v>
          </cell>
          <cell r="AH36">
            <v>28780.340901642161</v>
          </cell>
          <cell r="AI36">
            <v>0</v>
          </cell>
          <cell r="AJ36">
            <v>0</v>
          </cell>
          <cell r="AY36">
            <v>0</v>
          </cell>
          <cell r="BN36">
            <v>0</v>
          </cell>
        </row>
        <row r="37">
          <cell r="D37" t="str">
            <v>P04</v>
          </cell>
          <cell r="K37">
            <v>3484960.9695000001</v>
          </cell>
          <cell r="L37">
            <v>1795581.9</v>
          </cell>
          <cell r="N37">
            <v>48997.727099999996</v>
          </cell>
          <cell r="P37">
            <v>1457952.6168</v>
          </cell>
          <cell r="R37">
            <v>0</v>
          </cell>
          <cell r="T37">
            <v>151256.06640000001</v>
          </cell>
          <cell r="V37">
            <v>0</v>
          </cell>
          <cell r="W37">
            <v>0</v>
          </cell>
          <cell r="X37">
            <v>0</v>
          </cell>
          <cell r="Y37">
            <v>0</v>
          </cell>
          <cell r="Z37">
            <v>0</v>
          </cell>
          <cell r="AA37">
            <v>0</v>
          </cell>
          <cell r="AB37">
            <v>0</v>
          </cell>
          <cell r="AC37">
            <v>0</v>
          </cell>
          <cell r="AD37">
            <v>0</v>
          </cell>
          <cell r="AE37">
            <v>708651</v>
          </cell>
          <cell r="AG37">
            <v>190223.68698</v>
          </cell>
          <cell r="AH37">
            <v>1476048.6788310001</v>
          </cell>
          <cell r="AI37">
            <v>271991.35267200001</v>
          </cell>
          <cell r="AJ37">
            <v>1872435.5999999999</v>
          </cell>
          <cell r="AY37">
            <v>0</v>
          </cell>
          <cell r="BN37">
            <v>-60000</v>
          </cell>
        </row>
        <row r="38">
          <cell r="D38" t="str">
            <v>P04</v>
          </cell>
          <cell r="K38">
            <v>0</v>
          </cell>
          <cell r="L38">
            <v>682362.70826366625</v>
          </cell>
          <cell r="N38">
            <v>15974.511241812066</v>
          </cell>
          <cell r="P38">
            <v>0</v>
          </cell>
          <cell r="R38">
            <v>0</v>
          </cell>
          <cell r="T38">
            <v>0</v>
          </cell>
          <cell r="V38">
            <v>2880417.7279959675</v>
          </cell>
          <cell r="W38">
            <v>217198.05124712316</v>
          </cell>
          <cell r="X38">
            <v>236728.12125027049</v>
          </cell>
          <cell r="Y38">
            <v>433857.87743777165</v>
          </cell>
          <cell r="Z38">
            <v>645621.73997034645</v>
          </cell>
          <cell r="AA38">
            <v>1635145.8549439679</v>
          </cell>
          <cell r="AB38">
            <v>0</v>
          </cell>
          <cell r="AC38">
            <v>0</v>
          </cell>
          <cell r="AD38">
            <v>0</v>
          </cell>
          <cell r="AE38">
            <v>97619.843814544525</v>
          </cell>
          <cell r="AG38">
            <v>150883.78140627887</v>
          </cell>
          <cell r="AH38">
            <v>0</v>
          </cell>
          <cell r="AI38">
            <v>0</v>
          </cell>
          <cell r="AJ38">
            <v>0</v>
          </cell>
          <cell r="AY38">
            <v>0</v>
          </cell>
          <cell r="BN38">
            <v>-390000</v>
          </cell>
        </row>
        <row r="39">
          <cell r="D39" t="str">
            <v>P04</v>
          </cell>
          <cell r="K39">
            <v>0</v>
          </cell>
          <cell r="L39">
            <v>1231350.0657970118</v>
          </cell>
          <cell r="N39">
            <v>40774.890595507495</v>
          </cell>
          <cell r="P39">
            <v>29358.439524082067</v>
          </cell>
          <cell r="R39">
            <v>0</v>
          </cell>
          <cell r="T39">
            <v>0</v>
          </cell>
          <cell r="V39">
            <v>0</v>
          </cell>
          <cell r="W39">
            <v>0</v>
          </cell>
          <cell r="X39">
            <v>0</v>
          </cell>
          <cell r="Y39">
            <v>0</v>
          </cell>
          <cell r="Z39">
            <v>0</v>
          </cell>
          <cell r="AA39">
            <v>0</v>
          </cell>
          <cell r="AB39">
            <v>0</v>
          </cell>
          <cell r="AC39">
            <v>0</v>
          </cell>
          <cell r="AD39">
            <v>0</v>
          </cell>
          <cell r="AE39">
            <v>438557.57564407092</v>
          </cell>
          <cell r="AG39">
            <v>562283.23954042362</v>
          </cell>
          <cell r="AH39">
            <v>489968.47420349234</v>
          </cell>
          <cell r="AI39">
            <v>0</v>
          </cell>
          <cell r="AJ39">
            <v>0</v>
          </cell>
          <cell r="AY39">
            <v>0</v>
          </cell>
          <cell r="BN39">
            <v>120000</v>
          </cell>
        </row>
        <row r="40">
          <cell r="D40" t="str">
            <v>P04</v>
          </cell>
          <cell r="K40">
            <v>1091108.6037000001</v>
          </cell>
          <cell r="L40">
            <v>2287881.81</v>
          </cell>
          <cell r="N40">
            <v>24351.094499999999</v>
          </cell>
          <cell r="P40">
            <v>1292255.8866000001</v>
          </cell>
          <cell r="R40">
            <v>0</v>
          </cell>
          <cell r="T40">
            <v>194053.76790000001</v>
          </cell>
          <cell r="V40">
            <v>0</v>
          </cell>
          <cell r="W40">
            <v>0</v>
          </cell>
          <cell r="X40">
            <v>0</v>
          </cell>
          <cell r="Y40">
            <v>0</v>
          </cell>
          <cell r="Z40">
            <v>0</v>
          </cell>
          <cell r="AA40">
            <v>0</v>
          </cell>
          <cell r="AB40">
            <v>0</v>
          </cell>
          <cell r="AC40">
            <v>0</v>
          </cell>
          <cell r="AD40">
            <v>0</v>
          </cell>
          <cell r="AE40">
            <v>138894</v>
          </cell>
          <cell r="AG40">
            <v>105490.19141999999</v>
          </cell>
          <cell r="AH40">
            <v>2443870.8140729996</v>
          </cell>
          <cell r="AI40">
            <v>163479.984096</v>
          </cell>
          <cell r="AJ40">
            <v>1515928.8</v>
          </cell>
          <cell r="AY40">
            <v>0</v>
          </cell>
          <cell r="BN40">
            <v>180000</v>
          </cell>
        </row>
        <row r="41">
          <cell r="D41" t="str">
            <v>P04</v>
          </cell>
          <cell r="K41">
            <v>0</v>
          </cell>
          <cell r="L41">
            <v>620937.38000431901</v>
          </cell>
          <cell r="N41">
            <v>24464.535668599368</v>
          </cell>
          <cell r="P41">
            <v>29358.439524082067</v>
          </cell>
          <cell r="R41">
            <v>0</v>
          </cell>
          <cell r="T41">
            <v>13591.297957914889</v>
          </cell>
          <cell r="AE41">
            <v>259147.65833513284</v>
          </cell>
          <cell r="AH41">
            <v>310571.65500000003</v>
          </cell>
          <cell r="AI41">
            <v>80462.636829863855</v>
          </cell>
          <cell r="AJ41">
            <v>0</v>
          </cell>
          <cell r="AY41">
            <v>0</v>
          </cell>
          <cell r="BN41">
            <v>0</v>
          </cell>
        </row>
        <row r="42">
          <cell r="D42" t="str">
            <v>P05</v>
          </cell>
          <cell r="K42">
            <v>0</v>
          </cell>
          <cell r="L42">
            <v>3068044.6863469905</v>
          </cell>
          <cell r="N42">
            <v>83074.177227050721</v>
          </cell>
          <cell r="P42">
            <v>1912325.6518778901</v>
          </cell>
          <cell r="R42">
            <v>0</v>
          </cell>
          <cell r="T42">
            <v>86872.764013922992</v>
          </cell>
          <cell r="V42">
            <v>0</v>
          </cell>
          <cell r="W42">
            <v>0</v>
          </cell>
          <cell r="X42">
            <v>0</v>
          </cell>
          <cell r="Y42">
            <v>0</v>
          </cell>
          <cell r="Z42">
            <v>0</v>
          </cell>
          <cell r="AA42">
            <v>0</v>
          </cell>
          <cell r="AB42">
            <v>0</v>
          </cell>
          <cell r="AC42">
            <v>0</v>
          </cell>
          <cell r="AD42">
            <v>0</v>
          </cell>
          <cell r="AE42">
            <v>1463292.0798485959</v>
          </cell>
          <cell r="AG42">
            <v>114580.2493176956</v>
          </cell>
          <cell r="AH42">
            <v>622518.43497956952</v>
          </cell>
          <cell r="AI42">
            <v>541358.34333663969</v>
          </cell>
          <cell r="AJ42">
            <v>549481.10753498296</v>
          </cell>
          <cell r="AY42">
            <v>112500</v>
          </cell>
          <cell r="BN42">
            <v>0</v>
          </cell>
        </row>
        <row r="43">
          <cell r="D43" t="str">
            <v>P05</v>
          </cell>
          <cell r="K43">
            <v>1459830.5433</v>
          </cell>
          <cell r="L43">
            <v>531221.49</v>
          </cell>
          <cell r="N43">
            <v>0</v>
          </cell>
          <cell r="P43">
            <v>423746.49420000002</v>
          </cell>
          <cell r="R43">
            <v>0</v>
          </cell>
          <cell r="T43">
            <v>27024.815699999999</v>
          </cell>
          <cell r="V43">
            <v>0</v>
          </cell>
          <cell r="W43">
            <v>0</v>
          </cell>
          <cell r="X43">
            <v>0</v>
          </cell>
          <cell r="Y43">
            <v>0</v>
          </cell>
          <cell r="Z43">
            <v>0</v>
          </cell>
          <cell r="AA43">
            <v>0</v>
          </cell>
          <cell r="AB43">
            <v>0</v>
          </cell>
          <cell r="AC43">
            <v>0</v>
          </cell>
          <cell r="AD43">
            <v>0</v>
          </cell>
          <cell r="AE43">
            <v>99090</v>
          </cell>
          <cell r="AG43">
            <v>48166.658100000001</v>
          </cell>
          <cell r="AH43">
            <v>729701.21247749997</v>
          </cell>
          <cell r="AI43">
            <v>14759.019504</v>
          </cell>
          <cell r="AJ43">
            <v>828392.4</v>
          </cell>
          <cell r="AY43">
            <v>737500</v>
          </cell>
          <cell r="BN43">
            <v>240000</v>
          </cell>
        </row>
        <row r="44">
          <cell r="D44" t="str">
            <v>P05</v>
          </cell>
          <cell r="K44">
            <v>2330345.2185</v>
          </cell>
          <cell r="L44">
            <v>966654</v>
          </cell>
          <cell r="N44">
            <v>0</v>
          </cell>
          <cell r="P44">
            <v>2477575.9709999999</v>
          </cell>
          <cell r="R44">
            <v>0</v>
          </cell>
          <cell r="T44">
            <v>41588.001000000004</v>
          </cell>
          <cell r="V44">
            <v>0</v>
          </cell>
          <cell r="W44">
            <v>0</v>
          </cell>
          <cell r="X44">
            <v>0</v>
          </cell>
          <cell r="Y44">
            <v>0</v>
          </cell>
          <cell r="Z44">
            <v>0</v>
          </cell>
          <cell r="AA44">
            <v>0</v>
          </cell>
          <cell r="AB44">
            <v>0</v>
          </cell>
          <cell r="AC44">
            <v>0</v>
          </cell>
          <cell r="AD44">
            <v>0</v>
          </cell>
          <cell r="AE44">
            <v>397800</v>
          </cell>
          <cell r="AG44">
            <v>0</v>
          </cell>
          <cell r="AH44">
            <v>74858.729984999998</v>
          </cell>
          <cell r="AI44">
            <v>151887.27996000001</v>
          </cell>
          <cell r="AJ44">
            <v>727974</v>
          </cell>
          <cell r="AY44">
            <v>153125</v>
          </cell>
          <cell r="BN44">
            <v>240000</v>
          </cell>
        </row>
        <row r="45">
          <cell r="D45" t="str">
            <v>P05</v>
          </cell>
          <cell r="K45">
            <v>2338163.9928000001</v>
          </cell>
          <cell r="L45">
            <v>752964.12</v>
          </cell>
          <cell r="N45">
            <v>0</v>
          </cell>
          <cell r="P45">
            <v>1782448.8168000001</v>
          </cell>
          <cell r="R45">
            <v>0</v>
          </cell>
          <cell r="T45">
            <v>72347.824800000002</v>
          </cell>
          <cell r="V45">
            <v>0</v>
          </cell>
          <cell r="W45">
            <v>0</v>
          </cell>
          <cell r="X45">
            <v>0</v>
          </cell>
          <cell r="Y45">
            <v>7045.2188181818174</v>
          </cell>
          <cell r="Z45">
            <v>0</v>
          </cell>
          <cell r="AA45">
            <v>0</v>
          </cell>
          <cell r="AB45">
            <v>0</v>
          </cell>
          <cell r="AC45">
            <v>0</v>
          </cell>
          <cell r="AD45">
            <v>0</v>
          </cell>
          <cell r="AE45">
            <v>674474.4</v>
          </cell>
          <cell r="AG45">
            <v>0</v>
          </cell>
          <cell r="AH45">
            <v>723399.33051599993</v>
          </cell>
          <cell r="AI45">
            <v>573981.45484799996</v>
          </cell>
          <cell r="AJ45">
            <v>222835.20000000001</v>
          </cell>
          <cell r="AY45">
            <v>559375</v>
          </cell>
          <cell r="BN45">
            <v>0</v>
          </cell>
        </row>
        <row r="46">
          <cell r="D46" t="str">
            <v>P05</v>
          </cell>
          <cell r="K46">
            <v>0</v>
          </cell>
          <cell r="L46">
            <v>0</v>
          </cell>
          <cell r="N46">
            <v>0</v>
          </cell>
          <cell r="P46">
            <v>0</v>
          </cell>
          <cell r="R46">
            <v>0</v>
          </cell>
          <cell r="T46">
            <v>0</v>
          </cell>
          <cell r="V46">
            <v>0</v>
          </cell>
          <cell r="W46">
            <v>0</v>
          </cell>
          <cell r="X46">
            <v>0</v>
          </cell>
          <cell r="Y46">
            <v>0</v>
          </cell>
          <cell r="Z46">
            <v>0</v>
          </cell>
          <cell r="AA46">
            <v>0</v>
          </cell>
          <cell r="AB46">
            <v>0</v>
          </cell>
          <cell r="AC46">
            <v>0</v>
          </cell>
          <cell r="AD46">
            <v>0</v>
          </cell>
          <cell r="AE46">
            <v>0</v>
          </cell>
          <cell r="AG46">
            <v>0</v>
          </cell>
          <cell r="AH46">
            <v>0</v>
          </cell>
          <cell r="AI46">
            <v>0</v>
          </cell>
          <cell r="AJ46">
            <v>0</v>
          </cell>
          <cell r="AY46">
            <v>0</v>
          </cell>
          <cell r="BN46">
            <v>0</v>
          </cell>
        </row>
        <row r="47">
          <cell r="D47" t="str">
            <v>P06</v>
          </cell>
          <cell r="K47">
            <v>0</v>
          </cell>
          <cell r="L47">
            <v>1750575.3928933123</v>
          </cell>
          <cell r="N47">
            <v>25364.80909955559</v>
          </cell>
          <cell r="P47">
            <v>140953.80362119959</v>
          </cell>
          <cell r="R47">
            <v>0</v>
          </cell>
          <cell r="T47">
            <v>14493.464873425106</v>
          </cell>
          <cell r="V47">
            <v>0</v>
          </cell>
          <cell r="W47">
            <v>0</v>
          </cell>
          <cell r="X47">
            <v>0</v>
          </cell>
          <cell r="Y47">
            <v>0</v>
          </cell>
          <cell r="Z47">
            <v>0</v>
          </cell>
          <cell r="AA47">
            <v>0</v>
          </cell>
          <cell r="AB47">
            <v>0</v>
          </cell>
          <cell r="AC47">
            <v>0</v>
          </cell>
          <cell r="AD47">
            <v>0</v>
          </cell>
          <cell r="AE47">
            <v>428476.44520954246</v>
          </cell>
          <cell r="AG47">
            <v>494023.37675810925</v>
          </cell>
          <cell r="AH47">
            <v>503335.69449149206</v>
          </cell>
          <cell r="AI47">
            <v>57395.9145210922</v>
          </cell>
          <cell r="AJ47">
            <v>0</v>
          </cell>
          <cell r="AY47">
            <v>103125</v>
          </cell>
          <cell r="BN47">
            <v>780000</v>
          </cell>
        </row>
        <row r="48">
          <cell r="D48" t="str">
            <v>P06</v>
          </cell>
          <cell r="K48">
            <v>0</v>
          </cell>
          <cell r="L48">
            <v>738000</v>
          </cell>
          <cell r="N48">
            <v>43364</v>
          </cell>
          <cell r="P48">
            <v>792727</v>
          </cell>
          <cell r="R48">
            <v>0</v>
          </cell>
          <cell r="T48">
            <v>0</v>
          </cell>
          <cell r="V48">
            <v>4683439.3514999999</v>
          </cell>
          <cell r="W48">
            <v>918986.25</v>
          </cell>
          <cell r="X48">
            <v>512421</v>
          </cell>
          <cell r="Y48">
            <v>529868.07013636362</v>
          </cell>
          <cell r="Z48">
            <v>269483.98749999999</v>
          </cell>
          <cell r="AA48">
            <v>68250</v>
          </cell>
          <cell r="AB48">
            <v>0</v>
          </cell>
          <cell r="AC48">
            <v>0</v>
          </cell>
          <cell r="AD48">
            <v>0</v>
          </cell>
          <cell r="AE48">
            <v>10000</v>
          </cell>
          <cell r="AG48">
            <v>497088.77400000003</v>
          </cell>
          <cell r="AH48">
            <v>0</v>
          </cell>
          <cell r="AI48">
            <v>0</v>
          </cell>
          <cell r="AJ48">
            <v>0</v>
          </cell>
          <cell r="AY48">
            <v>0</v>
          </cell>
          <cell r="BN48">
            <v>540000</v>
          </cell>
        </row>
        <row r="49">
          <cell r="D49" t="str">
            <v>P01</v>
          </cell>
          <cell r="K49">
            <v>0</v>
          </cell>
          <cell r="L49">
            <v>0</v>
          </cell>
          <cell r="N49">
            <v>0</v>
          </cell>
          <cell r="P49">
            <v>0</v>
          </cell>
          <cell r="R49">
            <v>0</v>
          </cell>
          <cell r="T49">
            <v>0</v>
          </cell>
          <cell r="V49">
            <v>7473.4263699338808</v>
          </cell>
          <cell r="W49">
            <v>0</v>
          </cell>
          <cell r="X49">
            <v>0</v>
          </cell>
          <cell r="Y49">
            <v>0</v>
          </cell>
          <cell r="Z49">
            <v>0</v>
          </cell>
          <cell r="AA49">
            <v>0</v>
          </cell>
          <cell r="AB49">
            <v>0</v>
          </cell>
          <cell r="AC49">
            <v>0</v>
          </cell>
          <cell r="AD49">
            <v>0</v>
          </cell>
          <cell r="AE49">
            <v>0</v>
          </cell>
          <cell r="AG49">
            <v>80307.945086035499</v>
          </cell>
          <cell r="AH49">
            <v>0</v>
          </cell>
          <cell r="AI49">
            <v>0</v>
          </cell>
          <cell r="AJ49">
            <v>0</v>
          </cell>
          <cell r="AY49">
            <v>0</v>
          </cell>
          <cell r="BN49">
            <v>0</v>
          </cell>
        </row>
        <row r="50">
          <cell r="D50" t="str">
            <v>P06</v>
          </cell>
          <cell r="V50">
            <v>0</v>
          </cell>
          <cell r="W50">
            <v>0</v>
          </cell>
          <cell r="X50">
            <v>0</v>
          </cell>
          <cell r="Y50">
            <v>0</v>
          </cell>
          <cell r="Z50">
            <v>0</v>
          </cell>
          <cell r="AA50">
            <v>0</v>
          </cell>
          <cell r="AB50">
            <v>0</v>
          </cell>
          <cell r="AC50">
            <v>0</v>
          </cell>
          <cell r="AD50">
            <v>0</v>
          </cell>
          <cell r="AG50">
            <v>0</v>
          </cell>
          <cell r="AY50">
            <v>0</v>
          </cell>
          <cell r="BN50">
            <v>0</v>
          </cell>
        </row>
        <row r="51">
          <cell r="D51" t="str">
            <v>P06</v>
          </cell>
          <cell r="K51">
            <v>3211977.0151989507</v>
          </cell>
          <cell r="L51">
            <v>6248355.4150393866</v>
          </cell>
          <cell r="N51">
            <v>48917.063190189881</v>
          </cell>
          <cell r="P51">
            <v>0</v>
          </cell>
          <cell r="R51">
            <v>0</v>
          </cell>
          <cell r="T51">
            <v>0</v>
          </cell>
          <cell r="V51">
            <v>0</v>
          </cell>
          <cell r="W51">
            <v>0</v>
          </cell>
          <cell r="X51">
            <v>0</v>
          </cell>
          <cell r="Y51">
            <v>0</v>
          </cell>
          <cell r="Z51">
            <v>0</v>
          </cell>
          <cell r="AA51">
            <v>0</v>
          </cell>
          <cell r="AB51">
            <v>0</v>
          </cell>
          <cell r="AC51">
            <v>0</v>
          </cell>
          <cell r="AD51">
            <v>0</v>
          </cell>
          <cell r="AE51">
            <v>498228.42466225871</v>
          </cell>
          <cell r="AG51">
            <v>417131.98327135271</v>
          </cell>
          <cell r="AH51">
            <v>0</v>
          </cell>
          <cell r="AI51">
            <v>0</v>
          </cell>
          <cell r="AJ51">
            <v>19929.136986490346</v>
          </cell>
          <cell r="AY51">
            <v>93750</v>
          </cell>
          <cell r="BN51">
            <v>0</v>
          </cell>
        </row>
        <row r="52">
          <cell r="D52" t="str">
            <v>P06</v>
          </cell>
          <cell r="K52">
            <v>3206130.9917000001</v>
          </cell>
          <cell r="L52">
            <v>1123196.1000000001</v>
          </cell>
          <cell r="N52">
            <v>40626.727899999998</v>
          </cell>
          <cell r="P52">
            <v>4008517.0608000001</v>
          </cell>
          <cell r="R52">
            <v>0</v>
          </cell>
          <cell r="T52">
            <v>245564.83009999999</v>
          </cell>
          <cell r="V52">
            <v>0</v>
          </cell>
          <cell r="W52">
            <v>0</v>
          </cell>
          <cell r="X52">
            <v>0</v>
          </cell>
          <cell r="Y52">
            <v>0</v>
          </cell>
          <cell r="Z52">
            <v>0</v>
          </cell>
          <cell r="AA52">
            <v>0</v>
          </cell>
          <cell r="AB52">
            <v>0</v>
          </cell>
          <cell r="AC52">
            <v>0</v>
          </cell>
          <cell r="AD52">
            <v>0</v>
          </cell>
          <cell r="AE52">
            <v>615722</v>
          </cell>
          <cell r="AG52">
            <v>-22067.6751</v>
          </cell>
          <cell r="AH52">
            <v>936547.02671000012</v>
          </cell>
          <cell r="AI52">
            <v>529773.52491599997</v>
          </cell>
          <cell r="AJ52">
            <v>1024879.2</v>
          </cell>
          <cell r="AY52">
            <v>525000</v>
          </cell>
          <cell r="BN52">
            <v>180000</v>
          </cell>
        </row>
        <row r="53">
          <cell r="D53" t="str">
            <v>P06</v>
          </cell>
          <cell r="K53">
            <v>0</v>
          </cell>
          <cell r="L53">
            <v>2455767.905160273</v>
          </cell>
          <cell r="N53">
            <v>67668.388180778653</v>
          </cell>
          <cell r="P53">
            <v>84609.151076144772</v>
          </cell>
          <cell r="R53">
            <v>0</v>
          </cell>
          <cell r="T53">
            <v>0</v>
          </cell>
          <cell r="V53">
            <v>0</v>
          </cell>
          <cell r="W53">
            <v>0</v>
          </cell>
          <cell r="X53">
            <v>0</v>
          </cell>
          <cell r="Y53">
            <v>0</v>
          </cell>
          <cell r="Z53">
            <v>0</v>
          </cell>
          <cell r="AA53">
            <v>0</v>
          </cell>
          <cell r="AB53">
            <v>0</v>
          </cell>
          <cell r="AC53">
            <v>0</v>
          </cell>
          <cell r="AD53">
            <v>0</v>
          </cell>
          <cell r="AE53">
            <v>145482.70000137953</v>
          </cell>
          <cell r="AG53">
            <v>80727.951648025773</v>
          </cell>
          <cell r="AH53">
            <v>198579.79006423237</v>
          </cell>
          <cell r="AI53">
            <v>0</v>
          </cell>
          <cell r="AJ53">
            <v>0</v>
          </cell>
          <cell r="AY53">
            <v>0</v>
          </cell>
          <cell r="BN53">
            <v>90000</v>
          </cell>
        </row>
        <row r="54">
          <cell r="D54" t="str">
            <v>P06</v>
          </cell>
          <cell r="K54">
            <v>3405594.5597638004</v>
          </cell>
          <cell r="L54">
            <v>3342886.533778959</v>
          </cell>
          <cell r="N54">
            <v>48917.063190189881</v>
          </cell>
          <cell r="P54">
            <v>0</v>
          </cell>
          <cell r="R54">
            <v>0</v>
          </cell>
          <cell r="T54">
            <v>0</v>
          </cell>
          <cell r="V54">
            <v>0</v>
          </cell>
          <cell r="W54">
            <v>0</v>
          </cell>
          <cell r="X54">
            <v>0</v>
          </cell>
          <cell r="Y54">
            <v>0</v>
          </cell>
          <cell r="Z54">
            <v>0</v>
          </cell>
          <cell r="AA54">
            <v>0</v>
          </cell>
          <cell r="AB54">
            <v>0</v>
          </cell>
          <cell r="AC54">
            <v>0</v>
          </cell>
          <cell r="AD54">
            <v>0</v>
          </cell>
          <cell r="AE54">
            <v>677590.65754067188</v>
          </cell>
          <cell r="AG54">
            <v>193747.08395526186</v>
          </cell>
          <cell r="AH54">
            <v>0</v>
          </cell>
          <cell r="AI54">
            <v>0</v>
          </cell>
          <cell r="AJ54">
            <v>0</v>
          </cell>
          <cell r="AY54">
            <v>0</v>
          </cell>
          <cell r="BN54">
            <v>0</v>
          </cell>
        </row>
        <row r="55">
          <cell r="D55" t="str">
            <v>P06</v>
          </cell>
          <cell r="K55">
            <v>0</v>
          </cell>
          <cell r="L55">
            <v>2062665.678101751</v>
          </cell>
          <cell r="N55">
            <v>48917.063190189881</v>
          </cell>
          <cell r="P55">
            <v>122293.15620389937</v>
          </cell>
          <cell r="R55">
            <v>0</v>
          </cell>
          <cell r="T55">
            <v>0</v>
          </cell>
          <cell r="V55">
            <v>0</v>
          </cell>
          <cell r="W55">
            <v>0</v>
          </cell>
          <cell r="X55">
            <v>0</v>
          </cell>
          <cell r="Y55">
            <v>0</v>
          </cell>
          <cell r="Z55">
            <v>0</v>
          </cell>
          <cell r="AA55">
            <v>0</v>
          </cell>
          <cell r="AB55">
            <v>0</v>
          </cell>
          <cell r="AC55">
            <v>0</v>
          </cell>
          <cell r="AD55">
            <v>0</v>
          </cell>
          <cell r="AE55">
            <v>281000.8315095139</v>
          </cell>
          <cell r="AG55">
            <v>96873.541977630928</v>
          </cell>
          <cell r="AH55">
            <v>246152.93190173825</v>
          </cell>
          <cell r="AI55">
            <v>0</v>
          </cell>
          <cell r="AJ55">
            <v>0</v>
          </cell>
          <cell r="AY55">
            <v>0</v>
          </cell>
          <cell r="BN55">
            <v>180000</v>
          </cell>
        </row>
        <row r="56">
          <cell r="D56" t="str">
            <v>P07</v>
          </cell>
          <cell r="K56">
            <v>0</v>
          </cell>
          <cell r="L56">
            <v>2674835.0447125109</v>
          </cell>
          <cell r="N56">
            <v>414473.60958467243</v>
          </cell>
          <cell r="P56">
            <v>390070.98239941103</v>
          </cell>
          <cell r="R56">
            <v>0</v>
          </cell>
          <cell r="T56">
            <v>336530.8604603472</v>
          </cell>
          <cell r="V56">
            <v>0</v>
          </cell>
          <cell r="W56">
            <v>0</v>
          </cell>
          <cell r="X56">
            <v>0</v>
          </cell>
          <cell r="Y56">
            <v>0</v>
          </cell>
          <cell r="Z56">
            <v>0</v>
          </cell>
          <cell r="AA56">
            <v>0</v>
          </cell>
          <cell r="AB56">
            <v>0</v>
          </cell>
          <cell r="AC56">
            <v>0</v>
          </cell>
          <cell r="AD56">
            <v>0</v>
          </cell>
          <cell r="AE56">
            <v>1489144.4687220731</v>
          </cell>
          <cell r="AG56">
            <v>101898.33691639172</v>
          </cell>
          <cell r="AH56">
            <v>306698.22438433627</v>
          </cell>
          <cell r="AI56">
            <v>391937.81101065752</v>
          </cell>
          <cell r="AJ56">
            <v>0</v>
          </cell>
          <cell r="AY56">
            <v>0</v>
          </cell>
          <cell r="BN56">
            <v>0</v>
          </cell>
        </row>
        <row r="57">
          <cell r="D57" t="str">
            <v>P07</v>
          </cell>
          <cell r="K57">
            <v>0</v>
          </cell>
          <cell r="L57">
            <v>456000</v>
          </cell>
          <cell r="N57">
            <v>0</v>
          </cell>
          <cell r="P57">
            <v>174182</v>
          </cell>
          <cell r="R57">
            <v>0</v>
          </cell>
          <cell r="T57">
            <v>0</v>
          </cell>
          <cell r="V57">
            <v>2403584.9999999995</v>
          </cell>
          <cell r="W57">
            <v>0</v>
          </cell>
          <cell r="X57">
            <v>3455322</v>
          </cell>
          <cell r="Y57">
            <v>319581.66600000003</v>
          </cell>
          <cell r="Z57">
            <v>0</v>
          </cell>
          <cell r="AA57">
            <v>823050</v>
          </cell>
          <cell r="AB57">
            <v>0</v>
          </cell>
          <cell r="AC57">
            <v>0</v>
          </cell>
          <cell r="AD57">
            <v>0</v>
          </cell>
          <cell r="AE57">
            <v>30000</v>
          </cell>
          <cell r="AG57">
            <v>48761.387999999999</v>
          </cell>
          <cell r="AH57">
            <v>0</v>
          </cell>
          <cell r="AI57">
            <v>0</v>
          </cell>
          <cell r="AJ57">
            <v>0</v>
          </cell>
          <cell r="AY57">
            <v>0</v>
          </cell>
          <cell r="BN57">
            <v>2100000</v>
          </cell>
        </row>
        <row r="58">
          <cell r="D58" t="str">
            <v>P02</v>
          </cell>
          <cell r="K58">
            <v>3848213.213</v>
          </cell>
          <cell r="L58">
            <v>935957.1</v>
          </cell>
          <cell r="N58">
            <v>31611.009299999998</v>
          </cell>
          <cell r="P58">
            <v>1939617.0286999999</v>
          </cell>
          <cell r="R58">
            <v>0</v>
          </cell>
          <cell r="T58">
            <v>180885.0589</v>
          </cell>
          <cell r="V58">
            <v>0</v>
          </cell>
          <cell r="W58">
            <v>0</v>
          </cell>
          <cell r="X58">
            <v>0</v>
          </cell>
          <cell r="Y58">
            <v>0</v>
          </cell>
          <cell r="Z58">
            <v>0</v>
          </cell>
          <cell r="AA58">
            <v>0</v>
          </cell>
          <cell r="AB58">
            <v>0</v>
          </cell>
          <cell r="AC58">
            <v>0</v>
          </cell>
          <cell r="AD58">
            <v>0</v>
          </cell>
          <cell r="AE58">
            <v>135226</v>
          </cell>
          <cell r="AG58">
            <v>43499.113319999997</v>
          </cell>
          <cell r="AH58">
            <v>58291.205348999996</v>
          </cell>
          <cell r="AI58">
            <v>503939.70244800003</v>
          </cell>
          <cell r="AJ58">
            <v>0</v>
          </cell>
          <cell r="AY58">
            <v>75000</v>
          </cell>
          <cell r="BN58">
            <v>810000</v>
          </cell>
        </row>
        <row r="59">
          <cell r="D59" t="str">
            <v>P07</v>
          </cell>
          <cell r="K59">
            <v>0</v>
          </cell>
          <cell r="L59">
            <v>1558420.7720383683</v>
          </cell>
          <cell r="N59">
            <v>25120.061266613899</v>
          </cell>
          <cell r="P59">
            <v>1633.2233901491259</v>
          </cell>
          <cell r="R59">
            <v>0</v>
          </cell>
          <cell r="T59">
            <v>26914.139890958981</v>
          </cell>
          <cell r="V59">
            <v>0</v>
          </cell>
          <cell r="W59">
            <v>0</v>
          </cell>
          <cell r="X59">
            <v>0</v>
          </cell>
          <cell r="Y59">
            <v>0</v>
          </cell>
          <cell r="Z59">
            <v>0</v>
          </cell>
          <cell r="AA59">
            <v>0</v>
          </cell>
          <cell r="AB59">
            <v>0</v>
          </cell>
          <cell r="AC59">
            <v>0</v>
          </cell>
          <cell r="AD59">
            <v>0</v>
          </cell>
          <cell r="AE59">
            <v>414473.60958467243</v>
          </cell>
          <cell r="AG59">
            <v>122435.20821873395</v>
          </cell>
          <cell r="AH59">
            <v>194979.18693352732</v>
          </cell>
          <cell r="AI59">
            <v>16148.326039866975</v>
          </cell>
          <cell r="AJ59">
            <v>0</v>
          </cell>
          <cell r="AY59">
            <v>0</v>
          </cell>
          <cell r="BN59">
            <v>0</v>
          </cell>
        </row>
        <row r="60">
          <cell r="D60" t="str">
            <v>P08</v>
          </cell>
          <cell r="K60">
            <v>2011200.2439999999</v>
          </cell>
          <cell r="L60">
            <v>502488</v>
          </cell>
          <cell r="N60">
            <v>0</v>
          </cell>
          <cell r="P60">
            <v>1040234.905</v>
          </cell>
          <cell r="R60">
            <v>0</v>
          </cell>
          <cell r="T60">
            <v>196681.18100000001</v>
          </cell>
          <cell r="V60">
            <v>0</v>
          </cell>
          <cell r="W60">
            <v>0</v>
          </cell>
          <cell r="X60">
            <v>0</v>
          </cell>
          <cell r="Y60">
            <v>0</v>
          </cell>
          <cell r="Z60">
            <v>0</v>
          </cell>
          <cell r="AA60">
            <v>0</v>
          </cell>
          <cell r="AB60">
            <v>0</v>
          </cell>
          <cell r="AC60">
            <v>0</v>
          </cell>
          <cell r="AD60">
            <v>0</v>
          </cell>
          <cell r="AE60">
            <v>0</v>
          </cell>
          <cell r="AG60">
            <v>0</v>
          </cell>
          <cell r="AH60">
            <v>0</v>
          </cell>
          <cell r="AI60">
            <v>271908.93864000001</v>
          </cell>
          <cell r="AJ60">
            <v>1714840</v>
          </cell>
          <cell r="AY60">
            <v>203125</v>
          </cell>
          <cell r="BN60">
            <v>960000</v>
          </cell>
        </row>
        <row r="61">
          <cell r="D61" t="str">
            <v>P08</v>
          </cell>
          <cell r="K61">
            <v>0</v>
          </cell>
          <cell r="L61">
            <v>655502.4414819408</v>
          </cell>
          <cell r="N61">
            <v>0</v>
          </cell>
          <cell r="P61">
            <v>9890.5617346147883</v>
          </cell>
          <cell r="R61">
            <v>0</v>
          </cell>
          <cell r="T61">
            <v>0</v>
          </cell>
          <cell r="V61">
            <v>1044765.9990919043</v>
          </cell>
          <cell r="W61">
            <v>0</v>
          </cell>
          <cell r="X61">
            <v>0</v>
          </cell>
          <cell r="Y61">
            <v>289746.28259455902</v>
          </cell>
          <cell r="Z61">
            <v>116511.73067596109</v>
          </cell>
          <cell r="AA61">
            <v>2440998.6145558828</v>
          </cell>
          <cell r="AB61">
            <v>0</v>
          </cell>
          <cell r="AC61">
            <v>0</v>
          </cell>
          <cell r="AD61">
            <v>0</v>
          </cell>
          <cell r="AE61">
            <v>0</v>
          </cell>
          <cell r="AG61">
            <v>119099.99022593396</v>
          </cell>
          <cell r="AH61">
            <v>0</v>
          </cell>
          <cell r="AI61">
            <v>0</v>
          </cell>
          <cell r="AJ61">
            <v>0</v>
          </cell>
          <cell r="AY61">
            <v>0</v>
          </cell>
          <cell r="BN61">
            <v>540000</v>
          </cell>
        </row>
        <row r="62">
          <cell r="D62" t="str">
            <v>P08</v>
          </cell>
          <cell r="K62">
            <v>0</v>
          </cell>
          <cell r="L62">
            <v>1897170.3255757301</v>
          </cell>
          <cell r="N62">
            <v>0</v>
          </cell>
          <cell r="P62">
            <v>-1630.0460336336823</v>
          </cell>
          <cell r="R62">
            <v>0</v>
          </cell>
          <cell r="T62">
            <v>14492.06574523344</v>
          </cell>
          <cell r="V62">
            <v>0</v>
          </cell>
          <cell r="W62">
            <v>0</v>
          </cell>
          <cell r="X62">
            <v>0</v>
          </cell>
          <cell r="Y62">
            <v>0</v>
          </cell>
          <cell r="Z62">
            <v>0</v>
          </cell>
          <cell r="AA62">
            <v>0</v>
          </cell>
          <cell r="AB62">
            <v>0</v>
          </cell>
          <cell r="AC62">
            <v>0</v>
          </cell>
          <cell r="AD62">
            <v>0</v>
          </cell>
          <cell r="AE62">
            <v>313853.6067204217</v>
          </cell>
          <cell r="AG62">
            <v>238716.1565469621</v>
          </cell>
          <cell r="AH62">
            <v>62770.721344084348</v>
          </cell>
          <cell r="AI62">
            <v>0</v>
          </cell>
          <cell r="AJ62">
            <v>0</v>
          </cell>
          <cell r="AY62">
            <v>0</v>
          </cell>
          <cell r="BN62">
            <v>0</v>
          </cell>
        </row>
        <row r="63">
          <cell r="D63" t="str">
            <v>P08</v>
          </cell>
          <cell r="K63">
            <v>0</v>
          </cell>
          <cell r="L63">
            <v>3207882.7688795864</v>
          </cell>
          <cell r="N63">
            <v>0</v>
          </cell>
          <cell r="P63">
            <v>0</v>
          </cell>
          <cell r="R63">
            <v>0</v>
          </cell>
          <cell r="T63">
            <v>0</v>
          </cell>
          <cell r="V63">
            <v>0</v>
          </cell>
          <cell r="W63">
            <v>0</v>
          </cell>
          <cell r="X63">
            <v>0</v>
          </cell>
          <cell r="Y63">
            <v>0</v>
          </cell>
          <cell r="Z63">
            <v>0</v>
          </cell>
          <cell r="AA63">
            <v>0</v>
          </cell>
          <cell r="AB63">
            <v>0</v>
          </cell>
          <cell r="AC63">
            <v>0</v>
          </cell>
          <cell r="AD63">
            <v>0</v>
          </cell>
          <cell r="AE63">
            <v>199272.13125106139</v>
          </cell>
          <cell r="AG63">
            <v>12771.749436143027</v>
          </cell>
          <cell r="AH63">
            <v>29380.324341820244</v>
          </cell>
          <cell r="AI63">
            <v>0</v>
          </cell>
          <cell r="AJ63">
            <v>0</v>
          </cell>
          <cell r="AY63">
            <v>0</v>
          </cell>
          <cell r="BN63">
            <v>0</v>
          </cell>
        </row>
        <row r="64">
          <cell r="D64" t="str">
            <v>P08</v>
          </cell>
          <cell r="K64">
            <v>2927812.4725000001</v>
          </cell>
          <cell r="L64">
            <v>208425</v>
          </cell>
          <cell r="N64">
            <v>0</v>
          </cell>
          <cell r="P64">
            <v>519077.5</v>
          </cell>
          <cell r="R64">
            <v>0</v>
          </cell>
          <cell r="T64">
            <v>79399.007500000007</v>
          </cell>
          <cell r="V64">
            <v>0</v>
          </cell>
          <cell r="W64">
            <v>0</v>
          </cell>
          <cell r="X64">
            <v>0</v>
          </cell>
          <cell r="Y64">
            <v>0</v>
          </cell>
          <cell r="Z64">
            <v>0</v>
          </cell>
          <cell r="AA64">
            <v>0</v>
          </cell>
          <cell r="AB64">
            <v>0</v>
          </cell>
          <cell r="AC64">
            <v>0</v>
          </cell>
          <cell r="AD64">
            <v>0</v>
          </cell>
          <cell r="AE64">
            <v>9925</v>
          </cell>
          <cell r="AG64">
            <v>16081.477500000001</v>
          </cell>
          <cell r="AH64">
            <v>350052.09506249998</v>
          </cell>
          <cell r="AI64">
            <v>41143.650800000003</v>
          </cell>
          <cell r="AJ64">
            <v>932950</v>
          </cell>
          <cell r="AY64">
            <v>137500</v>
          </cell>
          <cell r="BN64">
            <v>300000</v>
          </cell>
        </row>
        <row r="65">
          <cell r="D65" t="str">
            <v>P09</v>
          </cell>
          <cell r="K65">
            <v>2480002.9002</v>
          </cell>
          <cell r="L65">
            <v>1789442.04</v>
          </cell>
          <cell r="N65">
            <v>53444.309000000001</v>
          </cell>
          <cell r="P65">
            <v>344496.087</v>
          </cell>
          <cell r="R65">
            <v>0</v>
          </cell>
          <cell r="T65">
            <v>150878.81820000001</v>
          </cell>
          <cell r="V65">
            <v>0</v>
          </cell>
          <cell r="W65">
            <v>0</v>
          </cell>
          <cell r="X65">
            <v>0</v>
          </cell>
          <cell r="Y65">
            <v>0</v>
          </cell>
          <cell r="Z65">
            <v>0</v>
          </cell>
          <cell r="AA65">
            <v>0</v>
          </cell>
          <cell r="AB65">
            <v>0</v>
          </cell>
          <cell r="AC65">
            <v>0</v>
          </cell>
          <cell r="AD65">
            <v>0</v>
          </cell>
          <cell r="AE65">
            <v>94981</v>
          </cell>
          <cell r="AG65">
            <v>37259.446620000002</v>
          </cell>
          <cell r="AH65">
            <v>229901.39052400002</v>
          </cell>
          <cell r="AI65">
            <v>175557.601456</v>
          </cell>
          <cell r="AJ65">
            <v>0</v>
          </cell>
          <cell r="AY65">
            <v>0</v>
          </cell>
          <cell r="BN65">
            <v>420000</v>
          </cell>
        </row>
        <row r="66">
          <cell r="D66" t="str">
            <v>P09</v>
          </cell>
          <cell r="K66">
            <v>4094383</v>
          </cell>
          <cell r="L66">
            <v>3073800</v>
          </cell>
          <cell r="N66">
            <v>0</v>
          </cell>
          <cell r="P66">
            <v>0</v>
          </cell>
          <cell r="R66">
            <v>0</v>
          </cell>
          <cell r="T66">
            <v>0</v>
          </cell>
          <cell r="V66">
            <v>0</v>
          </cell>
          <cell r="W66">
            <v>0</v>
          </cell>
          <cell r="X66">
            <v>0</v>
          </cell>
          <cell r="Y66">
            <v>0</v>
          </cell>
          <cell r="Z66">
            <v>0</v>
          </cell>
          <cell r="AA66">
            <v>0</v>
          </cell>
          <cell r="AB66">
            <v>0</v>
          </cell>
          <cell r="AC66">
            <v>0</v>
          </cell>
          <cell r="AD66">
            <v>0</v>
          </cell>
          <cell r="AE66">
            <v>925000</v>
          </cell>
          <cell r="AG66">
            <v>306156.59999999998</v>
          </cell>
          <cell r="AH66">
            <v>0</v>
          </cell>
          <cell r="AI66">
            <v>0</v>
          </cell>
          <cell r="AJ66">
            <v>904000</v>
          </cell>
          <cell r="AY66">
            <v>0</v>
          </cell>
          <cell r="BN66">
            <v>0</v>
          </cell>
        </row>
        <row r="67">
          <cell r="D67" t="str">
            <v>P09</v>
          </cell>
          <cell r="K67">
            <v>0</v>
          </cell>
          <cell r="L67">
            <v>6125400</v>
          </cell>
          <cell r="N67">
            <v>0</v>
          </cell>
          <cell r="P67">
            <v>58019</v>
          </cell>
          <cell r="R67">
            <v>0</v>
          </cell>
          <cell r="T67">
            <v>0</v>
          </cell>
          <cell r="V67">
            <v>0</v>
          </cell>
          <cell r="W67">
            <v>0</v>
          </cell>
          <cell r="X67">
            <v>0</v>
          </cell>
          <cell r="Y67">
            <v>0</v>
          </cell>
          <cell r="Z67">
            <v>0</v>
          </cell>
          <cell r="AA67">
            <v>0</v>
          </cell>
          <cell r="AB67">
            <v>0</v>
          </cell>
          <cell r="AC67">
            <v>0</v>
          </cell>
          <cell r="AD67">
            <v>0</v>
          </cell>
          <cell r="AE67">
            <v>160000</v>
          </cell>
          <cell r="AG67">
            <v>106939.8</v>
          </cell>
          <cell r="AH67">
            <v>112918.62</v>
          </cell>
          <cell r="AI67">
            <v>0</v>
          </cell>
          <cell r="AJ67">
            <v>0</v>
          </cell>
          <cell r="AY67">
            <v>0</v>
          </cell>
          <cell r="BN67">
            <v>0</v>
          </cell>
        </row>
        <row r="68">
          <cell r="D68" t="str">
            <v>P09</v>
          </cell>
          <cell r="AH68">
            <v>0</v>
          </cell>
          <cell r="AJ68">
            <v>0</v>
          </cell>
          <cell r="AY68">
            <v>0</v>
          </cell>
          <cell r="BN68">
            <v>0</v>
          </cell>
        </row>
        <row r="69">
          <cell r="D69" t="str">
            <v>P09</v>
          </cell>
          <cell r="K69">
            <v>0</v>
          </cell>
          <cell r="L69">
            <v>0</v>
          </cell>
          <cell r="N69">
            <v>0</v>
          </cell>
          <cell r="P69">
            <v>0</v>
          </cell>
          <cell r="R69">
            <v>0</v>
          </cell>
          <cell r="T69">
            <v>0</v>
          </cell>
          <cell r="V69">
            <v>0</v>
          </cell>
          <cell r="W69">
            <v>0</v>
          </cell>
          <cell r="X69">
            <v>0</v>
          </cell>
          <cell r="Y69">
            <v>0</v>
          </cell>
          <cell r="Z69">
            <v>0</v>
          </cell>
          <cell r="AA69">
            <v>0</v>
          </cell>
          <cell r="AB69">
            <v>0</v>
          </cell>
          <cell r="AC69">
            <v>0</v>
          </cell>
          <cell r="AD69">
            <v>0</v>
          </cell>
          <cell r="AE69">
            <v>0</v>
          </cell>
          <cell r="AG69">
            <v>0</v>
          </cell>
          <cell r="AH69">
            <v>0</v>
          </cell>
          <cell r="AI69">
            <v>0</v>
          </cell>
          <cell r="AJ69">
            <v>0</v>
          </cell>
          <cell r="AY69">
            <v>0</v>
          </cell>
          <cell r="BN69">
            <v>0</v>
          </cell>
        </row>
        <row r="70">
          <cell r="D70" t="str">
            <v>P09</v>
          </cell>
          <cell r="V70">
            <v>0</v>
          </cell>
          <cell r="W70">
            <v>0</v>
          </cell>
          <cell r="X70">
            <v>0</v>
          </cell>
          <cell r="Y70">
            <v>0</v>
          </cell>
          <cell r="Z70">
            <v>0</v>
          </cell>
          <cell r="AA70">
            <v>0</v>
          </cell>
          <cell r="AB70">
            <v>0</v>
          </cell>
          <cell r="AC70">
            <v>0</v>
          </cell>
          <cell r="AD70">
            <v>0</v>
          </cell>
          <cell r="AG70">
            <v>0</v>
          </cell>
          <cell r="AY70">
            <v>0</v>
          </cell>
          <cell r="BN70">
            <v>0</v>
          </cell>
        </row>
        <row r="71">
          <cell r="D71" t="str">
            <v>P09</v>
          </cell>
          <cell r="K71">
            <v>0</v>
          </cell>
          <cell r="L71">
            <v>1503300</v>
          </cell>
          <cell r="N71">
            <v>43364</v>
          </cell>
          <cell r="P71">
            <v>1182</v>
          </cell>
          <cell r="R71">
            <v>0</v>
          </cell>
          <cell r="T71">
            <v>0</v>
          </cell>
          <cell r="V71">
            <v>0</v>
          </cell>
          <cell r="W71">
            <v>0</v>
          </cell>
          <cell r="X71">
            <v>0</v>
          </cell>
          <cell r="Y71">
            <v>0</v>
          </cell>
          <cell r="Z71">
            <v>0</v>
          </cell>
          <cell r="AA71">
            <v>0</v>
          </cell>
          <cell r="AB71">
            <v>0</v>
          </cell>
          <cell r="AC71">
            <v>0</v>
          </cell>
          <cell r="AD71">
            <v>0</v>
          </cell>
          <cell r="AE71">
            <v>30000</v>
          </cell>
          <cell r="AG71">
            <v>169249.19999999998</v>
          </cell>
          <cell r="AH71">
            <v>519623.94</v>
          </cell>
          <cell r="AI71">
            <v>0</v>
          </cell>
          <cell r="AJ71">
            <v>0</v>
          </cell>
          <cell r="AY71">
            <v>0</v>
          </cell>
          <cell r="BN71">
            <v>180000</v>
          </cell>
        </row>
        <row r="72">
          <cell r="D72" t="str">
            <v>P09</v>
          </cell>
          <cell r="K72">
            <v>2691148</v>
          </cell>
          <cell r="L72">
            <v>3611400</v>
          </cell>
          <cell r="N72">
            <v>206909</v>
          </cell>
          <cell r="P72">
            <v>1465366</v>
          </cell>
          <cell r="R72">
            <v>0</v>
          </cell>
          <cell r="T72">
            <v>149999</v>
          </cell>
          <cell r="V72">
            <v>0</v>
          </cell>
          <cell r="W72">
            <v>0</v>
          </cell>
          <cell r="X72">
            <v>0</v>
          </cell>
          <cell r="Y72">
            <v>0</v>
          </cell>
          <cell r="Z72">
            <v>0</v>
          </cell>
          <cell r="AA72">
            <v>0</v>
          </cell>
          <cell r="AB72">
            <v>0</v>
          </cell>
          <cell r="AC72">
            <v>0</v>
          </cell>
          <cell r="AD72">
            <v>0</v>
          </cell>
          <cell r="AE72">
            <v>100000</v>
          </cell>
          <cell r="AG72">
            <v>16203</v>
          </cell>
          <cell r="AH72">
            <v>583397.625</v>
          </cell>
          <cell r="AI72">
            <v>167243.6</v>
          </cell>
          <cell r="AJ72">
            <v>3024000</v>
          </cell>
          <cell r="AY72">
            <v>0</v>
          </cell>
          <cell r="BN72">
            <v>0</v>
          </cell>
        </row>
        <row r="73">
          <cell r="D73" t="str">
            <v>P09</v>
          </cell>
          <cell r="K73">
            <v>0</v>
          </cell>
          <cell r="L73">
            <v>0</v>
          </cell>
          <cell r="N73">
            <v>0</v>
          </cell>
          <cell r="P73">
            <v>0</v>
          </cell>
          <cell r="R73">
            <v>0</v>
          </cell>
          <cell r="T73">
            <v>0</v>
          </cell>
          <cell r="V73">
            <v>0</v>
          </cell>
          <cell r="W73">
            <v>0</v>
          </cell>
          <cell r="X73">
            <v>0</v>
          </cell>
          <cell r="Y73">
            <v>0</v>
          </cell>
          <cell r="Z73">
            <v>0</v>
          </cell>
          <cell r="AA73">
            <v>0</v>
          </cell>
          <cell r="AB73">
            <v>0</v>
          </cell>
          <cell r="AC73">
            <v>0</v>
          </cell>
          <cell r="AD73">
            <v>0</v>
          </cell>
          <cell r="AE73">
            <v>0</v>
          </cell>
          <cell r="AG73">
            <v>0</v>
          </cell>
          <cell r="AH73">
            <v>0</v>
          </cell>
          <cell r="AI73">
            <v>0</v>
          </cell>
          <cell r="AJ73">
            <v>0</v>
          </cell>
          <cell r="AY73">
            <v>0</v>
          </cell>
          <cell r="BN73">
            <v>0</v>
          </cell>
        </row>
        <row r="74">
          <cell r="D74" t="str">
            <v>P09</v>
          </cell>
          <cell r="K74">
            <v>0</v>
          </cell>
          <cell r="L74">
            <v>0</v>
          </cell>
          <cell r="N74">
            <v>0</v>
          </cell>
          <cell r="P74">
            <v>0</v>
          </cell>
          <cell r="R74">
            <v>0</v>
          </cell>
          <cell r="T74">
            <v>0</v>
          </cell>
          <cell r="V74">
            <v>0</v>
          </cell>
          <cell r="W74">
            <v>0</v>
          </cell>
          <cell r="X74">
            <v>0</v>
          </cell>
          <cell r="Y74">
            <v>0</v>
          </cell>
          <cell r="Z74">
            <v>0</v>
          </cell>
          <cell r="AA74">
            <v>0</v>
          </cell>
          <cell r="AB74">
            <v>0</v>
          </cell>
          <cell r="AC74">
            <v>0</v>
          </cell>
          <cell r="AD74">
            <v>0</v>
          </cell>
          <cell r="AE74">
            <v>0</v>
          </cell>
          <cell r="AG74">
            <v>0</v>
          </cell>
          <cell r="AH74">
            <v>0</v>
          </cell>
          <cell r="AI74">
            <v>0</v>
          </cell>
          <cell r="AJ74">
            <v>0</v>
          </cell>
          <cell r="AY74">
            <v>0</v>
          </cell>
          <cell r="BN74">
            <v>0</v>
          </cell>
        </row>
        <row r="75">
          <cell r="D75" t="str">
            <v>P10</v>
          </cell>
          <cell r="K75">
            <v>0</v>
          </cell>
          <cell r="L75">
            <v>0</v>
          </cell>
          <cell r="N75">
            <v>0</v>
          </cell>
          <cell r="P75">
            <v>0</v>
          </cell>
          <cell r="R75">
            <v>0</v>
          </cell>
          <cell r="T75">
            <v>0</v>
          </cell>
          <cell r="V75">
            <v>0</v>
          </cell>
          <cell r="W75">
            <v>0</v>
          </cell>
          <cell r="X75">
            <v>0</v>
          </cell>
          <cell r="Y75">
            <v>0</v>
          </cell>
          <cell r="Z75">
            <v>0</v>
          </cell>
          <cell r="AA75">
            <v>0</v>
          </cell>
          <cell r="AB75">
            <v>0</v>
          </cell>
          <cell r="AC75">
            <v>0</v>
          </cell>
          <cell r="AD75">
            <v>0</v>
          </cell>
          <cell r="AE75">
            <v>0</v>
          </cell>
          <cell r="AG75">
            <v>0</v>
          </cell>
          <cell r="AH75">
            <v>0</v>
          </cell>
          <cell r="AI75">
            <v>0</v>
          </cell>
          <cell r="AJ75">
            <v>0</v>
          </cell>
          <cell r="AY75">
            <v>0</v>
          </cell>
          <cell r="BN75">
            <v>0</v>
          </cell>
        </row>
        <row r="76">
          <cell r="D76" t="str">
            <v>P11</v>
          </cell>
          <cell r="L76">
            <v>7481842</v>
          </cell>
          <cell r="N76">
            <v>0</v>
          </cell>
          <cell r="P76">
            <v>0</v>
          </cell>
          <cell r="R76">
            <v>0</v>
          </cell>
          <cell r="T76">
            <v>0</v>
          </cell>
          <cell r="V76">
            <v>0</v>
          </cell>
          <cell r="W76">
            <v>0</v>
          </cell>
          <cell r="X76">
            <v>0</v>
          </cell>
          <cell r="Y76">
            <v>0</v>
          </cell>
          <cell r="Z76">
            <v>0</v>
          </cell>
          <cell r="AA76">
            <v>0</v>
          </cell>
          <cell r="AB76">
            <v>0</v>
          </cell>
          <cell r="AC76">
            <v>0</v>
          </cell>
          <cell r="AD76">
            <v>0</v>
          </cell>
          <cell r="AE76">
            <v>0</v>
          </cell>
          <cell r="AG76">
            <v>0</v>
          </cell>
          <cell r="AH76">
            <v>0</v>
          </cell>
          <cell r="AI76">
            <v>0</v>
          </cell>
          <cell r="AJ76">
            <v>0</v>
          </cell>
          <cell r="AY76">
            <v>0</v>
          </cell>
          <cell r="BN76">
            <v>0</v>
          </cell>
        </row>
        <row r="77">
          <cell r="D77" t="str">
            <v>P11</v>
          </cell>
          <cell r="L77">
            <v>8259337</v>
          </cell>
          <cell r="N77">
            <v>0</v>
          </cell>
          <cell r="P77">
            <v>0</v>
          </cell>
          <cell r="R77">
            <v>0</v>
          </cell>
          <cell r="T77">
            <v>0</v>
          </cell>
          <cell r="V77">
            <v>0</v>
          </cell>
          <cell r="W77">
            <v>0</v>
          </cell>
          <cell r="X77">
            <v>0</v>
          </cell>
          <cell r="Y77">
            <v>0</v>
          </cell>
          <cell r="Z77">
            <v>0</v>
          </cell>
          <cell r="AA77">
            <v>0</v>
          </cell>
          <cell r="AB77">
            <v>0</v>
          </cell>
          <cell r="AC77">
            <v>0</v>
          </cell>
          <cell r="AD77">
            <v>0</v>
          </cell>
          <cell r="AE77">
            <v>0</v>
          </cell>
          <cell r="AG77">
            <v>0</v>
          </cell>
          <cell r="AH77">
            <v>0</v>
          </cell>
          <cell r="AI77">
            <v>0</v>
          </cell>
          <cell r="AJ77">
            <v>0</v>
          </cell>
          <cell r="AY77">
            <v>0</v>
          </cell>
          <cell r="BN77">
            <v>0</v>
          </cell>
        </row>
        <row r="78">
          <cell r="D78" t="str">
            <v>P01</v>
          </cell>
          <cell r="K78">
            <v>0</v>
          </cell>
          <cell r="L78">
            <v>0</v>
          </cell>
          <cell r="N78">
            <v>0</v>
          </cell>
          <cell r="P78">
            <v>0</v>
          </cell>
          <cell r="R78">
            <v>0</v>
          </cell>
          <cell r="T78">
            <v>0</v>
          </cell>
          <cell r="V78">
            <v>0</v>
          </cell>
          <cell r="W78">
            <v>0</v>
          </cell>
          <cell r="X78">
            <v>0</v>
          </cell>
          <cell r="Y78">
            <v>0</v>
          </cell>
          <cell r="Z78">
            <v>0</v>
          </cell>
          <cell r="AA78">
            <v>0</v>
          </cell>
          <cell r="AB78">
            <v>0</v>
          </cell>
          <cell r="AC78">
            <v>0</v>
          </cell>
          <cell r="AD78">
            <v>0</v>
          </cell>
          <cell r="AE78">
            <v>0</v>
          </cell>
          <cell r="AG78">
            <v>0</v>
          </cell>
          <cell r="AH78">
            <v>0</v>
          </cell>
          <cell r="AI78">
            <v>0</v>
          </cell>
          <cell r="AJ78">
            <v>0</v>
          </cell>
          <cell r="AY78">
            <v>0</v>
          </cell>
          <cell r="BN78">
            <v>0</v>
          </cell>
        </row>
        <row r="79">
          <cell r="D79" t="str">
            <v>P01</v>
          </cell>
          <cell r="K79">
            <v>0</v>
          </cell>
          <cell r="L79">
            <v>0</v>
          </cell>
          <cell r="N79">
            <v>0</v>
          </cell>
          <cell r="P79">
            <v>0</v>
          </cell>
          <cell r="R79">
            <v>0</v>
          </cell>
          <cell r="T79">
            <v>0</v>
          </cell>
          <cell r="V79">
            <v>0</v>
          </cell>
          <cell r="W79">
            <v>0</v>
          </cell>
          <cell r="X79">
            <v>0</v>
          </cell>
          <cell r="Y79">
            <v>0</v>
          </cell>
          <cell r="Z79">
            <v>0</v>
          </cell>
          <cell r="AA79">
            <v>0</v>
          </cell>
          <cell r="AB79">
            <v>0</v>
          </cell>
          <cell r="AC79">
            <v>0</v>
          </cell>
          <cell r="AD79">
            <v>0</v>
          </cell>
          <cell r="AE79">
            <v>0</v>
          </cell>
          <cell r="AG79">
            <v>0</v>
          </cell>
          <cell r="AH79">
            <v>0</v>
          </cell>
          <cell r="AI79">
            <v>0</v>
          </cell>
          <cell r="AJ79">
            <v>0</v>
          </cell>
          <cell r="AY79">
            <v>0</v>
          </cell>
          <cell r="BN79">
            <v>0</v>
          </cell>
        </row>
        <row r="80">
          <cell r="D80" t="str">
            <v>P01</v>
          </cell>
          <cell r="K80">
            <v>0</v>
          </cell>
          <cell r="L80">
            <v>0</v>
          </cell>
          <cell r="N80">
            <v>0</v>
          </cell>
          <cell r="P80">
            <v>0</v>
          </cell>
          <cell r="R80">
            <v>0</v>
          </cell>
          <cell r="T80">
            <v>0</v>
          </cell>
          <cell r="V80">
            <v>0</v>
          </cell>
          <cell r="W80">
            <v>0</v>
          </cell>
          <cell r="X80">
            <v>0</v>
          </cell>
          <cell r="Y80">
            <v>0</v>
          </cell>
          <cell r="Z80">
            <v>0</v>
          </cell>
          <cell r="AA80">
            <v>0</v>
          </cell>
          <cell r="AB80">
            <v>0</v>
          </cell>
          <cell r="AC80">
            <v>0</v>
          </cell>
          <cell r="AD80">
            <v>0</v>
          </cell>
          <cell r="AE80">
            <v>0</v>
          </cell>
          <cell r="AG80">
            <v>0</v>
          </cell>
          <cell r="AH80">
            <v>0</v>
          </cell>
          <cell r="AI80">
            <v>0</v>
          </cell>
          <cell r="AJ80">
            <v>0</v>
          </cell>
          <cell r="AY80">
            <v>0</v>
          </cell>
          <cell r="BN80">
            <v>0</v>
          </cell>
        </row>
        <row r="81">
          <cell r="D81" t="str">
            <v>P01</v>
          </cell>
          <cell r="K81">
            <v>0</v>
          </cell>
          <cell r="L81">
            <v>89574.549615817261</v>
          </cell>
          <cell r="N81">
            <v>0</v>
          </cell>
          <cell r="P81">
            <v>0</v>
          </cell>
          <cell r="R81">
            <v>0</v>
          </cell>
          <cell r="T81">
            <v>0</v>
          </cell>
          <cell r="V81">
            <v>0</v>
          </cell>
          <cell r="W81">
            <v>0</v>
          </cell>
          <cell r="X81">
            <v>0</v>
          </cell>
          <cell r="Y81">
            <v>0</v>
          </cell>
          <cell r="Z81">
            <v>0</v>
          </cell>
          <cell r="AA81">
            <v>0</v>
          </cell>
          <cell r="AB81">
            <v>0</v>
          </cell>
          <cell r="AC81">
            <v>0</v>
          </cell>
          <cell r="AD81">
            <v>0</v>
          </cell>
          <cell r="AE81">
            <v>0</v>
          </cell>
          <cell r="AG81">
            <v>0</v>
          </cell>
          <cell r="AH81">
            <v>0</v>
          </cell>
          <cell r="AI81">
            <v>0</v>
          </cell>
          <cell r="AJ81">
            <v>0</v>
          </cell>
          <cell r="AY81">
            <v>0</v>
          </cell>
          <cell r="BN81">
            <v>0</v>
          </cell>
        </row>
        <row r="82">
          <cell r="D82" t="str">
            <v>P01</v>
          </cell>
          <cell r="K82">
            <v>0</v>
          </cell>
          <cell r="L82">
            <v>162727.09846873468</v>
          </cell>
          <cell r="N82">
            <v>0</v>
          </cell>
          <cell r="P82">
            <v>0</v>
          </cell>
          <cell r="R82">
            <v>0</v>
          </cell>
          <cell r="T82">
            <v>0</v>
          </cell>
          <cell r="V82">
            <v>0</v>
          </cell>
          <cell r="W82">
            <v>0</v>
          </cell>
          <cell r="X82">
            <v>0</v>
          </cell>
          <cell r="Y82">
            <v>0</v>
          </cell>
          <cell r="Z82">
            <v>0</v>
          </cell>
          <cell r="AA82">
            <v>0</v>
          </cell>
          <cell r="AB82">
            <v>0</v>
          </cell>
          <cell r="AC82">
            <v>0</v>
          </cell>
          <cell r="AD82">
            <v>0</v>
          </cell>
          <cell r="AE82">
            <v>0</v>
          </cell>
          <cell r="AG82">
            <v>0</v>
          </cell>
          <cell r="AH82">
            <v>0</v>
          </cell>
          <cell r="AI82">
            <v>0</v>
          </cell>
          <cell r="AJ82">
            <v>0</v>
          </cell>
          <cell r="AY82">
            <v>0</v>
          </cell>
          <cell r="BN82">
            <v>0</v>
          </cell>
        </row>
      </sheetData>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1"/>
      <sheetName val="Tổng hợp"/>
      <sheetName val="Tỷ lệ dt T1"/>
      <sheetName val="lương P1P3 T1.2024"/>
      <sheetName val="Tỷ lệ DT T12"/>
      <sheetName val="Tỷ lệ DT T11"/>
      <sheetName val="B02-05 T12"/>
      <sheetName val="lương p1p3 t12"/>
      <sheetName val="B0205-T11"/>
      <sheetName val="luong p1p3 T11"/>
      <sheetName val="Tỷ lệ DT T10"/>
      <sheetName val="B0205 T10"/>
      <sheetName val="lương P1P3 T10"/>
      <sheetName val="Tỷ lệ dt T9"/>
      <sheetName val="B0205-9"/>
      <sheetName val="lương P1P3 T9.2024"/>
      <sheetName val="b0205-1"/>
      <sheetName val="Tỷ lệ dt T2"/>
      <sheetName val="b0205-2"/>
      <sheetName val="lương p1p3 T2.2024"/>
      <sheetName val="Tỷ lệ dt T3"/>
      <sheetName val="b0205-3"/>
      <sheetName val="lương p1p3 T3.2024"/>
      <sheetName val="Tỷ lệ dt T4"/>
      <sheetName val="b0205-4"/>
      <sheetName val="lương p1p3 T4.2024"/>
      <sheetName val="Sheet6"/>
      <sheetName val="Tỷ lệ dt T5"/>
      <sheetName val="b0205-5"/>
      <sheetName val="lương p1p3 T5"/>
      <sheetName val="bảng lương T5"/>
      <sheetName val="Tỷ lệ dt T6"/>
      <sheetName val="B02-05 6"/>
      <sheetName val="lương P1P3 T6"/>
      <sheetName val="bảng lương T6"/>
      <sheetName val="Tỷ lệ dt T7"/>
      <sheetName val="B02-05 7"/>
      <sheetName val="luong P1P3 T7"/>
      <sheetName val="Tỷ lệ dt T8"/>
      <sheetName val="B02-05 8"/>
      <sheetName val="lương P1P3 T8"/>
    </sheetNames>
    <sheetDataSet>
      <sheetData sheetId="0" refreshError="1"/>
      <sheetData sheetId="1">
        <row r="7">
          <cell r="B7" t="str">
            <v>P01</v>
          </cell>
        </row>
        <row r="8">
          <cell r="B8" t="str">
            <v>P02</v>
          </cell>
        </row>
        <row r="9">
          <cell r="B9" t="str">
            <v>P03</v>
          </cell>
        </row>
        <row r="10">
          <cell r="B10" t="str">
            <v>P04</v>
          </cell>
        </row>
        <row r="11">
          <cell r="B11" t="str">
            <v>P05</v>
          </cell>
        </row>
        <row r="12">
          <cell r="B12" t="str">
            <v>P06</v>
          </cell>
        </row>
        <row r="13">
          <cell r="B13" t="str">
            <v>P07</v>
          </cell>
        </row>
        <row r="14">
          <cell r="B14" t="str">
            <v>P08</v>
          </cell>
        </row>
        <row r="15">
          <cell r="B15" t="str">
            <v>P09</v>
          </cell>
        </row>
        <row r="16">
          <cell r="B16" t="str">
            <v>P10</v>
          </cell>
        </row>
        <row r="17">
          <cell r="B17" t="str">
            <v>P11</v>
          </cell>
        </row>
      </sheetData>
      <sheetData sheetId="2" refreshError="1"/>
      <sheetData sheetId="3">
        <row r="4">
          <cell r="S4" t="str">
            <v>Di động 5917</v>
          </cell>
          <cell r="V4" t="str">
            <v>Thoại quốc tế về và Roaming</v>
          </cell>
          <cell r="W4" t="str">
            <v>Băng rộng</v>
          </cell>
          <cell r="X4" t="str">
            <v>Internet trực tiếp</v>
          </cell>
          <cell r="Y4" t="str">
            <v>MyTV</v>
          </cell>
          <cell r="Z4" t="str">
            <v>Tiện ích</v>
          </cell>
          <cell r="AA4" t="str">
            <v>Cố định</v>
          </cell>
          <cell r="AB4" t="str">
            <v>Truyền số liệu</v>
          </cell>
          <cell r="AC4" t="str">
            <v>Hạ tầng</v>
          </cell>
          <cell r="AD4" t="str">
            <v>SMS brandname</v>
          </cell>
          <cell r="AE4" t="str">
            <v>Dịch vụ còn lại</v>
          </cell>
          <cell r="AF4" t="str">
            <v>Hạ tầng số</v>
          </cell>
          <cell r="AI4" t="str">
            <v>Công nghệ nền tảng</v>
          </cell>
          <cell r="AJ4" t="str">
            <v>An toàn thông tin</v>
          </cell>
          <cell r="AK4" t="str">
            <v>Chính quyền số</v>
          </cell>
          <cell r="AL4" t="str">
            <v>Y tế số</v>
          </cell>
          <cell r="AM4" t="str">
            <v>Giáo dục số</v>
          </cell>
          <cell r="AN4" t="str">
            <v>Quản trị doanh nghiệp</v>
          </cell>
          <cell r="AR4" t="str">
            <v>Vận tải và Logistics</v>
          </cell>
          <cell r="AS4" t="str">
            <v>Du lịch thông minh</v>
          </cell>
          <cell r="AT4" t="str">
            <v>Nông nghiệp thông minh</v>
          </cell>
          <cell r="AU4" t="str">
            <v>Phân phối bán lẻ</v>
          </cell>
          <cell r="AV4" t="str">
            <v>Dự án số Doanh nghiệp khác</v>
          </cell>
          <cell r="AW4" t="str">
            <v>Thiết bị, giải pháp</v>
          </cell>
        </row>
        <row r="5">
          <cell r="S5" t="str">
            <v>Di động trả sau</v>
          </cell>
          <cell r="T5" t="str">
            <v>Di động trả trước</v>
          </cell>
          <cell r="U5" t="str">
            <v>Hòa mạng</v>
          </cell>
          <cell r="V5" t="str">
            <v>Thoại quốc tế về và Roaming</v>
          </cell>
          <cell r="W5" t="str">
            <v>Băng rộng</v>
          </cell>
          <cell r="X5" t="str">
            <v>Internet trực tiếp</v>
          </cell>
          <cell r="Y5" t="str">
            <v>MyTV</v>
          </cell>
          <cell r="Z5" t="str">
            <v>Tiện ích</v>
          </cell>
          <cell r="AA5" t="str">
            <v>Cố định</v>
          </cell>
          <cell r="AB5" t="str">
            <v>Truyền số liệu</v>
          </cell>
          <cell r="AC5" t="str">
            <v>Hạ tầng</v>
          </cell>
          <cell r="AD5" t="str">
            <v>SMS brandname</v>
          </cell>
          <cell r="AE5" t="str">
            <v>Dịch vụ còn lại</v>
          </cell>
          <cell r="AF5" t="str">
            <v>Colocation</v>
          </cell>
          <cell r="AG5" t="str">
            <v>Cloud</v>
          </cell>
          <cell r="AH5" t="str">
            <v>Hạ tầng CNTT còn lại</v>
          </cell>
          <cell r="AI5" t="str">
            <v>Công nghệ nền tảng</v>
          </cell>
          <cell r="AJ5" t="str">
            <v>An toàn thông tin</v>
          </cell>
          <cell r="AK5" t="str">
            <v>Chính quyền số</v>
          </cell>
          <cell r="AL5" t="str">
            <v>Y tế số</v>
          </cell>
          <cell r="AM5" t="str">
            <v>Giáo dục số</v>
          </cell>
          <cell r="AN5" t="str">
            <v>VNPT CA</v>
          </cell>
          <cell r="AO5" t="str">
            <v>Hóa đơn điện tử (VNPT Invoice)</v>
          </cell>
          <cell r="AP5" t="str">
            <v>Dịch vụ I-Van (BHXH)</v>
          </cell>
          <cell r="AQ5" t="str">
            <v>Quản trị doanh nghiệp còn lại</v>
          </cell>
          <cell r="AR5" t="str">
            <v>Vận tải và Logistics</v>
          </cell>
          <cell r="AS5" t="str">
            <v>Du lịch thông minh</v>
          </cell>
          <cell r="AT5" t="str">
            <v>Nông nghiệp thông minh</v>
          </cell>
          <cell r="AU5" t="str">
            <v>Phân phối bán lẻ</v>
          </cell>
          <cell r="AV5" t="str">
            <v>Dự án số Doanh nghiệp khác</v>
          </cell>
          <cell r="AW5" t="str">
            <v>Thiết bị, giải pháp</v>
          </cell>
        </row>
        <row r="6">
          <cell r="U6" t="str">
            <v>DDD0A1VNTVNT033</v>
          </cell>
          <cell r="V6" t="str">
            <v>TQT*</v>
          </cell>
          <cell r="W6" t="str">
            <v>BCD*</v>
          </cell>
          <cell r="X6" t="str">
            <v>BCD0A1VNTVNT004</v>
          </cell>
          <cell r="Y6" t="str">
            <v>MTV*</v>
          </cell>
          <cell r="Z6" t="str">
            <v>PVT*</v>
          </cell>
          <cell r="AA6" t="str">
            <v>DCD*</v>
          </cell>
          <cell r="AB6" t="str">
            <v>TSL*</v>
          </cell>
          <cell r="AC6" t="str">
            <v>HT*</v>
          </cell>
          <cell r="AD6" t="str">
            <v>VGT0A3VMADVK011</v>
          </cell>
          <cell r="AE6" t="str">
            <v>VGT*</v>
          </cell>
          <cell r="AF6" t="str">
            <v>INF0A1VITVIT00101</v>
          </cell>
          <cell r="AG6" t="str">
            <v>INF0A2VITDVK00401</v>
          </cell>
          <cell r="AH6" t="str">
            <v>INF*</v>
          </cell>
          <cell r="AI6" t="str">
            <v>TEC*</v>
          </cell>
          <cell r="AJ6" t="str">
            <v>SEC*</v>
          </cell>
          <cell r="AK6" t="str">
            <v>GOV*</v>
          </cell>
          <cell r="AL6" t="str">
            <v>HIS*</v>
          </cell>
          <cell r="AM6" t="str">
            <v>EDU*</v>
          </cell>
          <cell r="AN6" t="str">
            <v>BUSAB1VITVIT00301</v>
          </cell>
          <cell r="AO6" t="str">
            <v>BUSAB1VITVIT00101</v>
          </cell>
          <cell r="AP6" t="str">
            <v>BUS0A1VITVIT00801</v>
          </cell>
          <cell r="AQ6" t="str">
            <v>BUS*</v>
          </cell>
          <cell r="AR6" t="str">
            <v>LOS*</v>
          </cell>
          <cell r="AS6" t="str">
            <v>TRAAB1VITVIT00201</v>
          </cell>
          <cell r="AT6" t="str">
            <v>AG*</v>
          </cell>
          <cell r="AU6" t="str">
            <v>RET*</v>
          </cell>
          <cell r="AW6" t="str">
            <v>TRAAB1VITVIT00202</v>
          </cell>
        </row>
        <row r="8">
          <cell r="S8">
            <v>29617206.213129833</v>
          </cell>
          <cell r="T8">
            <v>113166057.6750211</v>
          </cell>
          <cell r="U8">
            <v>4788025.8343899157</v>
          </cell>
          <cell r="V8">
            <v>0</v>
          </cell>
          <cell r="W8">
            <v>125115309.47787039</v>
          </cell>
          <cell r="X8">
            <v>311240.07894079917</v>
          </cell>
          <cell r="Y8">
            <v>29901221.824307017</v>
          </cell>
          <cell r="Z8">
            <v>1803334.8748621638</v>
          </cell>
          <cell r="AA8">
            <v>4127428.5919572911</v>
          </cell>
          <cell r="AB8">
            <v>1845955.2514145486</v>
          </cell>
          <cell r="AC8">
            <v>314322.30652963376</v>
          </cell>
          <cell r="AD8">
            <v>42144.510588105921</v>
          </cell>
          <cell r="AE8">
            <v>106631.79637001931</v>
          </cell>
          <cell r="AF8">
            <v>0</v>
          </cell>
          <cell r="AG8">
            <v>10443.902389886276</v>
          </cell>
          <cell r="AH8">
            <v>1304532.7458967555</v>
          </cell>
          <cell r="AI8">
            <v>0</v>
          </cell>
          <cell r="AJ8">
            <v>0</v>
          </cell>
          <cell r="AK8">
            <v>4944573.5187799903</v>
          </cell>
          <cell r="AL8">
            <v>1540623.1404594455</v>
          </cell>
          <cell r="AM8">
            <v>976578.50432830921</v>
          </cell>
          <cell r="AN8">
            <v>2148031.7467576051</v>
          </cell>
          <cell r="AO8">
            <v>0</v>
          </cell>
          <cell r="AP8">
            <v>120589.65512761111</v>
          </cell>
          <cell r="AQ8">
            <v>356358.07190065755</v>
          </cell>
          <cell r="AR8">
            <v>0</v>
          </cell>
          <cell r="AS8">
            <v>0</v>
          </cell>
          <cell r="AT8">
            <v>0</v>
          </cell>
          <cell r="AU8">
            <v>36984.571333723186</v>
          </cell>
          <cell r="AV8">
            <v>0</v>
          </cell>
          <cell r="AW8">
            <v>0</v>
          </cell>
        </row>
        <row r="9">
          <cell r="D9" t="str">
            <v>P02</v>
          </cell>
          <cell r="S9">
            <v>582018.75862363447</v>
          </cell>
          <cell r="T9">
            <v>1734615.6859527444</v>
          </cell>
          <cell r="U9">
            <v>8639.8003315912101</v>
          </cell>
          <cell r="V9">
            <v>0</v>
          </cell>
          <cell r="W9">
            <v>1253361.7172652767</v>
          </cell>
          <cell r="X9">
            <v>0</v>
          </cell>
          <cell r="Y9">
            <v>224702.69603272495</v>
          </cell>
          <cell r="Z9">
            <v>26896.030922719536</v>
          </cell>
          <cell r="AA9">
            <v>122254.84900434042</v>
          </cell>
          <cell r="AB9">
            <v>83697.564624514605</v>
          </cell>
          <cell r="AC9">
            <v>0</v>
          </cell>
          <cell r="AD9">
            <v>133.20531463566692</v>
          </cell>
          <cell r="AE9">
            <v>3057.7022965199176</v>
          </cell>
          <cell r="AF9">
            <v>0</v>
          </cell>
          <cell r="AG9">
            <v>0</v>
          </cell>
          <cell r="AH9">
            <v>1086.3837925476798</v>
          </cell>
          <cell r="AI9">
            <v>0</v>
          </cell>
          <cell r="AJ9">
            <v>0</v>
          </cell>
          <cell r="AK9">
            <v>100604.25663719437</v>
          </cell>
          <cell r="AL9">
            <v>4188.0238565321224</v>
          </cell>
          <cell r="AM9">
            <v>6084.3612547651919</v>
          </cell>
          <cell r="AN9">
            <v>12784.378753409695</v>
          </cell>
          <cell r="AO9">
            <v>0</v>
          </cell>
          <cell r="AP9">
            <v>1172.2208354438944</v>
          </cell>
          <cell r="AQ9">
            <v>-1373.3633808185477</v>
          </cell>
          <cell r="AR9">
            <v>0</v>
          </cell>
          <cell r="AS9">
            <v>0</v>
          </cell>
          <cell r="AT9">
            <v>0</v>
          </cell>
          <cell r="AU9">
            <v>240.30527126599836</v>
          </cell>
          <cell r="AV9">
            <v>0</v>
          </cell>
          <cell r="AW9">
            <v>0</v>
          </cell>
        </row>
        <row r="10">
          <cell r="D10" t="str">
            <v>P02</v>
          </cell>
          <cell r="S10">
            <v>370536.45082464116</v>
          </cell>
          <cell r="T10">
            <v>1104325.814751463</v>
          </cell>
          <cell r="U10">
            <v>5500.4429037166865</v>
          </cell>
          <cell r="V10">
            <v>0</v>
          </cell>
          <cell r="W10">
            <v>797940.26469732774</v>
          </cell>
          <cell r="X10">
            <v>0</v>
          </cell>
          <cell r="Y10">
            <v>143054.73534150288</v>
          </cell>
          <cell r="Z10">
            <v>17123.090436022932</v>
          </cell>
          <cell r="AA10">
            <v>77832.333021871076</v>
          </cell>
          <cell r="AB10">
            <v>53285.221617209776</v>
          </cell>
          <cell r="AC10">
            <v>0</v>
          </cell>
          <cell r="AD10">
            <v>84.803837994501649</v>
          </cell>
          <cell r="AE10">
            <v>1946.6557389149359</v>
          </cell>
          <cell r="AF10">
            <v>0</v>
          </cell>
          <cell r="AG10">
            <v>0</v>
          </cell>
          <cell r="AH10">
            <v>691.63543057611014</v>
          </cell>
          <cell r="AI10">
            <v>0</v>
          </cell>
          <cell r="AJ10">
            <v>0</v>
          </cell>
          <cell r="AK10">
            <v>64048.698843232771</v>
          </cell>
          <cell r="AL10">
            <v>2666.2637119086889</v>
          </cell>
          <cell r="AM10">
            <v>3873.548045439416</v>
          </cell>
          <cell r="AN10">
            <v>8139.0475119542252</v>
          </cell>
          <cell r="AO10">
            <v>0</v>
          </cell>
          <cell r="AP10">
            <v>746.28272974437152</v>
          </cell>
          <cell r="AQ10">
            <v>-874.33812962393802</v>
          </cell>
          <cell r="AR10">
            <v>0</v>
          </cell>
          <cell r="AS10">
            <v>0</v>
          </cell>
          <cell r="AT10">
            <v>0</v>
          </cell>
          <cell r="AU10">
            <v>152.98795959759616</v>
          </cell>
          <cell r="AV10">
            <v>0</v>
          </cell>
          <cell r="AW10">
            <v>0</v>
          </cell>
        </row>
        <row r="11">
          <cell r="D11" t="str">
            <v>P02</v>
          </cell>
          <cell r="S11">
            <v>1172885.9004366563</v>
          </cell>
          <cell r="T11">
            <v>3495602.5911286087</v>
          </cell>
          <cell r="U11">
            <v>17410.950835115884</v>
          </cell>
          <cell r="V11">
            <v>0</v>
          </cell>
          <cell r="W11">
            <v>2525778.1893558069</v>
          </cell>
          <cell r="X11">
            <v>0</v>
          </cell>
          <cell r="Y11">
            <v>452821.52862243622</v>
          </cell>
          <cell r="Z11">
            <v>54200.959985493231</v>
          </cell>
          <cell r="AA11">
            <v>246368.32839597153</v>
          </cell>
          <cell r="AB11">
            <v>168667.57642163851</v>
          </cell>
          <cell r="AC11">
            <v>0</v>
          </cell>
          <cell r="AD11">
            <v>268.43573868455377</v>
          </cell>
          <cell r="AE11">
            <v>6161.8905888909994</v>
          </cell>
          <cell r="AF11">
            <v>0</v>
          </cell>
          <cell r="AG11">
            <v>0</v>
          </cell>
          <cell r="AH11">
            <v>2189.2837883014799</v>
          </cell>
          <cell r="AI11">
            <v>0</v>
          </cell>
          <cell r="AJ11">
            <v>0</v>
          </cell>
          <cell r="AK11">
            <v>202737.99149140442</v>
          </cell>
          <cell r="AL11">
            <v>8439.7178943768304</v>
          </cell>
          <cell r="AM11">
            <v>12261.222551921008</v>
          </cell>
          <cell r="AN11">
            <v>25763.117362704346</v>
          </cell>
          <cell r="AO11">
            <v>0</v>
          </cell>
          <cell r="AP11">
            <v>2362.2628475782444</v>
          </cell>
          <cell r="AQ11">
            <v>-2767.6058918570429</v>
          </cell>
          <cell r="AR11">
            <v>0</v>
          </cell>
          <cell r="AS11">
            <v>0</v>
          </cell>
          <cell r="AT11">
            <v>0</v>
          </cell>
          <cell r="AU11">
            <v>484.26388375354009</v>
          </cell>
          <cell r="AV11">
            <v>0</v>
          </cell>
          <cell r="AW11">
            <v>0</v>
          </cell>
        </row>
        <row r="12">
          <cell r="D12" t="str">
            <v>P02</v>
          </cell>
          <cell r="S12">
            <v>447083.56855073676</v>
          </cell>
          <cell r="T12">
            <v>1332462.5013355112</v>
          </cell>
          <cell r="U12">
            <v>6636.749600559664</v>
          </cell>
          <cell r="V12">
            <v>0</v>
          </cell>
          <cell r="W12">
            <v>962782.42056146101</v>
          </cell>
          <cell r="X12">
            <v>0</v>
          </cell>
          <cell r="Y12">
            <v>172607.63801299696</v>
          </cell>
          <cell r="Z12">
            <v>20660.45691244859</v>
          </cell>
          <cell r="AA12">
            <v>93911.292987786641</v>
          </cell>
          <cell r="AB12">
            <v>64293.126839802804</v>
          </cell>
          <cell r="AC12">
            <v>0</v>
          </cell>
          <cell r="AD12">
            <v>102.3230033995322</v>
          </cell>
          <cell r="AE12">
            <v>2348.8048005990768</v>
          </cell>
          <cell r="AF12">
            <v>0</v>
          </cell>
          <cell r="AG12">
            <v>0</v>
          </cell>
          <cell r="AH12">
            <v>834.51664674262383</v>
          </cell>
          <cell r="AI12">
            <v>0</v>
          </cell>
          <cell r="AJ12">
            <v>0</v>
          </cell>
          <cell r="AK12">
            <v>77280.17250701123</v>
          </cell>
          <cell r="AL12">
            <v>3217.0726857358832</v>
          </cell>
          <cell r="AM12">
            <v>4673.7633483928721</v>
          </cell>
          <cell r="AN12">
            <v>9820.4492382602148</v>
          </cell>
          <cell r="AO12">
            <v>0</v>
          </cell>
          <cell r="AP12">
            <v>900.45323535470777</v>
          </cell>
          <cell r="AQ12">
            <v>-1054.9629064624573</v>
          </cell>
          <cell r="AR12">
            <v>0</v>
          </cell>
          <cell r="AS12">
            <v>0</v>
          </cell>
          <cell r="AT12">
            <v>0</v>
          </cell>
          <cell r="AU12">
            <v>184.59291324771507</v>
          </cell>
          <cell r="AV12">
            <v>0</v>
          </cell>
          <cell r="AW12">
            <v>0</v>
          </cell>
        </row>
        <row r="13">
          <cell r="D13" t="str">
            <v>P02</v>
          </cell>
          <cell r="S13">
            <v>358445.13156514871</v>
          </cell>
          <cell r="T13">
            <v>1068289.5328608637</v>
          </cell>
          <cell r="U13">
            <v>5320.9528398661987</v>
          </cell>
          <cell r="V13">
            <v>0</v>
          </cell>
          <cell r="W13">
            <v>771901.93440893909</v>
          </cell>
          <cell r="X13">
            <v>0</v>
          </cell>
          <cell r="Y13">
            <v>138386.58333446889</v>
          </cell>
          <cell r="Z13">
            <v>16564.330959835534</v>
          </cell>
          <cell r="AA13">
            <v>75292.513834894635</v>
          </cell>
          <cell r="AB13">
            <v>51546.422033653005</v>
          </cell>
          <cell r="AC13">
            <v>0</v>
          </cell>
          <cell r="AD13">
            <v>82.036525150273363</v>
          </cell>
          <cell r="AE13">
            <v>1883.1326065074229</v>
          </cell>
          <cell r="AF13">
            <v>0</v>
          </cell>
          <cell r="AG13">
            <v>0</v>
          </cell>
          <cell r="AH13">
            <v>669.06603211703657</v>
          </cell>
          <cell r="AI13">
            <v>0</v>
          </cell>
          <cell r="AJ13">
            <v>0</v>
          </cell>
          <cell r="AK13">
            <v>61958.666232014402</v>
          </cell>
          <cell r="AL13">
            <v>2579.2583830161088</v>
          </cell>
          <cell r="AM13">
            <v>3747.1466995525134</v>
          </cell>
          <cell r="AN13">
            <v>7873.4546891261416</v>
          </cell>
          <cell r="AO13">
            <v>0</v>
          </cell>
          <cell r="AP13">
            <v>721.93008448341948</v>
          </cell>
          <cell r="AQ13">
            <v>-845.80678961001388</v>
          </cell>
          <cell r="AR13">
            <v>0</v>
          </cell>
          <cell r="AS13">
            <v>0</v>
          </cell>
          <cell r="AT13">
            <v>0</v>
          </cell>
          <cell r="AU13">
            <v>147.99566731910099</v>
          </cell>
          <cell r="AV13">
            <v>0</v>
          </cell>
          <cell r="AW13">
            <v>0</v>
          </cell>
        </row>
        <row r="14">
          <cell r="D14" t="str">
            <v>P02</v>
          </cell>
          <cell r="S14">
            <v>342972.05287406617</v>
          </cell>
          <cell r="T14">
            <v>1022174.4470326952</v>
          </cell>
          <cell r="U14">
            <v>5091.2621152543488</v>
          </cell>
          <cell r="V14">
            <v>0</v>
          </cell>
          <cell r="W14">
            <v>738581.07628832175</v>
          </cell>
          <cell r="X14">
            <v>0</v>
          </cell>
          <cell r="Y14">
            <v>132412.81969490022</v>
          </cell>
          <cell r="Z14">
            <v>15849.294894796702</v>
          </cell>
          <cell r="AA14">
            <v>72042.345569727375</v>
          </cell>
          <cell r="AB14">
            <v>49321.306460488908</v>
          </cell>
          <cell r="AC14">
            <v>0</v>
          </cell>
          <cell r="AD14">
            <v>78.495236686818686</v>
          </cell>
          <cell r="AE14">
            <v>1801.8430130932161</v>
          </cell>
          <cell r="AF14">
            <v>0</v>
          </cell>
          <cell r="AG14">
            <v>0</v>
          </cell>
          <cell r="AH14">
            <v>640.18431368143365</v>
          </cell>
          <cell r="AI14">
            <v>0</v>
          </cell>
          <cell r="AJ14">
            <v>0</v>
          </cell>
          <cell r="AK14">
            <v>59284.083056574535</v>
          </cell>
          <cell r="AL14">
            <v>2467.9189773146563</v>
          </cell>
          <cell r="AM14">
            <v>3585.3928057388703</v>
          </cell>
          <cell r="AN14">
            <v>7533.5795639052558</v>
          </cell>
          <cell r="AO14">
            <v>0</v>
          </cell>
          <cell r="AP14">
            <v>690.76637204046904</v>
          </cell>
          <cell r="AQ14">
            <v>-809.29566458526517</v>
          </cell>
          <cell r="AR14">
            <v>0</v>
          </cell>
          <cell r="AS14">
            <v>0</v>
          </cell>
          <cell r="AT14">
            <v>0</v>
          </cell>
          <cell r="AU14">
            <v>141.60710626829615</v>
          </cell>
          <cell r="AV14">
            <v>0</v>
          </cell>
          <cell r="AW14">
            <v>0</v>
          </cell>
        </row>
        <row r="15">
          <cell r="D15" t="str">
            <v>P02</v>
          </cell>
          <cell r="S15">
            <v>344110.71169316891</v>
          </cell>
          <cell r="T15">
            <v>1025568.0411725729</v>
          </cell>
          <cell r="U15">
            <v>5108.1649808357224</v>
          </cell>
          <cell r="V15">
            <v>0</v>
          </cell>
          <cell r="W15">
            <v>741033.14738009346</v>
          </cell>
          <cell r="X15">
            <v>0</v>
          </cell>
          <cell r="Y15">
            <v>132852.42701463489</v>
          </cell>
          <cell r="Z15">
            <v>15901.914165834356</v>
          </cell>
          <cell r="AA15">
            <v>72281.524393320738</v>
          </cell>
          <cell r="AB15">
            <v>49485.051990482651</v>
          </cell>
          <cell r="AC15">
            <v>0</v>
          </cell>
          <cell r="AD15">
            <v>78.75583895094492</v>
          </cell>
          <cell r="AE15">
            <v>1807.8250877850298</v>
          </cell>
          <cell r="AF15">
            <v>0</v>
          </cell>
          <cell r="AG15">
            <v>0</v>
          </cell>
          <cell r="AH15">
            <v>642.30970993024187</v>
          </cell>
          <cell r="AI15">
            <v>0</v>
          </cell>
          <cell r="AJ15">
            <v>0</v>
          </cell>
          <cell r="AK15">
            <v>59480.904760964469</v>
          </cell>
          <cell r="AL15">
            <v>2476.112407901207</v>
          </cell>
          <cell r="AM15">
            <v>3597.2962220784557</v>
          </cell>
          <cell r="AN15">
            <v>7558.5908636247777</v>
          </cell>
          <cell r="AO15">
            <v>0</v>
          </cell>
          <cell r="AP15">
            <v>693.0596994847092</v>
          </cell>
          <cell r="AQ15">
            <v>-811.98250637899002</v>
          </cell>
          <cell r="AR15">
            <v>0</v>
          </cell>
          <cell r="AS15">
            <v>0</v>
          </cell>
          <cell r="AT15">
            <v>0</v>
          </cell>
          <cell r="AU15">
            <v>142.07723839436539</v>
          </cell>
          <cell r="AV15">
            <v>0</v>
          </cell>
          <cell r="AW15">
            <v>0</v>
          </cell>
        </row>
        <row r="16">
          <cell r="D16" t="str">
            <v>P02</v>
          </cell>
          <cell r="S16">
            <v>430833.55388385773</v>
          </cell>
          <cell r="T16">
            <v>1284031.8796064302</v>
          </cell>
          <cell r="U16">
            <v>6395.5256193270379</v>
          </cell>
          <cell r="V16">
            <v>0</v>
          </cell>
          <cell r="W16">
            <v>927788.45174741466</v>
          </cell>
          <cell r="X16">
            <v>0</v>
          </cell>
          <cell r="Y16">
            <v>166333.91907848362</v>
          </cell>
          <cell r="Z16">
            <v>19909.517375708241</v>
          </cell>
          <cell r="AA16">
            <v>90497.926906398367</v>
          </cell>
          <cell r="AB16">
            <v>61956.283512026268</v>
          </cell>
          <cell r="AC16">
            <v>0</v>
          </cell>
          <cell r="AD16">
            <v>98.603899359561609</v>
          </cell>
          <cell r="AE16">
            <v>2263.4334849340962</v>
          </cell>
          <cell r="AF16">
            <v>0</v>
          </cell>
          <cell r="AG16">
            <v>0</v>
          </cell>
          <cell r="AH16">
            <v>804.18471619710795</v>
          </cell>
          <cell r="AI16">
            <v>0</v>
          </cell>
          <cell r="AJ16">
            <v>0</v>
          </cell>
          <cell r="AK16">
            <v>74471.292858920657</v>
          </cell>
          <cell r="AL16">
            <v>3100.1426932132626</v>
          </cell>
          <cell r="AM16">
            <v>4503.8874497838033</v>
          </cell>
          <cell r="AN16">
            <v>9463.5082648436091</v>
          </cell>
          <cell r="AO16">
            <v>0</v>
          </cell>
          <cell r="AP16">
            <v>867.72472706086705</v>
          </cell>
          <cell r="AQ16">
            <v>-1016.6184807019682</v>
          </cell>
          <cell r="AR16">
            <v>0</v>
          </cell>
          <cell r="AS16">
            <v>0</v>
          </cell>
          <cell r="AT16">
            <v>0</v>
          </cell>
          <cell r="AU16">
            <v>177.88356904747772</v>
          </cell>
          <cell r="AV16">
            <v>0</v>
          </cell>
          <cell r="AW16">
            <v>0</v>
          </cell>
        </row>
        <row r="17">
          <cell r="D17" t="str">
            <v>P02</v>
          </cell>
          <cell r="S17">
            <v>1113650.2234813499</v>
          </cell>
          <cell r="T17">
            <v>3319059.9404111453</v>
          </cell>
          <cell r="U17">
            <v>16531.624501011534</v>
          </cell>
          <cell r="V17">
            <v>0</v>
          </cell>
          <cell r="W17">
            <v>2398215.7548259539</v>
          </cell>
          <cell r="X17">
            <v>0</v>
          </cell>
          <cell r="Y17">
            <v>429952.13461070793</v>
          </cell>
          <cell r="Z17">
            <v>51463.583267798131</v>
          </cell>
          <cell r="AA17">
            <v>233925.69036319322</v>
          </cell>
          <cell r="AB17">
            <v>160149.15355882896</v>
          </cell>
          <cell r="AC17">
            <v>0</v>
          </cell>
          <cell r="AD17">
            <v>254.87860350707624</v>
          </cell>
          <cell r="AE17">
            <v>5850.689166637052</v>
          </cell>
          <cell r="AF17">
            <v>0</v>
          </cell>
          <cell r="AG17">
            <v>0</v>
          </cell>
          <cell r="AH17">
            <v>2078.7157379915261</v>
          </cell>
          <cell r="AI17">
            <v>0</v>
          </cell>
          <cell r="AJ17">
            <v>0</v>
          </cell>
          <cell r="AK17">
            <v>192498.86919819459</v>
          </cell>
          <cell r="AL17">
            <v>8013.4766013413328</v>
          </cell>
          <cell r="AM17">
            <v>11641.979181451372</v>
          </cell>
          <cell r="AN17">
            <v>24461.97144826319</v>
          </cell>
          <cell r="AO17">
            <v>0</v>
          </cell>
          <cell r="AP17">
            <v>2242.9586263657875</v>
          </cell>
          <cell r="AQ17">
            <v>-2627.8301400225191</v>
          </cell>
          <cell r="AR17">
            <v>0</v>
          </cell>
          <cell r="AS17">
            <v>0</v>
          </cell>
          <cell r="AT17">
            <v>0</v>
          </cell>
          <cell r="AU17">
            <v>459.80651840498643</v>
          </cell>
          <cell r="AV17">
            <v>0</v>
          </cell>
          <cell r="AW17">
            <v>0</v>
          </cell>
        </row>
        <row r="18">
          <cell r="D18" t="str">
            <v>P02</v>
          </cell>
          <cell r="S18">
            <v>339852.43775787594</v>
          </cell>
          <cell r="T18">
            <v>1012876.9231393492</v>
          </cell>
          <cell r="U18">
            <v>5044.9528660833503</v>
          </cell>
          <cell r="V18">
            <v>0</v>
          </cell>
          <cell r="W18">
            <v>731863.06917720847</v>
          </cell>
          <cell r="X18">
            <v>0</v>
          </cell>
          <cell r="Y18">
            <v>131208.41534056279</v>
          </cell>
          <cell r="Z18">
            <v>15705.132419981535</v>
          </cell>
          <cell r="AA18">
            <v>71387.060719659305</v>
          </cell>
          <cell r="AB18">
            <v>48872.688294970663</v>
          </cell>
          <cell r="AC18">
            <v>0</v>
          </cell>
          <cell r="AD18">
            <v>77.781257443130741</v>
          </cell>
          <cell r="AE18">
            <v>1785.4537573111679</v>
          </cell>
          <cell r="AF18">
            <v>0</v>
          </cell>
          <cell r="AG18">
            <v>0</v>
          </cell>
          <cell r="AH18">
            <v>634.36130668896078</v>
          </cell>
          <cell r="AI18">
            <v>0</v>
          </cell>
          <cell r="AJ18">
            <v>0</v>
          </cell>
          <cell r="AK18">
            <v>58744.845179601878</v>
          </cell>
          <cell r="AL18">
            <v>2445.4712085164492</v>
          </cell>
          <cell r="AM18">
            <v>3552.7806861783024</v>
          </cell>
          <cell r="AN18">
            <v>7465.0554130607843</v>
          </cell>
          <cell r="AO18">
            <v>0</v>
          </cell>
          <cell r="AP18">
            <v>684.48327929890229</v>
          </cell>
          <cell r="AQ18">
            <v>-801.93444967708012</v>
          </cell>
          <cell r="AR18">
            <v>0</v>
          </cell>
          <cell r="AS18">
            <v>0</v>
          </cell>
          <cell r="AT18">
            <v>0</v>
          </cell>
          <cell r="AU18">
            <v>140.31907225627495</v>
          </cell>
          <cell r="AV18">
            <v>0</v>
          </cell>
          <cell r="AW18">
            <v>0</v>
          </cell>
        </row>
        <row r="19">
          <cell r="D19" t="str">
            <v>P02</v>
          </cell>
          <cell r="S19">
            <v>335173.78322090273</v>
          </cell>
          <cell r="T19">
            <v>998932.92661219288</v>
          </cell>
          <cell r="U19">
            <v>4975.5003949713637</v>
          </cell>
          <cell r="V19">
            <v>0</v>
          </cell>
          <cell r="W19">
            <v>721787.71267354675</v>
          </cell>
          <cell r="X19">
            <v>0</v>
          </cell>
          <cell r="Y19">
            <v>129402.10536741042</v>
          </cell>
          <cell r="Z19">
            <v>15488.924204629961</v>
          </cell>
          <cell r="AA19">
            <v>70404.294794186775</v>
          </cell>
          <cell r="AB19">
            <v>48199.871509150667</v>
          </cell>
          <cell r="AC19">
            <v>0</v>
          </cell>
          <cell r="AD19">
            <v>76.710464379445114</v>
          </cell>
          <cell r="AE19">
            <v>1760.8739091355569</v>
          </cell>
          <cell r="AF19">
            <v>0</v>
          </cell>
          <cell r="AG19">
            <v>0</v>
          </cell>
          <cell r="AH19">
            <v>625.62822998896354</v>
          </cell>
          <cell r="AI19">
            <v>0</v>
          </cell>
          <cell r="AJ19">
            <v>0</v>
          </cell>
          <cell r="AK19">
            <v>57936.121139731527</v>
          </cell>
          <cell r="AL19">
            <v>2411.8050825935443</v>
          </cell>
          <cell r="AM19">
            <v>3503.8705368619649</v>
          </cell>
          <cell r="AN19">
            <v>7362.2860593745345</v>
          </cell>
          <cell r="AO19">
            <v>0</v>
          </cell>
          <cell r="AP19">
            <v>675.06018726136415</v>
          </cell>
          <cell r="AQ19">
            <v>-790.89443985372895</v>
          </cell>
          <cell r="AR19">
            <v>0</v>
          </cell>
          <cell r="AS19">
            <v>0</v>
          </cell>
          <cell r="AT19">
            <v>0</v>
          </cell>
          <cell r="AU19">
            <v>138.38733838857965</v>
          </cell>
          <cell r="AV19">
            <v>0</v>
          </cell>
          <cell r="AW19">
            <v>0</v>
          </cell>
        </row>
        <row r="20">
          <cell r="D20" t="str">
            <v>P03</v>
          </cell>
          <cell r="S20">
            <v>775284.27254498703</v>
          </cell>
          <cell r="T20">
            <v>3243269.1335578351</v>
          </cell>
          <cell r="U20">
            <v>23575.848497489758</v>
          </cell>
          <cell r="V20">
            <v>0</v>
          </cell>
          <cell r="W20">
            <v>5745698.3516548602</v>
          </cell>
          <cell r="X20">
            <v>0</v>
          </cell>
          <cell r="Y20">
            <v>1662770.632690642</v>
          </cell>
          <cell r="Z20">
            <v>68197.854269460135</v>
          </cell>
          <cell r="AA20">
            <v>97821.65735014547</v>
          </cell>
          <cell r="AB20">
            <v>8065.4057476511898</v>
          </cell>
          <cell r="AC20">
            <v>0</v>
          </cell>
          <cell r="AD20">
            <v>491.33733773555025</v>
          </cell>
          <cell r="AE20">
            <v>2275.6995712748153</v>
          </cell>
          <cell r="AF20">
            <v>0</v>
          </cell>
          <cell r="AG20">
            <v>0</v>
          </cell>
          <cell r="AH20">
            <v>0</v>
          </cell>
          <cell r="AI20">
            <v>0</v>
          </cell>
          <cell r="AJ20">
            <v>0</v>
          </cell>
          <cell r="AK20">
            <v>0</v>
          </cell>
          <cell r="AL20">
            <v>21592.492835613375</v>
          </cell>
          <cell r="AM20">
            <v>67605.150483295642</v>
          </cell>
          <cell r="AN20">
            <v>104065.55495045085</v>
          </cell>
          <cell r="AO20">
            <v>0</v>
          </cell>
          <cell r="AP20">
            <v>0</v>
          </cell>
          <cell r="AQ20">
            <v>55302.277331852281</v>
          </cell>
          <cell r="AR20">
            <v>0</v>
          </cell>
          <cell r="AS20">
            <v>0</v>
          </cell>
          <cell r="AT20">
            <v>0</v>
          </cell>
          <cell r="AU20">
            <v>2961.56429838552</v>
          </cell>
          <cell r="AV20">
            <v>0</v>
          </cell>
          <cell r="AW20">
            <v>0</v>
          </cell>
        </row>
        <row r="21">
          <cell r="D21" t="str">
            <v>P03</v>
          </cell>
          <cell r="S21">
            <v>454770.37238481193</v>
          </cell>
          <cell r="T21">
            <v>1902454.0595548807</v>
          </cell>
          <cell r="U21">
            <v>13829.246613369407</v>
          </cell>
          <cell r="V21">
            <v>0</v>
          </cell>
          <cell r="W21">
            <v>3370342.3009155127</v>
          </cell>
          <cell r="X21">
            <v>0</v>
          </cell>
          <cell r="Y21">
            <v>975356.84212576912</v>
          </cell>
          <cell r="Z21">
            <v>40003.860106897584</v>
          </cell>
          <cell r="AA21">
            <v>57380.748089203298</v>
          </cell>
          <cell r="AB21">
            <v>4731.0486039571997</v>
          </cell>
          <cell r="AC21">
            <v>0</v>
          </cell>
          <cell r="AD21">
            <v>288.21126902918377</v>
          </cell>
          <cell r="AE21">
            <v>1334.8919591356109</v>
          </cell>
          <cell r="AF21">
            <v>0</v>
          </cell>
          <cell r="AG21">
            <v>0</v>
          </cell>
          <cell r="AH21">
            <v>0</v>
          </cell>
          <cell r="AI21">
            <v>0</v>
          </cell>
          <cell r="AJ21">
            <v>0</v>
          </cell>
          <cell r="AK21">
            <v>0</v>
          </cell>
          <cell r="AL21">
            <v>12665.839299607978</v>
          </cell>
          <cell r="AM21">
            <v>39656.188767373184</v>
          </cell>
          <cell r="AN21">
            <v>61043.326755351518</v>
          </cell>
          <cell r="AO21">
            <v>0</v>
          </cell>
          <cell r="AP21">
            <v>0</v>
          </cell>
          <cell r="AQ21">
            <v>32439.503994291656</v>
          </cell>
          <cell r="AR21">
            <v>0</v>
          </cell>
          <cell r="AS21">
            <v>0</v>
          </cell>
          <cell r="AT21">
            <v>0</v>
          </cell>
          <cell r="AU21">
            <v>1737.210138930292</v>
          </cell>
          <cell r="AV21">
            <v>0</v>
          </cell>
          <cell r="AW21">
            <v>0</v>
          </cell>
        </row>
        <row r="22">
          <cell r="D22" t="str">
            <v>P03</v>
          </cell>
          <cell r="S22">
            <v>157117.5763174452</v>
          </cell>
          <cell r="T22">
            <v>657274.50388878968</v>
          </cell>
          <cell r="U22">
            <v>4777.834797800484</v>
          </cell>
          <cell r="V22">
            <v>0</v>
          </cell>
          <cell r="W22">
            <v>1164411.8566983677</v>
          </cell>
          <cell r="X22">
            <v>0</v>
          </cell>
          <cell r="Y22">
            <v>336973.80565013224</v>
          </cell>
          <cell r="Z22">
            <v>13820.842176630316</v>
          </cell>
          <cell r="AA22">
            <v>19824.343480821248</v>
          </cell>
          <cell r="AB22">
            <v>1634.5191666637543</v>
          </cell>
          <cell r="AC22">
            <v>0</v>
          </cell>
          <cell r="AD22">
            <v>99.573452465200319</v>
          </cell>
          <cell r="AE22">
            <v>461.18877130272318</v>
          </cell>
          <cell r="AF22">
            <v>0</v>
          </cell>
          <cell r="AG22">
            <v>0</v>
          </cell>
          <cell r="AH22">
            <v>0</v>
          </cell>
          <cell r="AI22">
            <v>0</v>
          </cell>
          <cell r="AJ22">
            <v>0</v>
          </cell>
          <cell r="AK22">
            <v>0</v>
          </cell>
          <cell r="AL22">
            <v>4375.8918646018519</v>
          </cell>
          <cell r="AM22">
            <v>13700.72600033972</v>
          </cell>
          <cell r="AN22">
            <v>21089.719411270511</v>
          </cell>
          <cell r="AO22">
            <v>0</v>
          </cell>
          <cell r="AP22">
            <v>0</v>
          </cell>
          <cell r="AQ22">
            <v>11207.45007594828</v>
          </cell>
          <cell r="AR22">
            <v>0</v>
          </cell>
          <cell r="AS22">
            <v>0</v>
          </cell>
          <cell r="AT22">
            <v>0</v>
          </cell>
          <cell r="AU22">
            <v>600.18475951168932</v>
          </cell>
          <cell r="AV22">
            <v>0</v>
          </cell>
          <cell r="AW22">
            <v>0</v>
          </cell>
        </row>
        <row r="23">
          <cell r="D23" t="str">
            <v>P03</v>
          </cell>
          <cell r="S23">
            <v>224723.35436509483</v>
          </cell>
          <cell r="T23">
            <v>940091.71166257549</v>
          </cell>
          <cell r="U23">
            <v>6833.6788762237575</v>
          </cell>
          <cell r="V23">
            <v>0</v>
          </cell>
          <cell r="W23">
            <v>1665444.0860967592</v>
          </cell>
          <cell r="X23">
            <v>0</v>
          </cell>
          <cell r="Y23">
            <v>481969.52698576736</v>
          </cell>
          <cell r="Z23">
            <v>19767.782108653177</v>
          </cell>
          <cell r="AA23">
            <v>28354.516849820451</v>
          </cell>
          <cell r="AB23">
            <v>2337.8328415949118</v>
          </cell>
          <cell r="AC23">
            <v>0</v>
          </cell>
          <cell r="AD23">
            <v>142.41869540097159</v>
          </cell>
          <cell r="AE23">
            <v>659.63267835335819</v>
          </cell>
          <cell r="AF23">
            <v>0</v>
          </cell>
          <cell r="AG23">
            <v>0</v>
          </cell>
          <cell r="AH23">
            <v>0</v>
          </cell>
          <cell r="AI23">
            <v>0</v>
          </cell>
          <cell r="AJ23">
            <v>0</v>
          </cell>
          <cell r="AK23">
            <v>0</v>
          </cell>
          <cell r="AL23">
            <v>6258.7847979874405</v>
          </cell>
          <cell r="AM23">
            <v>19595.981405751583</v>
          </cell>
          <cell r="AN23">
            <v>30164.368619993402</v>
          </cell>
          <cell r="AO23">
            <v>0</v>
          </cell>
          <cell r="AP23">
            <v>0</v>
          </cell>
          <cell r="AQ23">
            <v>16029.87924061294</v>
          </cell>
          <cell r="AR23">
            <v>0</v>
          </cell>
          <cell r="AS23">
            <v>0</v>
          </cell>
          <cell r="AT23">
            <v>0</v>
          </cell>
          <cell r="AU23">
            <v>858.43694612350623</v>
          </cell>
          <cell r="AV23">
            <v>0</v>
          </cell>
          <cell r="AW23">
            <v>0</v>
          </cell>
        </row>
        <row r="24">
          <cell r="D24" t="str">
            <v>P03</v>
          </cell>
          <cell r="S24">
            <v>205884.83421647584</v>
          </cell>
          <cell r="T24">
            <v>861283.98515039077</v>
          </cell>
          <cell r="U24">
            <v>6260.8127512824976</v>
          </cell>
          <cell r="V24">
            <v>0</v>
          </cell>
          <cell r="W24">
            <v>1525830.194781485</v>
          </cell>
          <cell r="X24">
            <v>0</v>
          </cell>
          <cell r="Y24">
            <v>441566.10442742181</v>
          </cell>
          <cell r="Z24">
            <v>18110.652334137776</v>
          </cell>
          <cell r="AA24">
            <v>25977.562578695226</v>
          </cell>
          <cell r="AB24">
            <v>2141.8527165432997</v>
          </cell>
          <cell r="AC24">
            <v>0</v>
          </cell>
          <cell r="AD24">
            <v>130.47976065860212</v>
          </cell>
          <cell r="AE24">
            <v>604.33578437028484</v>
          </cell>
          <cell r="AF24">
            <v>0</v>
          </cell>
          <cell r="AG24">
            <v>0</v>
          </cell>
          <cell r="AH24">
            <v>0</v>
          </cell>
          <cell r="AI24">
            <v>0</v>
          </cell>
          <cell r="AJ24">
            <v>0</v>
          </cell>
          <cell r="AK24">
            <v>0</v>
          </cell>
          <cell r="AL24">
            <v>5734.1119447547435</v>
          </cell>
          <cell r="AM24">
            <v>17953.253654614229</v>
          </cell>
          <cell r="AN24">
            <v>27635.69478623195</v>
          </cell>
          <cell r="AO24">
            <v>0</v>
          </cell>
          <cell r="AP24">
            <v>0</v>
          </cell>
          <cell r="AQ24">
            <v>14686.097220682743</v>
          </cell>
          <cell r="AR24">
            <v>0</v>
          </cell>
          <cell r="AS24">
            <v>0</v>
          </cell>
          <cell r="AT24">
            <v>0</v>
          </cell>
          <cell r="AU24">
            <v>786.47432456351714</v>
          </cell>
          <cell r="AV24">
            <v>0</v>
          </cell>
          <cell r="AW24">
            <v>0</v>
          </cell>
        </row>
        <row r="25">
          <cell r="D25" t="str">
            <v>P03</v>
          </cell>
          <cell r="S25">
            <v>169354.06375515237</v>
          </cell>
          <cell r="T25">
            <v>708463.75590290292</v>
          </cell>
          <cell r="U25">
            <v>5149.9377594997104</v>
          </cell>
          <cell r="V25">
            <v>0</v>
          </cell>
          <cell r="W25">
            <v>1255097.5163856016</v>
          </cell>
          <cell r="X25">
            <v>0</v>
          </cell>
          <cell r="Y25">
            <v>363217.69151140103</v>
          </cell>
          <cell r="Z25">
            <v>14897.2243716508</v>
          </cell>
          <cell r="AA25">
            <v>21368.28487585489</v>
          </cell>
          <cell r="AB25">
            <v>1761.817294081163</v>
          </cell>
          <cell r="AC25">
            <v>0</v>
          </cell>
          <cell r="AD25">
            <v>107.32834105740849</v>
          </cell>
          <cell r="AE25">
            <v>497.10665355833669</v>
          </cell>
          <cell r="AF25">
            <v>0</v>
          </cell>
          <cell r="AG25">
            <v>0</v>
          </cell>
          <cell r="AH25">
            <v>0</v>
          </cell>
          <cell r="AI25">
            <v>0</v>
          </cell>
          <cell r="AJ25">
            <v>0</v>
          </cell>
          <cell r="AK25">
            <v>0</v>
          </cell>
          <cell r="AL25">
            <v>4716.6910742445743</v>
          </cell>
          <cell r="AM25">
            <v>14767.753417131729</v>
          </cell>
          <cell r="AN25">
            <v>22732.209657679225</v>
          </cell>
          <cell r="AO25">
            <v>0</v>
          </cell>
          <cell r="AP25">
            <v>0</v>
          </cell>
          <cell r="AQ25">
            <v>12080.298456615696</v>
          </cell>
          <cell r="AR25">
            <v>0</v>
          </cell>
          <cell r="AS25">
            <v>0</v>
          </cell>
          <cell r="AT25">
            <v>0</v>
          </cell>
          <cell r="AU25">
            <v>646.92780024718104</v>
          </cell>
          <cell r="AV25">
            <v>0</v>
          </cell>
          <cell r="AW25">
            <v>0</v>
          </cell>
        </row>
        <row r="26">
          <cell r="D26" t="str">
            <v>P03</v>
          </cell>
          <cell r="S26">
            <v>148594.24829541342</v>
          </cell>
          <cell r="T26">
            <v>621618.61911467905</v>
          </cell>
          <cell r="U26">
            <v>4518.6463978059892</v>
          </cell>
          <cell r="V26">
            <v>0</v>
          </cell>
          <cell r="W26">
            <v>1101244.7404533261</v>
          </cell>
          <cell r="X26">
            <v>0</v>
          </cell>
          <cell r="Y26">
            <v>318693.62116850866</v>
          </cell>
          <cell r="Z26">
            <v>13071.087921421171</v>
          </cell>
          <cell r="AA26">
            <v>18748.910761778559</v>
          </cell>
          <cell r="AB26">
            <v>1545.8496279507492</v>
          </cell>
          <cell r="AC26">
            <v>0</v>
          </cell>
          <cell r="AD26">
            <v>94.171783106882572</v>
          </cell>
          <cell r="AE26">
            <v>436.17016250017343</v>
          </cell>
          <cell r="AF26">
            <v>0</v>
          </cell>
          <cell r="AG26">
            <v>0</v>
          </cell>
          <cell r="AH26">
            <v>0</v>
          </cell>
          <cell r="AI26">
            <v>0</v>
          </cell>
          <cell r="AJ26">
            <v>0</v>
          </cell>
          <cell r="AK26">
            <v>0</v>
          </cell>
          <cell r="AL26">
            <v>4138.5081000026221</v>
          </cell>
          <cell r="AM26">
            <v>12957.4878179677</v>
          </cell>
          <cell r="AN26">
            <v>19945.642468079328</v>
          </cell>
          <cell r="AO26">
            <v>0</v>
          </cell>
          <cell r="AP26">
            <v>0</v>
          </cell>
          <cell r="AQ26">
            <v>10599.467343991855</v>
          </cell>
          <cell r="AR26">
            <v>0</v>
          </cell>
          <cell r="AS26">
            <v>0</v>
          </cell>
          <cell r="AT26">
            <v>0</v>
          </cell>
          <cell r="AU26">
            <v>567.62588418378368</v>
          </cell>
          <cell r="AV26">
            <v>0</v>
          </cell>
          <cell r="AW26">
            <v>0</v>
          </cell>
        </row>
        <row r="27">
          <cell r="D27" t="str">
            <v>P03</v>
          </cell>
          <cell r="S27">
            <v>199484.26908501281</v>
          </cell>
          <cell r="T27">
            <v>834508.31580776779</v>
          </cell>
          <cell r="U27">
            <v>6066.176075186464</v>
          </cell>
          <cell r="V27">
            <v>0</v>
          </cell>
          <cell r="W27">
            <v>1478395.0566936391</v>
          </cell>
          <cell r="X27">
            <v>0</v>
          </cell>
          <cell r="Y27">
            <v>427838.66004333249</v>
          </cell>
          <cell r="Z27">
            <v>17547.626843313861</v>
          </cell>
          <cell r="AA27">
            <v>25169.969917126135</v>
          </cell>
          <cell r="AB27">
            <v>2075.2666182208654</v>
          </cell>
          <cell r="AC27">
            <v>0</v>
          </cell>
          <cell r="AD27">
            <v>126.42339482859161</v>
          </cell>
          <cell r="AE27">
            <v>585.54814241571171</v>
          </cell>
          <cell r="AF27">
            <v>0</v>
          </cell>
          <cell r="AG27">
            <v>0</v>
          </cell>
          <cell r="AH27">
            <v>0</v>
          </cell>
          <cell r="AI27">
            <v>0</v>
          </cell>
          <cell r="AJ27">
            <v>0</v>
          </cell>
          <cell r="AK27">
            <v>0</v>
          </cell>
          <cell r="AL27">
            <v>5555.8493878589143</v>
          </cell>
          <cell r="AM27">
            <v>17395.121387245705</v>
          </cell>
          <cell r="AN27">
            <v>26776.553970417772</v>
          </cell>
          <cell r="AO27">
            <v>0</v>
          </cell>
          <cell r="AP27">
            <v>0</v>
          </cell>
          <cell r="AQ27">
            <v>14229.534588735103</v>
          </cell>
          <cell r="AR27">
            <v>0</v>
          </cell>
          <cell r="AS27">
            <v>0</v>
          </cell>
          <cell r="AT27">
            <v>0</v>
          </cell>
          <cell r="AU27">
            <v>762.02434427356843</v>
          </cell>
          <cell r="AV27">
            <v>0</v>
          </cell>
          <cell r="AW27">
            <v>0</v>
          </cell>
        </row>
        <row r="28">
          <cell r="D28" t="str">
            <v>P03</v>
          </cell>
          <cell r="S28">
            <v>106576.73996948746</v>
          </cell>
          <cell r="T28">
            <v>445845.56057559006</v>
          </cell>
          <cell r="U28">
            <v>3240.9235732706006</v>
          </cell>
          <cell r="V28">
            <v>0</v>
          </cell>
          <cell r="W28">
            <v>789849.37635491614</v>
          </cell>
          <cell r="X28">
            <v>0</v>
          </cell>
          <cell r="Y28">
            <v>228577.67095860658</v>
          </cell>
          <cell r="Z28">
            <v>9375.0192520918172</v>
          </cell>
          <cell r="AA28">
            <v>13447.342746380555</v>
          </cell>
          <cell r="AB28">
            <v>1108.7347977460124</v>
          </cell>
          <cell r="AC28">
            <v>0</v>
          </cell>
          <cell r="AD28">
            <v>67.543136802253926</v>
          </cell>
          <cell r="AE28">
            <v>312.83575592249167</v>
          </cell>
          <cell r="AF28">
            <v>0</v>
          </cell>
          <cell r="AG28">
            <v>0</v>
          </cell>
          <cell r="AH28">
            <v>0</v>
          </cell>
          <cell r="AI28">
            <v>0</v>
          </cell>
          <cell r="AJ28">
            <v>0</v>
          </cell>
          <cell r="AK28">
            <v>0</v>
          </cell>
          <cell r="AL28">
            <v>2968.2757354021442</v>
          </cell>
          <cell r="AM28">
            <v>9293.5414773787761</v>
          </cell>
          <cell r="AN28">
            <v>14305.678552367433</v>
          </cell>
          <cell r="AO28">
            <v>0</v>
          </cell>
          <cell r="AP28">
            <v>0</v>
          </cell>
          <cell r="AQ28">
            <v>7602.2907204986504</v>
          </cell>
          <cell r="AR28">
            <v>0</v>
          </cell>
          <cell r="AS28">
            <v>0</v>
          </cell>
          <cell r="AT28">
            <v>0</v>
          </cell>
          <cell r="AU28">
            <v>407.12017425019548</v>
          </cell>
          <cell r="AV28">
            <v>0</v>
          </cell>
          <cell r="AW28">
            <v>0</v>
          </cell>
        </row>
        <row r="29">
          <cell r="D29" t="str">
            <v>P03</v>
          </cell>
          <cell r="S29">
            <v>219199.8499687131</v>
          </cell>
          <cell r="T29">
            <v>916985.07587458275</v>
          </cell>
          <cell r="U29">
            <v>6665.7129991438005</v>
          </cell>
          <cell r="V29">
            <v>0</v>
          </cell>
          <cell r="W29">
            <v>1624508.920468454</v>
          </cell>
          <cell r="X29">
            <v>0</v>
          </cell>
          <cell r="Y29">
            <v>470123.13563605986</v>
          </cell>
          <cell r="Z29">
            <v>19281.907235112118</v>
          </cell>
          <cell r="AA29">
            <v>27657.587512325703</v>
          </cell>
          <cell r="AB29">
            <v>2280.3709457673153</v>
          </cell>
          <cell r="AC29">
            <v>0</v>
          </cell>
          <cell r="AD29">
            <v>138.91816786391732</v>
          </cell>
          <cell r="AE29">
            <v>643.41948142429101</v>
          </cell>
          <cell r="AF29">
            <v>0</v>
          </cell>
          <cell r="AG29">
            <v>0</v>
          </cell>
          <cell r="AH29">
            <v>0</v>
          </cell>
          <cell r="AI29">
            <v>0</v>
          </cell>
          <cell r="AJ29">
            <v>0</v>
          </cell>
          <cell r="AK29">
            <v>0</v>
          </cell>
          <cell r="AL29">
            <v>6104.94931682278</v>
          </cell>
          <cell r="AM29">
            <v>19114.329243910695</v>
          </cell>
          <cell r="AN29">
            <v>29422.954701723353</v>
          </cell>
          <cell r="AO29">
            <v>0</v>
          </cell>
          <cell r="AP29">
            <v>0</v>
          </cell>
          <cell r="AQ29">
            <v>15635.878765187736</v>
          </cell>
          <cell r="AR29">
            <v>0</v>
          </cell>
          <cell r="AS29">
            <v>0</v>
          </cell>
          <cell r="AT29">
            <v>0</v>
          </cell>
          <cell r="AU29">
            <v>837.3373133802786</v>
          </cell>
          <cell r="AV29">
            <v>0</v>
          </cell>
          <cell r="AW29">
            <v>0</v>
          </cell>
        </row>
        <row r="30">
          <cell r="D30" t="str">
            <v>P03</v>
          </cell>
          <cell r="S30">
            <v>532579.87164057465</v>
          </cell>
          <cell r="T30">
            <v>2227956.7895475919</v>
          </cell>
          <cell r="U30">
            <v>16195.378664646069</v>
          </cell>
          <cell r="V30">
            <v>0</v>
          </cell>
          <cell r="W30">
            <v>3946995.1848304048</v>
          </cell>
          <cell r="X30">
            <v>0</v>
          </cell>
          <cell r="Y30">
            <v>1142236.7272060371</v>
          </cell>
          <cell r="Z30">
            <v>46848.370022731404</v>
          </cell>
          <cell r="AA30">
            <v>67198.378143528898</v>
          </cell>
          <cell r="AB30">
            <v>5540.5132155108604</v>
          </cell>
          <cell r="AC30">
            <v>0</v>
          </cell>
          <cell r="AD30">
            <v>337.52313252070633</v>
          </cell>
          <cell r="AE30">
            <v>1563.2869496804144</v>
          </cell>
          <cell r="AF30">
            <v>0</v>
          </cell>
          <cell r="AG30">
            <v>0</v>
          </cell>
          <cell r="AH30">
            <v>0</v>
          </cell>
          <cell r="AI30">
            <v>0</v>
          </cell>
          <cell r="AJ30">
            <v>0</v>
          </cell>
          <cell r="AK30">
            <v>0</v>
          </cell>
          <cell r="AL30">
            <v>14832.91673780692</v>
          </cell>
          <cell r="AM30">
            <v>46441.213425422706</v>
          </cell>
          <cell r="AN30">
            <v>71487.610235896107</v>
          </cell>
          <cell r="AO30">
            <v>0</v>
          </cell>
          <cell r="AP30">
            <v>0</v>
          </cell>
          <cell r="AQ30">
            <v>37989.781046564829</v>
          </cell>
          <cell r="AR30">
            <v>0</v>
          </cell>
          <cell r="AS30">
            <v>0</v>
          </cell>
          <cell r="AT30">
            <v>0</v>
          </cell>
          <cell r="AU30">
            <v>2034.4402559745536</v>
          </cell>
          <cell r="AV30">
            <v>0</v>
          </cell>
          <cell r="AW30">
            <v>0</v>
          </cell>
        </row>
        <row r="31">
          <cell r="D31" t="str">
            <v>P03</v>
          </cell>
          <cell r="S31">
            <v>177719.91388885528</v>
          </cell>
          <cell r="T31">
            <v>743460.85886946029</v>
          </cell>
          <cell r="U31">
            <v>5404.3373678619964</v>
          </cell>
          <cell r="V31">
            <v>0</v>
          </cell>
          <cell r="W31">
            <v>1317097.5504706723</v>
          </cell>
          <cell r="X31">
            <v>0</v>
          </cell>
          <cell r="Y31">
            <v>381160.12941762735</v>
          </cell>
          <cell r="Z31">
            <v>15633.126089849668</v>
          </cell>
          <cell r="AA31">
            <v>22423.847788972373</v>
          </cell>
          <cell r="AB31">
            <v>1848.8485652442714</v>
          </cell>
          <cell r="AC31">
            <v>0</v>
          </cell>
          <cell r="AD31">
            <v>112.63020861509158</v>
          </cell>
          <cell r="AE31">
            <v>521.66301596218307</v>
          </cell>
          <cell r="AF31">
            <v>0</v>
          </cell>
          <cell r="AG31">
            <v>0</v>
          </cell>
          <cell r="AH31">
            <v>0</v>
          </cell>
          <cell r="AI31">
            <v>0</v>
          </cell>
          <cell r="AJ31">
            <v>0</v>
          </cell>
          <cell r="AK31">
            <v>0</v>
          </cell>
          <cell r="AL31">
            <v>4949.6889119058742</v>
          </cell>
          <cell r="AM31">
            <v>15497.259454127812</v>
          </cell>
          <cell r="AN31">
            <v>23855.14851717425</v>
          </cell>
          <cell r="AO31">
            <v>0</v>
          </cell>
          <cell r="AP31">
            <v>0</v>
          </cell>
          <cell r="AQ31">
            <v>12677.048036859382</v>
          </cell>
          <cell r="AR31">
            <v>0</v>
          </cell>
          <cell r="AS31">
            <v>0</v>
          </cell>
          <cell r="AT31">
            <v>0</v>
          </cell>
          <cell r="AU31">
            <v>678.88511443374045</v>
          </cell>
          <cell r="AV31">
            <v>0</v>
          </cell>
          <cell r="AW31">
            <v>0</v>
          </cell>
        </row>
        <row r="32">
          <cell r="D32" t="str">
            <v>P03</v>
          </cell>
          <cell r="S32">
            <v>177749.19696726353</v>
          </cell>
          <cell r="T32">
            <v>743583.35961879871</v>
          </cell>
          <cell r="U32">
            <v>5405.2278456448457</v>
          </cell>
          <cell r="V32">
            <v>0</v>
          </cell>
          <cell r="W32">
            <v>1317314.5698805843</v>
          </cell>
          <cell r="X32">
            <v>0</v>
          </cell>
          <cell r="Y32">
            <v>381222.9335328872</v>
          </cell>
          <cell r="Z32">
            <v>15635.701974830918</v>
          </cell>
          <cell r="AA32">
            <v>22427.542587594828</v>
          </cell>
          <cell r="AB32">
            <v>1849.1532017721449</v>
          </cell>
          <cell r="AC32">
            <v>0</v>
          </cell>
          <cell r="AD32">
            <v>112.64876680115999</v>
          </cell>
          <cell r="AE32">
            <v>521.74897087103284</v>
          </cell>
          <cell r="AF32">
            <v>0</v>
          </cell>
          <cell r="AG32">
            <v>0</v>
          </cell>
          <cell r="AH32">
            <v>0</v>
          </cell>
          <cell r="AI32">
            <v>0</v>
          </cell>
          <cell r="AJ32">
            <v>0</v>
          </cell>
          <cell r="AK32">
            <v>0</v>
          </cell>
          <cell r="AL32">
            <v>4950.5044768323487</v>
          </cell>
          <cell r="AM32">
            <v>15499.812952234908</v>
          </cell>
          <cell r="AN32">
            <v>23859.079152572296</v>
          </cell>
          <cell r="AO32">
            <v>0</v>
          </cell>
          <cell r="AP32">
            <v>0</v>
          </cell>
          <cell r="AQ32">
            <v>12679.136846062163</v>
          </cell>
          <cell r="AR32">
            <v>0</v>
          </cell>
          <cell r="AS32">
            <v>0</v>
          </cell>
          <cell r="AT32">
            <v>0</v>
          </cell>
          <cell r="AU32">
            <v>678.99697497655279</v>
          </cell>
          <cell r="AV32">
            <v>0</v>
          </cell>
          <cell r="AW32">
            <v>0</v>
          </cell>
        </row>
        <row r="33">
          <cell r="D33" t="str">
            <v>P03</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row>
        <row r="34">
          <cell r="D34" t="str">
            <v>P03</v>
          </cell>
          <cell r="S34">
            <v>216059.72786073366</v>
          </cell>
          <cell r="T34">
            <v>903848.91218718991</v>
          </cell>
          <cell r="U34">
            <v>6570.2240982296589</v>
          </cell>
          <cell r="V34">
            <v>0</v>
          </cell>
          <cell r="W34">
            <v>1601237.2057455613</v>
          </cell>
          <cell r="X34">
            <v>0</v>
          </cell>
          <cell r="Y34">
            <v>463388.44100969896</v>
          </cell>
          <cell r="Z34">
            <v>19005.68650228942</v>
          </cell>
          <cell r="AA34">
            <v>27261.381940044401</v>
          </cell>
          <cell r="AB34">
            <v>2247.7037554283625</v>
          </cell>
          <cell r="AC34">
            <v>0</v>
          </cell>
          <cell r="AD34">
            <v>136.92811171117933</v>
          </cell>
          <cell r="AE34">
            <v>634.20225003196356</v>
          </cell>
          <cell r="AF34">
            <v>0</v>
          </cell>
          <cell r="AG34">
            <v>0</v>
          </cell>
          <cell r="AH34">
            <v>0</v>
          </cell>
          <cell r="AI34">
            <v>0</v>
          </cell>
          <cell r="AJ34">
            <v>0</v>
          </cell>
          <cell r="AK34">
            <v>0</v>
          </cell>
          <cell r="AL34">
            <v>6017.4935712071456</v>
          </cell>
          <cell r="AM34">
            <v>18840.509130226455</v>
          </cell>
          <cell r="AN34">
            <v>29001.459565872916</v>
          </cell>
          <cell r="AO34">
            <v>0</v>
          </cell>
          <cell r="AP34">
            <v>0</v>
          </cell>
          <cell r="AQ34">
            <v>15411.888791676076</v>
          </cell>
          <cell r="AR34">
            <v>0</v>
          </cell>
          <cell r="AS34">
            <v>0</v>
          </cell>
          <cell r="AT34">
            <v>0</v>
          </cell>
          <cell r="AU34">
            <v>825.34213450603761</v>
          </cell>
          <cell r="AV34">
            <v>0</v>
          </cell>
          <cell r="AW34">
            <v>0</v>
          </cell>
        </row>
        <row r="35">
          <cell r="D35" t="str">
            <v>P04</v>
          </cell>
          <cell r="S35">
            <v>73688.919003438117</v>
          </cell>
          <cell r="T35">
            <v>429621.64057013812</v>
          </cell>
          <cell r="U35">
            <v>2703.9245344170145</v>
          </cell>
          <cell r="V35">
            <v>0</v>
          </cell>
          <cell r="W35">
            <v>576203.65121952025</v>
          </cell>
          <cell r="X35">
            <v>0</v>
          </cell>
          <cell r="Y35">
            <v>130108.96837470174</v>
          </cell>
          <cell r="Z35">
            <v>6215.3053757811567</v>
          </cell>
          <cell r="AA35">
            <v>6744.6661682735621</v>
          </cell>
          <cell r="AB35">
            <v>1260.2407040444089</v>
          </cell>
          <cell r="AC35">
            <v>0</v>
          </cell>
          <cell r="AD35">
            <v>31.886225147695875</v>
          </cell>
          <cell r="AE35">
            <v>201.00527767975692</v>
          </cell>
          <cell r="AF35">
            <v>0</v>
          </cell>
          <cell r="AG35">
            <v>0</v>
          </cell>
          <cell r="AH35">
            <v>0</v>
          </cell>
          <cell r="AI35">
            <v>0</v>
          </cell>
          <cell r="AJ35">
            <v>0</v>
          </cell>
          <cell r="AK35">
            <v>10522.349075248887</v>
          </cell>
          <cell r="AL35">
            <v>2165.3605446784277</v>
          </cell>
          <cell r="AM35">
            <v>3473.31589283946</v>
          </cell>
          <cell r="AN35">
            <v>4958.5149499985218</v>
          </cell>
          <cell r="AO35">
            <v>0</v>
          </cell>
          <cell r="AP35">
            <v>194.50386893112977</v>
          </cell>
          <cell r="AQ35">
            <v>150.82033674523404</v>
          </cell>
          <cell r="AR35">
            <v>0</v>
          </cell>
          <cell r="AS35">
            <v>0</v>
          </cell>
          <cell r="AT35">
            <v>0</v>
          </cell>
          <cell r="AU35">
            <v>143.80543736173476</v>
          </cell>
          <cell r="AV35">
            <v>0</v>
          </cell>
          <cell r="AW35">
            <v>0</v>
          </cell>
        </row>
        <row r="36">
          <cell r="D36" t="str">
            <v>P04</v>
          </cell>
          <cell r="S36">
            <v>136964.28288289448</v>
          </cell>
          <cell r="T36">
            <v>798530.100691478</v>
          </cell>
          <cell r="U36">
            <v>5025.7364313976659</v>
          </cell>
          <cell r="V36">
            <v>0</v>
          </cell>
          <cell r="W36">
            <v>1070979.476305045</v>
          </cell>
          <cell r="X36">
            <v>0</v>
          </cell>
          <cell r="Y36">
            <v>241831.22498028202</v>
          </cell>
          <cell r="Z36">
            <v>11552.277536495643</v>
          </cell>
          <cell r="AA36">
            <v>12536.191024582777</v>
          </cell>
          <cell r="AB36">
            <v>2342.3869779012921</v>
          </cell>
          <cell r="AC36">
            <v>0</v>
          </cell>
          <cell r="AD36">
            <v>59.266359450773287</v>
          </cell>
          <cell r="AE36">
            <v>373.60493389515574</v>
          </cell>
          <cell r="AF36">
            <v>0</v>
          </cell>
          <cell r="AG36">
            <v>0</v>
          </cell>
          <cell r="AH36">
            <v>0</v>
          </cell>
          <cell r="AI36">
            <v>0</v>
          </cell>
          <cell r="AJ36">
            <v>0</v>
          </cell>
          <cell r="AK36">
            <v>19557.70304172477</v>
          </cell>
          <cell r="AL36">
            <v>4024.717124306806</v>
          </cell>
          <cell r="AM36">
            <v>6455.7904624211033</v>
          </cell>
          <cell r="AN36">
            <v>9216.3035294217334</v>
          </cell>
          <cell r="AO36">
            <v>0</v>
          </cell>
          <cell r="AP36">
            <v>361.52088110910864</v>
          </cell>
          <cell r="AQ36">
            <v>280.32707693138832</v>
          </cell>
          <cell r="AR36">
            <v>0</v>
          </cell>
          <cell r="AS36">
            <v>0</v>
          </cell>
          <cell r="AT36">
            <v>0</v>
          </cell>
          <cell r="AU36">
            <v>267.28860823690513</v>
          </cell>
          <cell r="AV36">
            <v>0</v>
          </cell>
          <cell r="AW36">
            <v>0</v>
          </cell>
        </row>
        <row r="37">
          <cell r="D37" t="str">
            <v>P04</v>
          </cell>
          <cell r="S37">
            <v>378313.35157759208</v>
          </cell>
          <cell r="T37">
            <v>2205645.0949805533</v>
          </cell>
          <cell r="U37">
            <v>13881.744594196774</v>
          </cell>
          <cell r="V37">
            <v>0</v>
          </cell>
          <cell r="W37">
            <v>2958186.0805141139</v>
          </cell>
          <cell r="X37">
            <v>0</v>
          </cell>
          <cell r="Y37">
            <v>667969.62910854747</v>
          </cell>
          <cell r="Z37">
            <v>31908.908959300763</v>
          </cell>
          <cell r="AA37">
            <v>34626.607336613481</v>
          </cell>
          <cell r="AB37">
            <v>6469.9807106588178</v>
          </cell>
          <cell r="AC37">
            <v>0</v>
          </cell>
          <cell r="AD37">
            <v>163.70147463039461</v>
          </cell>
          <cell r="AE37">
            <v>1031.9459331499415</v>
          </cell>
          <cell r="AF37">
            <v>0</v>
          </cell>
          <cell r="AG37">
            <v>0</v>
          </cell>
          <cell r="AH37">
            <v>0</v>
          </cell>
          <cell r="AI37">
            <v>0</v>
          </cell>
          <cell r="AJ37">
            <v>0</v>
          </cell>
          <cell r="AK37">
            <v>54020.94641856604</v>
          </cell>
          <cell r="AL37">
            <v>11116.797696448166</v>
          </cell>
          <cell r="AM37">
            <v>17831.741790736614</v>
          </cell>
          <cell r="AN37">
            <v>25456.641716972597</v>
          </cell>
          <cell r="AO37">
            <v>0</v>
          </cell>
          <cell r="AP37">
            <v>998.5681910561234</v>
          </cell>
          <cell r="AQ37">
            <v>774.30023199944662</v>
          </cell>
          <cell r="AR37">
            <v>0</v>
          </cell>
          <cell r="AS37">
            <v>0</v>
          </cell>
          <cell r="AT37">
            <v>0</v>
          </cell>
          <cell r="AU37">
            <v>738.28626772040252</v>
          </cell>
          <cell r="AV37">
            <v>0</v>
          </cell>
          <cell r="AW37">
            <v>0</v>
          </cell>
        </row>
        <row r="38">
          <cell r="D38" t="str">
            <v>P04</v>
          </cell>
          <cell r="S38">
            <v>139216.89598816258</v>
          </cell>
          <cell r="T38">
            <v>811663.30105515721</v>
          </cell>
          <cell r="U38">
            <v>5108.393307414527</v>
          </cell>
          <cell r="V38">
            <v>0</v>
          </cell>
          <cell r="W38">
            <v>1088593.5750541373</v>
          </cell>
          <cell r="X38">
            <v>0</v>
          </cell>
          <cell r="Y38">
            <v>245808.55523885306</v>
          </cell>
          <cell r="Z38">
            <v>11742.274601618483</v>
          </cell>
          <cell r="AA38">
            <v>12742.370238591908</v>
          </cell>
          <cell r="AB38">
            <v>2380.9115588574909</v>
          </cell>
          <cell r="AC38">
            <v>0</v>
          </cell>
          <cell r="AD38">
            <v>60.241096624511414</v>
          </cell>
          <cell r="AE38">
            <v>379.74950934629442</v>
          </cell>
          <cell r="AF38">
            <v>0</v>
          </cell>
          <cell r="AG38">
            <v>0</v>
          </cell>
          <cell r="AH38">
            <v>0</v>
          </cell>
          <cell r="AI38">
            <v>0</v>
          </cell>
          <cell r="AJ38">
            <v>0</v>
          </cell>
          <cell r="AK38">
            <v>19879.363092457843</v>
          </cell>
          <cell r="AL38">
            <v>4090.9105168350034</v>
          </cell>
          <cell r="AM38">
            <v>6561.9670355715534</v>
          </cell>
          <cell r="AN38">
            <v>9367.8814859190097</v>
          </cell>
          <cell r="AO38">
            <v>0</v>
          </cell>
          <cell r="AP38">
            <v>367.46671353690107</v>
          </cell>
          <cell r="AQ38">
            <v>284.93753765856241</v>
          </cell>
          <cell r="AR38">
            <v>0</v>
          </cell>
          <cell r="AS38">
            <v>0</v>
          </cell>
          <cell r="AT38">
            <v>0</v>
          </cell>
          <cell r="AU38">
            <v>271.68462893025713</v>
          </cell>
          <cell r="AV38">
            <v>0</v>
          </cell>
          <cell r="AW38">
            <v>0</v>
          </cell>
        </row>
        <row r="39">
          <cell r="D39" t="str">
            <v>P04</v>
          </cell>
          <cell r="S39">
            <v>182430.73590139768</v>
          </cell>
          <cell r="T39">
            <v>1063608.926665341</v>
          </cell>
          <cell r="U39">
            <v>6694.0721794619494</v>
          </cell>
          <cell r="V39">
            <v>0</v>
          </cell>
          <cell r="W39">
            <v>1426500.1786244805</v>
          </cell>
          <cell r="X39">
            <v>0</v>
          </cell>
          <cell r="Y39">
            <v>322109.14705996797</v>
          </cell>
          <cell r="Z39">
            <v>15387.153847415871</v>
          </cell>
          <cell r="AA39">
            <v>16697.685746075302</v>
          </cell>
          <cell r="AB39">
            <v>3119.9621620313119</v>
          </cell>
          <cell r="AC39">
            <v>0</v>
          </cell>
          <cell r="AD39">
            <v>78.94032912248862</v>
          </cell>
          <cell r="AE39">
            <v>497.62625402975368</v>
          </cell>
          <cell r="AF39">
            <v>0</v>
          </cell>
          <cell r="AG39">
            <v>0</v>
          </cell>
          <cell r="AH39">
            <v>0</v>
          </cell>
          <cell r="AI39">
            <v>0</v>
          </cell>
          <cell r="AJ39">
            <v>0</v>
          </cell>
          <cell r="AK39">
            <v>26050.048109940148</v>
          </cell>
          <cell r="AL39">
            <v>5360.7560403906309</v>
          </cell>
          <cell r="AM39">
            <v>8598.8447505812765</v>
          </cell>
          <cell r="AN39">
            <v>12275.73349615981</v>
          </cell>
          <cell r="AO39">
            <v>0</v>
          </cell>
          <cell r="AP39">
            <v>481.53079763755858</v>
          </cell>
          <cell r="AQ39">
            <v>373.38402290914212</v>
          </cell>
          <cell r="AR39">
            <v>0</v>
          </cell>
          <cell r="AS39">
            <v>0</v>
          </cell>
          <cell r="AT39">
            <v>0</v>
          </cell>
          <cell r="AU39">
            <v>356.01732416918196</v>
          </cell>
          <cell r="AV39">
            <v>0</v>
          </cell>
          <cell r="AW39">
            <v>0</v>
          </cell>
        </row>
        <row r="40">
          <cell r="D40" t="str">
            <v>P04</v>
          </cell>
          <cell r="S40">
            <v>126339.26494304143</v>
          </cell>
          <cell r="T40">
            <v>736584.04828441481</v>
          </cell>
          <cell r="U40">
            <v>4635.8644252029599</v>
          </cell>
          <cell r="V40">
            <v>0</v>
          </cell>
          <cell r="W40">
            <v>987898.13634224015</v>
          </cell>
          <cell r="X40">
            <v>0</v>
          </cell>
          <cell r="Y40">
            <v>223071.14352146076</v>
          </cell>
          <cell r="Z40">
            <v>10656.108451476784</v>
          </cell>
          <cell r="AA40">
            <v>11563.694752342944</v>
          </cell>
          <cell r="AB40">
            <v>2160.6760738726939</v>
          </cell>
          <cell r="AC40">
            <v>0</v>
          </cell>
          <cell r="AD40">
            <v>54.668765690269687</v>
          </cell>
          <cell r="AE40">
            <v>344.62249379106197</v>
          </cell>
          <cell r="AF40">
            <v>0</v>
          </cell>
          <cell r="AG40">
            <v>0</v>
          </cell>
          <cell r="AH40">
            <v>0</v>
          </cell>
          <cell r="AI40">
            <v>0</v>
          </cell>
          <cell r="AJ40">
            <v>0</v>
          </cell>
          <cell r="AK40">
            <v>18040.51227266627</v>
          </cell>
          <cell r="AL40">
            <v>3712.4992909527191</v>
          </cell>
          <cell r="AM40">
            <v>5954.9818717770459</v>
          </cell>
          <cell r="AN40">
            <v>8501.3478615782988</v>
          </cell>
          <cell r="AO40">
            <v>0</v>
          </cell>
          <cell r="AP40">
            <v>333.47586260819054</v>
          </cell>
          <cell r="AQ40">
            <v>258.58067590821656</v>
          </cell>
          <cell r="AR40">
            <v>0</v>
          </cell>
          <cell r="AS40">
            <v>0</v>
          </cell>
          <cell r="AT40">
            <v>0</v>
          </cell>
          <cell r="AU40">
            <v>246.55366772643902</v>
          </cell>
          <cell r="AV40">
            <v>0</v>
          </cell>
          <cell r="AW40">
            <v>0</v>
          </cell>
        </row>
        <row r="41">
          <cell r="D41" t="str">
            <v>P04</v>
          </cell>
          <cell r="S41">
            <v>15802.404354117465</v>
          </cell>
          <cell r="T41">
            <v>92131.286160567528</v>
          </cell>
          <cell r="U41">
            <v>579.84985278292493</v>
          </cell>
          <cell r="V41">
            <v>0</v>
          </cell>
          <cell r="W41">
            <v>123565.43168267804</v>
          </cell>
          <cell r="X41">
            <v>0</v>
          </cell>
          <cell r="Y41">
            <v>27901.542812131494</v>
          </cell>
          <cell r="Z41">
            <v>1332.8566908116989</v>
          </cell>
          <cell r="AA41">
            <v>1446.376788613524</v>
          </cell>
          <cell r="AB41">
            <v>270.25546660412073</v>
          </cell>
          <cell r="AC41">
            <v>0</v>
          </cell>
          <cell r="AD41">
            <v>6.8379212224135024</v>
          </cell>
          <cell r="AE41">
            <v>43.105079001891461</v>
          </cell>
          <cell r="AF41">
            <v>0</v>
          </cell>
          <cell r="AG41">
            <v>0</v>
          </cell>
          <cell r="AH41">
            <v>0</v>
          </cell>
          <cell r="AI41">
            <v>0</v>
          </cell>
          <cell r="AJ41">
            <v>0</v>
          </cell>
          <cell r="AK41">
            <v>2256.4914384820713</v>
          </cell>
          <cell r="AL41">
            <v>464.35615235262225</v>
          </cell>
          <cell r="AM41">
            <v>744.84390503368377</v>
          </cell>
          <cell r="AN41">
            <v>1063.3411277502564</v>
          </cell>
          <cell r="AO41">
            <v>0</v>
          </cell>
          <cell r="AP41">
            <v>41.710868158434664</v>
          </cell>
          <cell r="AQ41">
            <v>32.343043951576355</v>
          </cell>
          <cell r="AR41">
            <v>0</v>
          </cell>
          <cell r="AS41">
            <v>0</v>
          </cell>
          <cell r="AT41">
            <v>0</v>
          </cell>
          <cell r="AU41">
            <v>30.838716325921634</v>
          </cell>
          <cell r="AV41">
            <v>0</v>
          </cell>
          <cell r="AW41">
            <v>0</v>
          </cell>
        </row>
        <row r="42">
          <cell r="D42" t="str">
            <v>P04</v>
          </cell>
          <cell r="S42">
            <v>99629.203680271676</v>
          </cell>
          <cell r="T42">
            <v>580858.86606394243</v>
          </cell>
          <cell r="U42">
            <v>3655.7714758028619</v>
          </cell>
          <cell r="V42">
            <v>0</v>
          </cell>
          <cell r="W42">
            <v>779041.29555744154</v>
          </cell>
          <cell r="X42">
            <v>0</v>
          </cell>
          <cell r="Y42">
            <v>175910.47726223787</v>
          </cell>
          <cell r="Z42">
            <v>8403.2434400333259</v>
          </cell>
          <cell r="AA42">
            <v>9118.9520557766937</v>
          </cell>
          <cell r="AB42">
            <v>1703.8759624571405</v>
          </cell>
          <cell r="AC42">
            <v>0</v>
          </cell>
          <cell r="AD42">
            <v>43.110948875319679</v>
          </cell>
          <cell r="AE42">
            <v>271.7640049765381</v>
          </cell>
          <cell r="AF42">
            <v>0</v>
          </cell>
          <cell r="AG42">
            <v>0</v>
          </cell>
          <cell r="AH42">
            <v>0</v>
          </cell>
          <cell r="AI42">
            <v>0</v>
          </cell>
          <cell r="AJ42">
            <v>0</v>
          </cell>
          <cell r="AK42">
            <v>14226.470864146855</v>
          </cell>
          <cell r="AL42">
            <v>2927.6199144260154</v>
          </cell>
          <cell r="AM42">
            <v>4696.0072316637161</v>
          </cell>
          <cell r="AN42">
            <v>6704.0323373725387</v>
          </cell>
          <cell r="AO42">
            <v>0</v>
          </cell>
          <cell r="AP42">
            <v>262.97394284527718</v>
          </cell>
          <cell r="AQ42">
            <v>203.91274905277157</v>
          </cell>
          <cell r="AR42">
            <v>0</v>
          </cell>
          <cell r="AS42">
            <v>0</v>
          </cell>
          <cell r="AT42">
            <v>0</v>
          </cell>
          <cell r="AU42">
            <v>194.42843514334032</v>
          </cell>
          <cell r="AV42">
            <v>0</v>
          </cell>
          <cell r="AW42">
            <v>0</v>
          </cell>
        </row>
        <row r="43">
          <cell r="D43" t="str">
            <v>P05</v>
          </cell>
          <cell r="S43">
            <v>222207.30201451725</v>
          </cell>
          <cell r="T43">
            <v>1315656.667928711</v>
          </cell>
          <cell r="U43">
            <v>10072.887146286774</v>
          </cell>
          <cell r="V43">
            <v>0</v>
          </cell>
          <cell r="W43">
            <v>1642936.0815610674</v>
          </cell>
          <cell r="X43">
            <v>0</v>
          </cell>
          <cell r="Y43">
            <v>389211.25303947384</v>
          </cell>
          <cell r="Z43">
            <v>16046.886947400722</v>
          </cell>
          <cell r="AA43">
            <v>30397.33194229734</v>
          </cell>
          <cell r="AB43">
            <v>661.58323567805405</v>
          </cell>
          <cell r="AC43">
            <v>0</v>
          </cell>
          <cell r="AD43">
            <v>695.18413383480856</v>
          </cell>
          <cell r="AE43">
            <v>811.02574478438794</v>
          </cell>
          <cell r="AF43">
            <v>0</v>
          </cell>
          <cell r="AG43">
            <v>0</v>
          </cell>
          <cell r="AH43">
            <v>0</v>
          </cell>
          <cell r="AI43">
            <v>0</v>
          </cell>
          <cell r="AJ43">
            <v>0</v>
          </cell>
          <cell r="AK43">
            <v>6091.4066211820837</v>
          </cell>
          <cell r="AL43">
            <v>114016.75461528497</v>
          </cell>
          <cell r="AM43">
            <v>7614.5648638307239</v>
          </cell>
          <cell r="AN43">
            <v>43414.050683013091</v>
          </cell>
          <cell r="AO43">
            <v>0</v>
          </cell>
          <cell r="AP43">
            <v>3140.4401473862167</v>
          </cell>
          <cell r="AQ43">
            <v>64.177607904891246</v>
          </cell>
          <cell r="AR43">
            <v>0</v>
          </cell>
          <cell r="AS43">
            <v>0</v>
          </cell>
          <cell r="AT43">
            <v>0</v>
          </cell>
          <cell r="AU43">
            <v>0</v>
          </cell>
          <cell r="AV43">
            <v>0</v>
          </cell>
          <cell r="AW43">
            <v>0</v>
          </cell>
        </row>
        <row r="44">
          <cell r="D44" t="str">
            <v>P05</v>
          </cell>
          <cell r="S44">
            <v>137523.79497927087</v>
          </cell>
          <cell r="T44">
            <v>814258.11043562344</v>
          </cell>
          <cell r="U44">
            <v>6234.096063435275</v>
          </cell>
          <cell r="V44">
            <v>0</v>
          </cell>
          <cell r="W44">
            <v>1016810.8914345651</v>
          </cell>
          <cell r="X44">
            <v>0</v>
          </cell>
          <cell r="Y44">
            <v>240882.31161336353</v>
          </cell>
          <cell r="Z44">
            <v>9931.3963609787152</v>
          </cell>
          <cell r="AA44">
            <v>18812.867120254359</v>
          </cell>
          <cell r="AB44">
            <v>409.45295874735581</v>
          </cell>
          <cell r="AC44">
            <v>0</v>
          </cell>
          <cell r="AD44">
            <v>430.24850861154061</v>
          </cell>
          <cell r="AE44">
            <v>501.94272302244957</v>
          </cell>
          <cell r="AF44">
            <v>0</v>
          </cell>
          <cell r="AG44">
            <v>0</v>
          </cell>
          <cell r="AH44">
            <v>0</v>
          </cell>
          <cell r="AI44">
            <v>0</v>
          </cell>
          <cell r="AJ44">
            <v>0</v>
          </cell>
          <cell r="AK44">
            <v>3769.9632177348008</v>
          </cell>
          <cell r="AL44">
            <v>70564.813324135859</v>
          </cell>
          <cell r="AM44">
            <v>4712.6437686615791</v>
          </cell>
          <cell r="AN44">
            <v>26868.896526903085</v>
          </cell>
          <cell r="AO44">
            <v>0</v>
          </cell>
          <cell r="AP44">
            <v>1943.6141074499765</v>
          </cell>
          <cell r="AQ44">
            <v>39.719433662876121</v>
          </cell>
          <cell r="AR44">
            <v>0</v>
          </cell>
          <cell r="AS44">
            <v>0</v>
          </cell>
          <cell r="AT44">
            <v>0</v>
          </cell>
          <cell r="AU44">
            <v>0</v>
          </cell>
          <cell r="AV44">
            <v>0</v>
          </cell>
          <cell r="AW44">
            <v>0</v>
          </cell>
        </row>
        <row r="45">
          <cell r="D45" t="str">
            <v>P05</v>
          </cell>
          <cell r="S45">
            <v>146808.95676140639</v>
          </cell>
          <cell r="T45">
            <v>869234.18413218134</v>
          </cell>
          <cell r="U45">
            <v>6655.0020639066515</v>
          </cell>
          <cell r="V45">
            <v>0</v>
          </cell>
          <cell r="W45">
            <v>1085462.6736969033</v>
          </cell>
          <cell r="X45">
            <v>0</v>
          </cell>
          <cell r="Y45">
            <v>257145.90609984484</v>
          </cell>
          <cell r="Z45">
            <v>10601.932117704297</v>
          </cell>
          <cell r="AA45">
            <v>20083.051053323608</v>
          </cell>
          <cell r="AB45">
            <v>437.09789804470654</v>
          </cell>
          <cell r="AC45">
            <v>0</v>
          </cell>
          <cell r="AD45">
            <v>459.29749616735108</v>
          </cell>
          <cell r="AE45">
            <v>535.832272022545</v>
          </cell>
          <cell r="AF45">
            <v>0</v>
          </cell>
          <cell r="AG45">
            <v>0</v>
          </cell>
          <cell r="AH45">
            <v>0</v>
          </cell>
          <cell r="AI45">
            <v>0</v>
          </cell>
          <cell r="AJ45">
            <v>0</v>
          </cell>
          <cell r="AK45">
            <v>4024.4989393140668</v>
          </cell>
          <cell r="AL45">
            <v>75329.121260370099</v>
          </cell>
          <cell r="AM45">
            <v>5030.8262317050912</v>
          </cell>
          <cell r="AN45">
            <v>28682.997506281663</v>
          </cell>
          <cell r="AO45">
            <v>0</v>
          </cell>
          <cell r="AP45">
            <v>2074.8406448825285</v>
          </cell>
          <cell r="AQ45">
            <v>42.401161341422174</v>
          </cell>
          <cell r="AR45">
            <v>0</v>
          </cell>
          <cell r="AS45">
            <v>0</v>
          </cell>
          <cell r="AT45">
            <v>0</v>
          </cell>
          <cell r="AU45">
            <v>0</v>
          </cell>
          <cell r="AV45">
            <v>0</v>
          </cell>
          <cell r="AW45">
            <v>0</v>
          </cell>
        </row>
        <row r="46">
          <cell r="D46" t="str">
            <v>P05</v>
          </cell>
          <cell r="S46">
            <v>73331.208565880996</v>
          </cell>
          <cell r="T46">
            <v>434183.27229709661</v>
          </cell>
          <cell r="U46">
            <v>3324.1796353599543</v>
          </cell>
          <cell r="V46">
            <v>0</v>
          </cell>
          <cell r="W46">
            <v>542189.60117473907</v>
          </cell>
          <cell r="X46">
            <v>0</v>
          </cell>
          <cell r="Y46">
            <v>128444.61596928474</v>
          </cell>
          <cell r="Z46">
            <v>5295.6748176352776</v>
          </cell>
          <cell r="AA46">
            <v>10031.502422729982</v>
          </cell>
          <cell r="AB46">
            <v>218.33080101043765</v>
          </cell>
          <cell r="AC46">
            <v>0</v>
          </cell>
          <cell r="AD46">
            <v>229.41952063574013</v>
          </cell>
          <cell r="AE46">
            <v>267.64871137851895</v>
          </cell>
          <cell r="AF46">
            <v>0</v>
          </cell>
          <cell r="AG46">
            <v>0</v>
          </cell>
          <cell r="AH46">
            <v>0</v>
          </cell>
          <cell r="AI46">
            <v>0</v>
          </cell>
          <cell r="AJ46">
            <v>0</v>
          </cell>
          <cell r="AK46">
            <v>2010.2409117424443</v>
          </cell>
          <cell r="AL46">
            <v>37626.965166752692</v>
          </cell>
          <cell r="AM46">
            <v>2512.9023173663286</v>
          </cell>
          <cell r="AN46">
            <v>14327.183564461668</v>
          </cell>
          <cell r="AO46">
            <v>0</v>
          </cell>
          <cell r="AP46">
            <v>1036.38480530941</v>
          </cell>
          <cell r="AQ46">
            <v>21.179418983384469</v>
          </cell>
          <cell r="AR46">
            <v>0</v>
          </cell>
          <cell r="AS46">
            <v>0</v>
          </cell>
          <cell r="AT46">
            <v>0</v>
          </cell>
          <cell r="AU46">
            <v>0</v>
          </cell>
          <cell r="AV46">
            <v>0</v>
          </cell>
          <cell r="AW46">
            <v>0</v>
          </cell>
        </row>
        <row r="47">
          <cell r="D47" t="str">
            <v>P05</v>
          </cell>
          <cell r="S47">
            <v>159867.09090361354</v>
          </cell>
          <cell r="T47">
            <v>946549.47079985356</v>
          </cell>
          <cell r="U47">
            <v>7246.9408092271533</v>
          </cell>
          <cell r="V47">
            <v>0</v>
          </cell>
          <cell r="W47">
            <v>1182010.7148530623</v>
          </cell>
          <cell r="X47">
            <v>0</v>
          </cell>
          <cell r="Y47">
            <v>280018.11914491368</v>
          </cell>
          <cell r="Z47">
            <v>11544.936242340587</v>
          </cell>
          <cell r="AA47">
            <v>21869.3669595479</v>
          </cell>
          <cell r="AB47">
            <v>475.97620023999212</v>
          </cell>
          <cell r="AC47">
            <v>0</v>
          </cell>
          <cell r="AD47">
            <v>500.15037359689643</v>
          </cell>
          <cell r="AE47">
            <v>583.4926453413575</v>
          </cell>
          <cell r="AF47">
            <v>0</v>
          </cell>
          <cell r="AG47">
            <v>0</v>
          </cell>
          <cell r="AH47">
            <v>0</v>
          </cell>
          <cell r="AI47">
            <v>0</v>
          </cell>
          <cell r="AJ47">
            <v>0</v>
          </cell>
          <cell r="AK47">
            <v>4382.4637948926111</v>
          </cell>
          <cell r="AL47">
            <v>82029.378464916153</v>
          </cell>
          <cell r="AM47">
            <v>5478.3003179524594</v>
          </cell>
          <cell r="AN47">
            <v>31234.248038266109</v>
          </cell>
          <cell r="AO47">
            <v>0</v>
          </cell>
          <cell r="AP47">
            <v>2259.3903349168504</v>
          </cell>
          <cell r="AQ47">
            <v>46.17259371718314</v>
          </cell>
          <cell r="AR47">
            <v>0</v>
          </cell>
          <cell r="AS47">
            <v>0</v>
          </cell>
          <cell r="AT47">
            <v>0</v>
          </cell>
          <cell r="AU47">
            <v>0</v>
          </cell>
          <cell r="AV47">
            <v>0</v>
          </cell>
          <cell r="AW47">
            <v>0</v>
          </cell>
        </row>
        <row r="48">
          <cell r="D48" t="str">
            <v>P05</v>
          </cell>
          <cell r="S48">
            <v>391670.60855371301</v>
          </cell>
          <cell r="T48">
            <v>2319023.9164225245</v>
          </cell>
          <cell r="U48">
            <v>17754.834349328728</v>
          </cell>
          <cell r="V48">
            <v>0</v>
          </cell>
          <cell r="W48">
            <v>2895898.4202860962</v>
          </cell>
          <cell r="X48">
            <v>0</v>
          </cell>
          <cell r="Y48">
            <v>686037.79872168426</v>
          </cell>
          <cell r="Z48">
            <v>28284.821961748388</v>
          </cell>
          <cell r="AA48">
            <v>53579.434124406012</v>
          </cell>
          <cell r="AB48">
            <v>1166.1304834619204</v>
          </cell>
          <cell r="AC48">
            <v>0</v>
          </cell>
          <cell r="AD48">
            <v>1225.3566389918931</v>
          </cell>
          <cell r="AE48">
            <v>1429.5432424253841</v>
          </cell>
          <cell r="AF48">
            <v>0</v>
          </cell>
          <cell r="AG48">
            <v>0</v>
          </cell>
          <cell r="AH48">
            <v>0</v>
          </cell>
          <cell r="AI48">
            <v>0</v>
          </cell>
          <cell r="AJ48">
            <v>0</v>
          </cell>
          <cell r="AK48">
            <v>10736.933109923781</v>
          </cell>
          <cell r="AL48">
            <v>200970.04581141306</v>
          </cell>
          <cell r="AM48">
            <v>13421.706789336085</v>
          </cell>
          <cell r="AN48">
            <v>76523.172265898684</v>
          </cell>
          <cell r="AO48">
            <v>0</v>
          </cell>
          <cell r="AP48">
            <v>5535.4531219361643</v>
          </cell>
          <cell r="AQ48">
            <v>113.12176744753472</v>
          </cell>
          <cell r="AR48">
            <v>0</v>
          </cell>
          <cell r="AS48">
            <v>0</v>
          </cell>
          <cell r="AT48">
            <v>0</v>
          </cell>
          <cell r="AU48">
            <v>0</v>
          </cell>
          <cell r="AV48">
            <v>0</v>
          </cell>
          <cell r="AW48">
            <v>0</v>
          </cell>
        </row>
        <row r="49">
          <cell r="D49" t="str">
            <v>P06</v>
          </cell>
          <cell r="S49">
            <v>156634.82235314188</v>
          </cell>
          <cell r="T49">
            <v>903575.33964792721</v>
          </cell>
          <cell r="U49">
            <v>5739.910086391681</v>
          </cell>
          <cell r="V49">
            <v>0</v>
          </cell>
          <cell r="W49">
            <v>1016688.7237438877</v>
          </cell>
          <cell r="X49">
            <v>16281.869412526044</v>
          </cell>
          <cell r="Y49">
            <v>188132.66595764179</v>
          </cell>
          <cell r="Z49">
            <v>14242.787362871839</v>
          </cell>
          <cell r="AA49">
            <v>23079.049880004033</v>
          </cell>
          <cell r="AB49">
            <v>2310.9363521196742</v>
          </cell>
          <cell r="AC49">
            <v>724.43126516300345</v>
          </cell>
          <cell r="AD49">
            <v>0</v>
          </cell>
          <cell r="AE49">
            <v>557.52694181714253</v>
          </cell>
          <cell r="AF49">
            <v>0</v>
          </cell>
          <cell r="AG49">
            <v>0</v>
          </cell>
          <cell r="AH49">
            <v>0</v>
          </cell>
          <cell r="AI49">
            <v>0</v>
          </cell>
          <cell r="AJ49">
            <v>0</v>
          </cell>
          <cell r="AK49">
            <v>79095.033024688295</v>
          </cell>
          <cell r="AL49">
            <v>6539.9769702352214</v>
          </cell>
          <cell r="AM49">
            <v>424.99925764583622</v>
          </cell>
          <cell r="AN49">
            <v>15903.68335037732</v>
          </cell>
          <cell r="AO49">
            <v>0</v>
          </cell>
          <cell r="AP49">
            <v>669.37466751052648</v>
          </cell>
          <cell r="AQ49">
            <v>575.19843303942037</v>
          </cell>
          <cell r="AR49">
            <v>0</v>
          </cell>
          <cell r="AS49">
            <v>0</v>
          </cell>
          <cell r="AT49">
            <v>0</v>
          </cell>
          <cell r="AU49">
            <v>0</v>
          </cell>
          <cell r="AV49">
            <v>0</v>
          </cell>
          <cell r="AW49">
            <v>0</v>
          </cell>
        </row>
        <row r="50">
          <cell r="D50" t="str">
            <v>P06</v>
          </cell>
          <cell r="S50">
            <v>194662.01614148461</v>
          </cell>
          <cell r="T50">
            <v>1122941.8510465985</v>
          </cell>
          <cell r="U50">
            <v>7133.4231628822445</v>
          </cell>
          <cell r="V50">
            <v>0</v>
          </cell>
          <cell r="W50">
            <v>1263516.4631916746</v>
          </cell>
          <cell r="X50">
            <v>20234.718428377077</v>
          </cell>
          <cell r="Y50">
            <v>233806.78387606578</v>
          </cell>
          <cell r="Z50">
            <v>17700.595958670478</v>
          </cell>
          <cell r="AA50">
            <v>28682.091968940509</v>
          </cell>
          <cell r="AB50">
            <v>2871.9765038201308</v>
          </cell>
          <cell r="AC50">
            <v>900.30587396856743</v>
          </cell>
          <cell r="AD50">
            <v>0</v>
          </cell>
          <cell r="AE50">
            <v>692.88116727093939</v>
          </cell>
          <cell r="AF50">
            <v>0</v>
          </cell>
          <cell r="AG50">
            <v>0</v>
          </cell>
          <cell r="AH50">
            <v>0</v>
          </cell>
          <cell r="AI50">
            <v>0</v>
          </cell>
          <cell r="AJ50">
            <v>0</v>
          </cell>
          <cell r="AK50">
            <v>98297.417930798299</v>
          </cell>
          <cell r="AL50">
            <v>8127.7271772596368</v>
          </cell>
          <cell r="AM50">
            <v>528.17892668496575</v>
          </cell>
          <cell r="AN50">
            <v>19764.717822965704</v>
          </cell>
          <cell r="AO50">
            <v>0</v>
          </cell>
          <cell r="AP50">
            <v>831.8828493823828</v>
          </cell>
          <cell r="AQ50">
            <v>714.8428744946342</v>
          </cell>
          <cell r="AR50">
            <v>0</v>
          </cell>
          <cell r="AS50">
            <v>0</v>
          </cell>
          <cell r="AT50">
            <v>0</v>
          </cell>
          <cell r="AU50">
            <v>0</v>
          </cell>
          <cell r="AV50">
            <v>0</v>
          </cell>
          <cell r="AW50">
            <v>0</v>
          </cell>
        </row>
        <row r="51">
          <cell r="D51" t="str">
            <v>P01</v>
          </cell>
          <cell r="S51">
            <v>1090949.7230316349</v>
          </cell>
          <cell r="T51">
            <v>4306013.3751656357</v>
          </cell>
          <cell r="U51">
            <v>28560.96036095751</v>
          </cell>
          <cell r="V51">
            <v>0</v>
          </cell>
          <cell r="W51">
            <v>4797756.4067897359</v>
          </cell>
          <cell r="X51">
            <v>15863.350886814307</v>
          </cell>
          <cell r="Y51">
            <v>1188652.4317649747</v>
          </cell>
          <cell r="Z51">
            <v>68596.023432741902</v>
          </cell>
          <cell r="AA51">
            <v>146991.72343553422</v>
          </cell>
          <cell r="AB51">
            <v>87516.223425551754</v>
          </cell>
          <cell r="AC51">
            <v>56808.244312845898</v>
          </cell>
          <cell r="AD51">
            <v>6248.2560218349945</v>
          </cell>
          <cell r="AE51">
            <v>4427.9693254584427</v>
          </cell>
          <cell r="AF51">
            <v>0</v>
          </cell>
          <cell r="AG51">
            <v>1935.6584146808698</v>
          </cell>
          <cell r="AH51">
            <v>53355.656560344789</v>
          </cell>
          <cell r="AI51">
            <v>0</v>
          </cell>
          <cell r="AJ51">
            <v>0</v>
          </cell>
          <cell r="AK51">
            <v>245641.8187703304</v>
          </cell>
          <cell r="AL51">
            <v>62375.624207853914</v>
          </cell>
          <cell r="AM51">
            <v>39161.608597692473</v>
          </cell>
          <cell r="AN51">
            <v>100776.72207742531</v>
          </cell>
          <cell r="AO51">
            <v>0</v>
          </cell>
          <cell r="AP51">
            <v>7153.2274056950928</v>
          </cell>
          <cell r="AQ51">
            <v>13120.683821345854</v>
          </cell>
          <cell r="AR51">
            <v>0</v>
          </cell>
          <cell r="AS51">
            <v>0</v>
          </cell>
          <cell r="AT51">
            <v>0</v>
          </cell>
          <cell r="AU51">
            <v>1593.5459513495127</v>
          </cell>
          <cell r="AV51">
            <v>0</v>
          </cell>
          <cell r="AW51">
            <v>0</v>
          </cell>
        </row>
        <row r="52">
          <cell r="D52" t="str">
            <v>P06</v>
          </cell>
          <cell r="S52">
            <v>429361.94398386171</v>
          </cell>
          <cell r="T52">
            <v>2476849.391078779</v>
          </cell>
          <cell r="U52">
            <v>15734.042507031792</v>
          </cell>
          <cell r="V52">
            <v>0</v>
          </cell>
          <cell r="W52">
            <v>2786911.8775451584</v>
          </cell>
          <cell r="X52">
            <v>44631.295887017892</v>
          </cell>
          <cell r="Y52">
            <v>515702.74073745444</v>
          </cell>
          <cell r="Z52">
            <v>39041.834874266504</v>
          </cell>
          <cell r="AA52">
            <v>63263.491303600771</v>
          </cell>
          <cell r="AB52">
            <v>6334.6586005763411</v>
          </cell>
          <cell r="AC52">
            <v>1985.7858656219587</v>
          </cell>
          <cell r="AD52">
            <v>0</v>
          </cell>
          <cell r="AE52">
            <v>1528.273521594632</v>
          </cell>
          <cell r="AF52">
            <v>0</v>
          </cell>
          <cell r="AG52">
            <v>0</v>
          </cell>
          <cell r="AH52">
            <v>0</v>
          </cell>
          <cell r="AI52">
            <v>0</v>
          </cell>
          <cell r="AJ52">
            <v>0</v>
          </cell>
          <cell r="AK52">
            <v>216812.56203925281</v>
          </cell>
          <cell r="AL52">
            <v>17927.158108042226</v>
          </cell>
          <cell r="AM52">
            <v>1164.9932289201085</v>
          </cell>
          <cell r="AN52">
            <v>43594.625366425185</v>
          </cell>
          <cell r="AO52">
            <v>0</v>
          </cell>
          <cell r="AP52">
            <v>1834.8666291324575</v>
          </cell>
          <cell r="AQ52">
            <v>1576.7140006037287</v>
          </cell>
          <cell r="AR52">
            <v>0</v>
          </cell>
          <cell r="AS52">
            <v>0</v>
          </cell>
          <cell r="AT52">
            <v>0</v>
          </cell>
          <cell r="AU52">
            <v>0</v>
          </cell>
          <cell r="AV52">
            <v>0</v>
          </cell>
          <cell r="AW52">
            <v>0</v>
          </cell>
        </row>
        <row r="53">
          <cell r="D53" t="str">
            <v>P06</v>
          </cell>
          <cell r="S53">
            <v>113210.68240751729</v>
          </cell>
          <cell r="T53">
            <v>653075.60139799386</v>
          </cell>
          <cell r="U53">
            <v>4148.6249869338799</v>
          </cell>
          <cell r="V53">
            <v>0</v>
          </cell>
          <cell r="W53">
            <v>734830.36838113808</v>
          </cell>
          <cell r="X53">
            <v>11768.018882202172</v>
          </cell>
          <cell r="Y53">
            <v>135976.32490807943</v>
          </cell>
          <cell r="Z53">
            <v>10294.235039897827</v>
          </cell>
          <cell r="AA53">
            <v>16680.805372522438</v>
          </cell>
          <cell r="AB53">
            <v>1670.271511107308</v>
          </cell>
          <cell r="AC53">
            <v>523.59594536099439</v>
          </cell>
          <cell r="AD53">
            <v>0</v>
          </cell>
          <cell r="AE53">
            <v>402.96279330142733</v>
          </cell>
          <cell r="AF53">
            <v>0</v>
          </cell>
          <cell r="AG53">
            <v>0</v>
          </cell>
          <cell r="AH53">
            <v>0</v>
          </cell>
          <cell r="AI53">
            <v>0</v>
          </cell>
          <cell r="AJ53">
            <v>0</v>
          </cell>
          <cell r="AK53">
            <v>57167.3816157041</v>
          </cell>
          <cell r="AL53">
            <v>4726.887958927261</v>
          </cell>
          <cell r="AM53">
            <v>307.17598588835295</v>
          </cell>
          <cell r="AN53">
            <v>11494.677989483305</v>
          </cell>
          <cell r="AO53">
            <v>0</v>
          </cell>
          <cell r="AP53">
            <v>483.80278252763406</v>
          </cell>
          <cell r="AQ53">
            <v>415.73518676015686</v>
          </cell>
          <cell r="AR53">
            <v>0</v>
          </cell>
          <cell r="AS53">
            <v>0</v>
          </cell>
          <cell r="AT53">
            <v>0</v>
          </cell>
          <cell r="AU53">
            <v>0</v>
          </cell>
          <cell r="AV53">
            <v>0</v>
          </cell>
          <cell r="AW53">
            <v>0</v>
          </cell>
        </row>
        <row r="54">
          <cell r="D54" t="str">
            <v>P06</v>
          </cell>
          <cell r="S54">
            <v>241419.25717715727</v>
          </cell>
          <cell r="T54">
            <v>1392669.1652868248</v>
          </cell>
          <cell r="U54">
            <v>8846.8503267821179</v>
          </cell>
          <cell r="V54">
            <v>0</v>
          </cell>
          <cell r="W54">
            <v>1567009.3838601534</v>
          </cell>
          <cell r="X54">
            <v>25095.037999694647</v>
          </cell>
          <cell r="Y54">
            <v>289966.48244572867</v>
          </cell>
          <cell r="Z54">
            <v>21952.226801295001</v>
          </cell>
          <cell r="AA54">
            <v>35571.445702050645</v>
          </cell>
          <cell r="AB54">
            <v>3561.8167731221015</v>
          </cell>
          <cell r="AC54">
            <v>1116.5566844214093</v>
          </cell>
          <cell r="AD54">
            <v>0</v>
          </cell>
          <cell r="AE54">
            <v>859.3091761312736</v>
          </cell>
          <cell r="AF54">
            <v>0</v>
          </cell>
          <cell r="AG54">
            <v>0</v>
          </cell>
          <cell r="AH54">
            <v>0</v>
          </cell>
          <cell r="AI54">
            <v>0</v>
          </cell>
          <cell r="AJ54">
            <v>0</v>
          </cell>
          <cell r="AK54">
            <v>121908.16724120321</v>
          </cell>
          <cell r="AL54">
            <v>10079.983227166682</v>
          </cell>
          <cell r="AM54">
            <v>655.04594406457659</v>
          </cell>
          <cell r="AN54">
            <v>24512.144637752081</v>
          </cell>
          <cell r="AO54">
            <v>0</v>
          </cell>
          <cell r="AP54">
            <v>1031.6986515250226</v>
          </cell>
          <cell r="AQ54">
            <v>886.54602053153417</v>
          </cell>
          <cell r="AR54">
            <v>0</v>
          </cell>
          <cell r="AS54">
            <v>0</v>
          </cell>
          <cell r="AT54">
            <v>0</v>
          </cell>
          <cell r="AU54">
            <v>0</v>
          </cell>
          <cell r="AV54">
            <v>0</v>
          </cell>
          <cell r="AW54">
            <v>0</v>
          </cell>
        </row>
        <row r="55">
          <cell r="D55" t="str">
            <v>P06</v>
          </cell>
          <cell r="S55">
            <v>138312.58683192506</v>
          </cell>
          <cell r="T55">
            <v>797880.32282167219</v>
          </cell>
          <cell r="U55">
            <v>5068.4886049258976</v>
          </cell>
          <cell r="V55">
            <v>0</v>
          </cell>
          <cell r="W55">
            <v>897762.35750967346</v>
          </cell>
          <cell r="X55">
            <v>14377.310505251782</v>
          </cell>
          <cell r="Y55">
            <v>166125.99487949006</v>
          </cell>
          <cell r="Z55">
            <v>12576.74847943122</v>
          </cell>
          <cell r="AA55">
            <v>20379.396117483822</v>
          </cell>
          <cell r="AB55">
            <v>2040.616384426814</v>
          </cell>
          <cell r="AC55">
            <v>639.69148597568812</v>
          </cell>
          <cell r="AD55">
            <v>0</v>
          </cell>
          <cell r="AE55">
            <v>492.31066497694655</v>
          </cell>
          <cell r="AF55">
            <v>0</v>
          </cell>
          <cell r="AG55">
            <v>0</v>
          </cell>
          <cell r="AH55">
            <v>0</v>
          </cell>
          <cell r="AI55">
            <v>0</v>
          </cell>
          <cell r="AJ55">
            <v>0</v>
          </cell>
          <cell r="AK55">
            <v>69842.953558160341</v>
          </cell>
          <cell r="AL55">
            <v>5774.9682923958389</v>
          </cell>
          <cell r="AM55">
            <v>375.28530274139467</v>
          </cell>
          <cell r="AN55">
            <v>14043.362461172299</v>
          </cell>
          <cell r="AO55">
            <v>0</v>
          </cell>
          <cell r="AP55">
            <v>591.0750906615599</v>
          </cell>
          <cell r="AQ55">
            <v>507.91504737041168</v>
          </cell>
          <cell r="AR55">
            <v>0</v>
          </cell>
          <cell r="AS55">
            <v>0</v>
          </cell>
          <cell r="AT55">
            <v>0</v>
          </cell>
          <cell r="AU55">
            <v>0</v>
          </cell>
          <cell r="AV55">
            <v>0</v>
          </cell>
          <cell r="AW55">
            <v>0</v>
          </cell>
        </row>
        <row r="56">
          <cell r="D56" t="str">
            <v>P06</v>
          </cell>
          <cell r="S56">
            <v>193363.91046376308</v>
          </cell>
          <cell r="T56">
            <v>1115453.501642392</v>
          </cell>
          <cell r="U56">
            <v>7085.8538563843731</v>
          </cell>
          <cell r="V56">
            <v>0</v>
          </cell>
          <cell r="W56">
            <v>1255090.6905254158</v>
          </cell>
          <cell r="X56">
            <v>20099.782998242204</v>
          </cell>
          <cell r="Y56">
            <v>232247.64090788271</v>
          </cell>
          <cell r="Z56">
            <v>17582.559350561452</v>
          </cell>
          <cell r="AA56">
            <v>28490.825140558583</v>
          </cell>
          <cell r="AB56">
            <v>2852.8246986565487</v>
          </cell>
          <cell r="AC56">
            <v>894.30217489131542</v>
          </cell>
          <cell r="AD56">
            <v>0</v>
          </cell>
          <cell r="AE56">
            <v>688.26068200602253</v>
          </cell>
          <cell r="AF56">
            <v>0</v>
          </cell>
          <cell r="AG56">
            <v>0</v>
          </cell>
          <cell r="AH56">
            <v>0</v>
          </cell>
          <cell r="AI56">
            <v>0</v>
          </cell>
          <cell r="AJ56">
            <v>0</v>
          </cell>
          <cell r="AK56">
            <v>97641.920577742043</v>
          </cell>
          <cell r="AL56">
            <v>8073.5273441082936</v>
          </cell>
          <cell r="AM56">
            <v>524.65676002311272</v>
          </cell>
          <cell r="AN56">
            <v>19632.916596752635</v>
          </cell>
          <cell r="AO56">
            <v>0</v>
          </cell>
          <cell r="AP56">
            <v>826.33542995569007</v>
          </cell>
          <cell r="AQ56">
            <v>710.07593735685271</v>
          </cell>
          <cell r="AR56">
            <v>0</v>
          </cell>
          <cell r="AS56">
            <v>0</v>
          </cell>
          <cell r="AT56">
            <v>0</v>
          </cell>
          <cell r="AU56">
            <v>0</v>
          </cell>
          <cell r="AV56">
            <v>0</v>
          </cell>
          <cell r="AW56">
            <v>0</v>
          </cell>
        </row>
        <row r="57">
          <cell r="D57" t="str">
            <v>P06</v>
          </cell>
          <cell r="S57">
            <v>222070.66942399653</v>
          </cell>
          <cell r="T57">
            <v>1281053.456288517</v>
          </cell>
          <cell r="U57">
            <v>8137.8179907194972</v>
          </cell>
          <cell r="V57">
            <v>0</v>
          </cell>
          <cell r="W57">
            <v>1441421.1481570022</v>
          </cell>
          <cell r="X57">
            <v>23083.79187714657</v>
          </cell>
          <cell r="Y57">
            <v>266727.06900092843</v>
          </cell>
          <cell r="Z57">
            <v>20192.861821017312</v>
          </cell>
          <cell r="AA57">
            <v>32720.566088218246</v>
          </cell>
          <cell r="AB57">
            <v>3276.3543572351159</v>
          </cell>
          <cell r="AC57">
            <v>1027.0700575362448</v>
          </cell>
          <cell r="AD57">
            <v>0</v>
          </cell>
          <cell r="AE57">
            <v>790.43969489816936</v>
          </cell>
          <cell r="AF57">
            <v>0</v>
          </cell>
          <cell r="AG57">
            <v>0</v>
          </cell>
          <cell r="AH57">
            <v>0</v>
          </cell>
          <cell r="AI57">
            <v>0</v>
          </cell>
          <cell r="AJ57">
            <v>0</v>
          </cell>
          <cell r="AK57">
            <v>112137.8162788418</v>
          </cell>
          <cell r="AL57">
            <v>9272.1212434057743</v>
          </cell>
          <cell r="AM57">
            <v>602.54717458246796</v>
          </cell>
          <cell r="AN57">
            <v>22547.614603622769</v>
          </cell>
          <cell r="AO57">
            <v>0</v>
          </cell>
          <cell r="AP57">
            <v>949.01298623361981</v>
          </cell>
          <cell r="AQ57">
            <v>815.49363773473681</v>
          </cell>
          <cell r="AR57">
            <v>0</v>
          </cell>
          <cell r="AS57">
            <v>0</v>
          </cell>
          <cell r="AT57">
            <v>0</v>
          </cell>
          <cell r="AU57">
            <v>0</v>
          </cell>
          <cell r="AV57">
            <v>0</v>
          </cell>
          <cell r="AW57">
            <v>0</v>
          </cell>
        </row>
        <row r="58">
          <cell r="D58" t="str">
            <v>P06</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row>
        <row r="59">
          <cell r="D59" t="str">
            <v>P07</v>
          </cell>
          <cell r="S59">
            <v>202855.77470267573</v>
          </cell>
          <cell r="T59">
            <v>917087.74130535196</v>
          </cell>
          <cell r="U59">
            <v>8166.2614277435923</v>
          </cell>
          <cell r="V59">
            <v>0</v>
          </cell>
          <cell r="W59">
            <v>1552661.7498145616</v>
          </cell>
          <cell r="X59">
            <v>0</v>
          </cell>
          <cell r="Y59">
            <v>468544.92646458867</v>
          </cell>
          <cell r="Z59">
            <v>22331.20444681315</v>
          </cell>
          <cell r="AA59">
            <v>31705.408110597928</v>
          </cell>
          <cell r="AB59">
            <v>465.95475218568879</v>
          </cell>
          <cell r="AC59">
            <v>0</v>
          </cell>
          <cell r="AD59">
            <v>0</v>
          </cell>
          <cell r="AE59">
            <v>465.2993849326146</v>
          </cell>
          <cell r="AF59">
            <v>0</v>
          </cell>
          <cell r="AG59">
            <v>0</v>
          </cell>
          <cell r="AH59">
            <v>0</v>
          </cell>
          <cell r="AI59">
            <v>0</v>
          </cell>
          <cell r="AJ59">
            <v>0</v>
          </cell>
          <cell r="AK59">
            <v>212245.3226731575</v>
          </cell>
          <cell r="AL59">
            <v>2169.6330679272601</v>
          </cell>
          <cell r="AM59">
            <v>36724.159393264759</v>
          </cell>
          <cell r="AN59">
            <v>19610.530637176082</v>
          </cell>
          <cell r="AO59">
            <v>0</v>
          </cell>
          <cell r="AP59">
            <v>1454.1709106961882</v>
          </cell>
          <cell r="AQ59">
            <v>648.73781554308289</v>
          </cell>
          <cell r="AR59">
            <v>0</v>
          </cell>
          <cell r="AS59">
            <v>0</v>
          </cell>
          <cell r="AT59">
            <v>0</v>
          </cell>
          <cell r="AU59">
            <v>388.29562682140727</v>
          </cell>
          <cell r="AV59">
            <v>0</v>
          </cell>
          <cell r="AW59">
            <v>0</v>
          </cell>
        </row>
        <row r="60">
          <cell r="D60" t="str">
            <v>P07</v>
          </cell>
          <cell r="S60">
            <v>177283.87669308248</v>
          </cell>
          <cell r="T60">
            <v>801480.11701720115</v>
          </cell>
          <cell r="U60">
            <v>7136.8265760317763</v>
          </cell>
          <cell r="V60">
            <v>0</v>
          </cell>
          <cell r="W60">
            <v>1356933.9823016613</v>
          </cell>
          <cell r="X60">
            <v>0</v>
          </cell>
          <cell r="Y60">
            <v>409480.3862018027</v>
          </cell>
          <cell r="Z60">
            <v>19516.143927179102</v>
          </cell>
          <cell r="AA60">
            <v>27708.640142098742</v>
          </cell>
          <cell r="AB60">
            <v>407.21672800352303</v>
          </cell>
          <cell r="AC60">
            <v>0</v>
          </cell>
          <cell r="AD60">
            <v>0</v>
          </cell>
          <cell r="AE60">
            <v>406.64397602023354</v>
          </cell>
          <cell r="AF60">
            <v>0</v>
          </cell>
          <cell r="AG60">
            <v>0</v>
          </cell>
          <cell r="AH60">
            <v>0</v>
          </cell>
          <cell r="AI60">
            <v>0</v>
          </cell>
          <cell r="AJ60">
            <v>0</v>
          </cell>
          <cell r="AK60">
            <v>185489.78291903285</v>
          </cell>
          <cell r="AL60">
            <v>1896.1302030835263</v>
          </cell>
          <cell r="AM60">
            <v>32094.730135610866</v>
          </cell>
          <cell r="AN60">
            <v>17138.436904065038</v>
          </cell>
          <cell r="AO60">
            <v>0</v>
          </cell>
          <cell r="AP60">
            <v>1270.858849349434</v>
          </cell>
          <cell r="AQ60">
            <v>566.95824935449843</v>
          </cell>
          <cell r="AR60">
            <v>0</v>
          </cell>
          <cell r="AS60">
            <v>0</v>
          </cell>
          <cell r="AT60">
            <v>0</v>
          </cell>
          <cell r="AU60">
            <v>339.34727333626915</v>
          </cell>
          <cell r="AV60">
            <v>0</v>
          </cell>
          <cell r="AW60">
            <v>0</v>
          </cell>
        </row>
        <row r="61">
          <cell r="D61" t="str">
            <v>P07</v>
          </cell>
          <cell r="S61">
            <v>138305.57020496618</v>
          </cell>
          <cell r="T61">
            <v>625263.65431364847</v>
          </cell>
          <cell r="U61">
            <v>5567.6967779808583</v>
          </cell>
          <cell r="V61">
            <v>0</v>
          </cell>
          <cell r="W61">
            <v>1058593.3230556978</v>
          </cell>
          <cell r="X61">
            <v>0</v>
          </cell>
          <cell r="Y61">
            <v>319450.47320594772</v>
          </cell>
          <cell r="Z61">
            <v>15225.250397268725</v>
          </cell>
          <cell r="AA61">
            <v>21616.513277694554</v>
          </cell>
          <cell r="AB61">
            <v>317.6845114969525</v>
          </cell>
          <cell r="AC61">
            <v>0</v>
          </cell>
          <cell r="AD61">
            <v>0</v>
          </cell>
          <cell r="AE61">
            <v>317.2376869401316</v>
          </cell>
          <cell r="AF61">
            <v>0</v>
          </cell>
          <cell r="AG61">
            <v>0</v>
          </cell>
          <cell r="AH61">
            <v>0</v>
          </cell>
          <cell r="AI61">
            <v>0</v>
          </cell>
          <cell r="AJ61">
            <v>0</v>
          </cell>
          <cell r="AK61">
            <v>144707.29472046369</v>
          </cell>
          <cell r="AL61">
            <v>1479.2398147651636</v>
          </cell>
          <cell r="AM61">
            <v>25038.260866016899</v>
          </cell>
          <cell r="AN61">
            <v>13370.31507124663</v>
          </cell>
          <cell r="AO61">
            <v>0</v>
          </cell>
          <cell r="AP61">
            <v>991.4429957643124</v>
          </cell>
          <cell r="AQ61">
            <v>442.30465523457815</v>
          </cell>
          <cell r="AR61">
            <v>0</v>
          </cell>
          <cell r="AS61">
            <v>0</v>
          </cell>
          <cell r="AT61">
            <v>0</v>
          </cell>
          <cell r="AU61">
            <v>264.73709291412706</v>
          </cell>
          <cell r="AV61">
            <v>0</v>
          </cell>
          <cell r="AW61">
            <v>0</v>
          </cell>
        </row>
        <row r="62">
          <cell r="D62" t="str">
            <v>P02</v>
          </cell>
          <cell r="S62">
            <v>181641.15085553061</v>
          </cell>
          <cell r="T62">
            <v>541352.98015756696</v>
          </cell>
          <cell r="U62">
            <v>2696.3792010818106</v>
          </cell>
          <cell r="V62">
            <v>0</v>
          </cell>
          <cell r="W62">
            <v>391159.32500304159</v>
          </cell>
          <cell r="X62">
            <v>0</v>
          </cell>
          <cell r="Y62">
            <v>70127.046083952839</v>
          </cell>
          <cell r="Z62">
            <v>8393.9322193013759</v>
          </cell>
          <cell r="AA62">
            <v>38154.288228324054</v>
          </cell>
          <cell r="AB62">
            <v>26121.01712692912</v>
          </cell>
          <cell r="AC62">
            <v>0</v>
          </cell>
          <cell r="AD62">
            <v>41.571798661118052</v>
          </cell>
          <cell r="AE62">
            <v>954.27261730687985</v>
          </cell>
          <cell r="AF62">
            <v>0</v>
          </cell>
          <cell r="AG62">
            <v>0</v>
          </cell>
          <cell r="AH62">
            <v>339.04749533470346</v>
          </cell>
          <cell r="AI62">
            <v>0</v>
          </cell>
          <cell r="AJ62">
            <v>0</v>
          </cell>
          <cell r="AK62">
            <v>31397.395162587942</v>
          </cell>
          <cell r="AL62">
            <v>1307.0325686922308</v>
          </cell>
          <cell r="AM62">
            <v>1898.8569769638889</v>
          </cell>
          <cell r="AN62">
            <v>3989.8529649350598</v>
          </cell>
          <cell r="AO62">
            <v>0</v>
          </cell>
          <cell r="AP62">
            <v>365.83621825245797</v>
          </cell>
          <cell r="AQ62">
            <v>-428.61042077861543</v>
          </cell>
          <cell r="AR62">
            <v>0</v>
          </cell>
          <cell r="AS62">
            <v>0</v>
          </cell>
          <cell r="AT62">
            <v>0</v>
          </cell>
          <cell r="AU62">
            <v>74.99642474175387</v>
          </cell>
          <cell r="AV62">
            <v>0</v>
          </cell>
          <cell r="AW62">
            <v>0</v>
          </cell>
        </row>
        <row r="63">
          <cell r="D63" t="str">
            <v>P07</v>
          </cell>
          <cell r="S63">
            <v>155373.41747555824</v>
          </cell>
          <cell r="T63">
            <v>702425.43846928352</v>
          </cell>
          <cell r="U63">
            <v>6254.7883977523134</v>
          </cell>
          <cell r="V63">
            <v>0</v>
          </cell>
          <cell r="W63">
            <v>1189230.9331881523</v>
          </cell>
          <cell r="X63">
            <v>0</v>
          </cell>
          <cell r="Y63">
            <v>358872.83254489</v>
          </cell>
          <cell r="Z63">
            <v>17104.149765182778</v>
          </cell>
          <cell r="AA63">
            <v>24284.13791927366</v>
          </cell>
          <cell r="AB63">
            <v>356.88893915975058</v>
          </cell>
          <cell r="AC63">
            <v>0</v>
          </cell>
          <cell r="AD63">
            <v>0</v>
          </cell>
          <cell r="AE63">
            <v>356.38697341605433</v>
          </cell>
          <cell r="AF63">
            <v>0</v>
          </cell>
          <cell r="AG63">
            <v>0</v>
          </cell>
          <cell r="AH63">
            <v>0</v>
          </cell>
          <cell r="AI63">
            <v>0</v>
          </cell>
          <cell r="AJ63">
            <v>0</v>
          </cell>
          <cell r="AK63">
            <v>162565.15830158463</v>
          </cell>
          <cell r="AL63">
            <v>1661.7880606353372</v>
          </cell>
          <cell r="AM63">
            <v>28128.152413762196</v>
          </cell>
          <cell r="AN63">
            <v>15020.302814021859</v>
          </cell>
          <cell r="AO63">
            <v>0</v>
          </cell>
          <cell r="AP63">
            <v>1113.7937991638123</v>
          </cell>
          <cell r="AQ63">
            <v>496.88805553745755</v>
          </cell>
          <cell r="AR63">
            <v>0</v>
          </cell>
          <cell r="AS63">
            <v>0</v>
          </cell>
          <cell r="AT63">
            <v>0</v>
          </cell>
          <cell r="AU63">
            <v>297.40744929979212</v>
          </cell>
          <cell r="AV63">
            <v>0</v>
          </cell>
          <cell r="AW63">
            <v>0</v>
          </cell>
        </row>
        <row r="64">
          <cell r="D64" t="str">
            <v>P08</v>
          </cell>
          <cell r="S64">
            <v>181735.30060906374</v>
          </cell>
          <cell r="T64">
            <v>609350.86568131647</v>
          </cell>
          <cell r="U64">
            <v>5345.9603108147612</v>
          </cell>
          <cell r="V64">
            <v>0</v>
          </cell>
          <cell r="W64">
            <v>496250.90146813972</v>
          </cell>
          <cell r="X64">
            <v>3939.3394853662571</v>
          </cell>
          <cell r="Y64">
            <v>100218.07022748452</v>
          </cell>
          <cell r="Z64">
            <v>8673.5286904869954</v>
          </cell>
          <cell r="AA64">
            <v>11859.851615207039</v>
          </cell>
          <cell r="AB64">
            <v>1572.6893716111531</v>
          </cell>
          <cell r="AC64">
            <v>0</v>
          </cell>
          <cell r="AD64">
            <v>0</v>
          </cell>
          <cell r="AE64">
            <v>318.70263156703726</v>
          </cell>
          <cell r="AF64">
            <v>0</v>
          </cell>
          <cell r="AG64">
            <v>0</v>
          </cell>
          <cell r="AH64">
            <v>0</v>
          </cell>
          <cell r="AI64">
            <v>0</v>
          </cell>
          <cell r="AJ64">
            <v>0</v>
          </cell>
          <cell r="AK64">
            <v>20825.974745969612</v>
          </cell>
          <cell r="AL64">
            <v>8844.0653230348253</v>
          </cell>
          <cell r="AM64">
            <v>214.87346075123884</v>
          </cell>
          <cell r="AN64">
            <v>13039.137973703313</v>
          </cell>
          <cell r="AO64">
            <v>0</v>
          </cell>
          <cell r="AP64">
            <v>799.00922454664169</v>
          </cell>
          <cell r="AQ64">
            <v>612.78614216808444</v>
          </cell>
          <cell r="AR64">
            <v>0</v>
          </cell>
          <cell r="AS64">
            <v>0</v>
          </cell>
          <cell r="AT64">
            <v>0</v>
          </cell>
          <cell r="AU64">
            <v>538.37639633338847</v>
          </cell>
          <cell r="AV64">
            <v>0</v>
          </cell>
          <cell r="AW64">
            <v>0</v>
          </cell>
        </row>
        <row r="65">
          <cell r="D65" t="str">
            <v>P08</v>
          </cell>
          <cell r="S65">
            <v>237021.03931331207</v>
          </cell>
          <cell r="T65">
            <v>794721.63639213692</v>
          </cell>
          <cell r="U65">
            <v>6972.2561590977821</v>
          </cell>
          <cell r="V65">
            <v>0</v>
          </cell>
          <cell r="W65">
            <v>647215.50536385062</v>
          </cell>
          <cell r="X65">
            <v>5137.7268802498738</v>
          </cell>
          <cell r="Y65">
            <v>130705.43303191476</v>
          </cell>
          <cell r="Z65">
            <v>11312.104901157152</v>
          </cell>
          <cell r="AA65">
            <v>15467.739875066623</v>
          </cell>
          <cell r="AB65">
            <v>2051.11757664589</v>
          </cell>
          <cell r="AC65">
            <v>0</v>
          </cell>
          <cell r="AD65">
            <v>0</v>
          </cell>
          <cell r="AE65">
            <v>415.65523435868658</v>
          </cell>
          <cell r="AF65">
            <v>0</v>
          </cell>
          <cell r="AG65">
            <v>0</v>
          </cell>
          <cell r="AH65">
            <v>0</v>
          </cell>
          <cell r="AI65">
            <v>0</v>
          </cell>
          <cell r="AJ65">
            <v>0</v>
          </cell>
          <cell r="AK65">
            <v>27161.449440254335</v>
          </cell>
          <cell r="AL65">
            <v>11534.520522954424</v>
          </cell>
          <cell r="AM65">
            <v>280.24016697594067</v>
          </cell>
          <cell r="AN65">
            <v>17005.777215099275</v>
          </cell>
          <cell r="AO65">
            <v>0</v>
          </cell>
          <cell r="AP65">
            <v>1042.076009384406</v>
          </cell>
          <cell r="AQ65">
            <v>799.20195914998044</v>
          </cell>
          <cell r="AR65">
            <v>0</v>
          </cell>
          <cell r="AS65">
            <v>0</v>
          </cell>
          <cell r="AT65">
            <v>0</v>
          </cell>
          <cell r="AU65">
            <v>702.15600696748277</v>
          </cell>
          <cell r="AV65">
            <v>0</v>
          </cell>
          <cell r="AW65">
            <v>0</v>
          </cell>
        </row>
        <row r="66">
          <cell r="D66" t="str">
            <v>P08</v>
          </cell>
          <cell r="S66">
            <v>290096.61354669702</v>
          </cell>
          <cell r="T66">
            <v>972681.81802584813</v>
          </cell>
          <cell r="U66">
            <v>8533.5373872051368</v>
          </cell>
          <cell r="V66">
            <v>0</v>
          </cell>
          <cell r="W66">
            <v>792144.97955507901</v>
          </cell>
          <cell r="X66">
            <v>6288.206201467854</v>
          </cell>
          <cell r="Y66">
            <v>159973.99895201402</v>
          </cell>
          <cell r="Z66">
            <v>13845.198440687014</v>
          </cell>
          <cell r="AA66">
            <v>18931.395162125686</v>
          </cell>
          <cell r="AB66">
            <v>2510.4196011246736</v>
          </cell>
          <cell r="AC66">
            <v>0</v>
          </cell>
          <cell r="AD66">
            <v>0</v>
          </cell>
          <cell r="AE66">
            <v>508.7319515590421</v>
          </cell>
          <cell r="AF66">
            <v>0</v>
          </cell>
          <cell r="AG66">
            <v>0</v>
          </cell>
          <cell r="AH66">
            <v>0</v>
          </cell>
          <cell r="AI66">
            <v>0</v>
          </cell>
          <cell r="AJ66">
            <v>0</v>
          </cell>
          <cell r="AK66">
            <v>33243.650118426725</v>
          </cell>
          <cell r="AL66">
            <v>14117.419079286026</v>
          </cell>
          <cell r="AM66">
            <v>342.99370070695386</v>
          </cell>
          <cell r="AN66">
            <v>20813.841653561612</v>
          </cell>
          <cell r="AO66">
            <v>0</v>
          </cell>
          <cell r="AP66">
            <v>1275.4256848104778</v>
          </cell>
          <cell r="AQ66">
            <v>978.16540911722177</v>
          </cell>
          <cell r="AR66">
            <v>0</v>
          </cell>
          <cell r="AS66">
            <v>0</v>
          </cell>
          <cell r="AT66">
            <v>0</v>
          </cell>
          <cell r="AU66">
            <v>859.38818086727338</v>
          </cell>
          <cell r="AV66">
            <v>0</v>
          </cell>
          <cell r="AW66">
            <v>0</v>
          </cell>
        </row>
        <row r="67">
          <cell r="D67" t="str">
            <v>P08</v>
          </cell>
          <cell r="S67">
            <v>940254.32094316941</v>
          </cell>
          <cell r="T67">
            <v>3152633.43173926</v>
          </cell>
          <cell r="U67">
            <v>27658.700676139179</v>
          </cell>
          <cell r="V67">
            <v>0</v>
          </cell>
          <cell r="W67">
            <v>2567481.6769972667</v>
          </cell>
          <cell r="X67">
            <v>20381.186045662143</v>
          </cell>
          <cell r="Y67">
            <v>518503.96291846636</v>
          </cell>
          <cell r="Z67">
            <v>44874.731555858307</v>
          </cell>
          <cell r="AA67">
            <v>61359.992745333999</v>
          </cell>
          <cell r="AB67">
            <v>8136.7129677228786</v>
          </cell>
          <cell r="AC67">
            <v>0</v>
          </cell>
          <cell r="AD67">
            <v>0</v>
          </cell>
          <cell r="AE67">
            <v>1648.8900363472951</v>
          </cell>
          <cell r="AF67">
            <v>0</v>
          </cell>
          <cell r="AG67">
            <v>0</v>
          </cell>
          <cell r="AH67">
            <v>0</v>
          </cell>
          <cell r="AI67">
            <v>0</v>
          </cell>
          <cell r="AJ67">
            <v>0</v>
          </cell>
          <cell r="AK67">
            <v>107748.53689473386</v>
          </cell>
          <cell r="AL67">
            <v>45757.046687232389</v>
          </cell>
          <cell r="AM67">
            <v>1111.7031157417782</v>
          </cell>
          <cell r="AN67">
            <v>67461.334039454363</v>
          </cell>
          <cell r="AO67">
            <v>0</v>
          </cell>
          <cell r="AP67">
            <v>4133.8797324220159</v>
          </cell>
          <cell r="AQ67">
            <v>3170.4067182141107</v>
          </cell>
          <cell r="AR67">
            <v>0</v>
          </cell>
          <cell r="AS67">
            <v>0</v>
          </cell>
          <cell r="AT67">
            <v>0</v>
          </cell>
          <cell r="AU67">
            <v>2785.428759573826</v>
          </cell>
          <cell r="AV67">
            <v>0</v>
          </cell>
          <cell r="AW67">
            <v>0</v>
          </cell>
        </row>
        <row r="68">
          <cell r="D68" t="str">
            <v>P08</v>
          </cell>
          <cell r="S68">
            <v>218639.21799469704</v>
          </cell>
          <cell r="T68">
            <v>733088.15794431407</v>
          </cell>
          <cell r="U68">
            <v>6431.5329925997503</v>
          </cell>
          <cell r="V68">
            <v>0</v>
          </cell>
          <cell r="W68">
            <v>597021.64996306878</v>
          </cell>
          <cell r="X68">
            <v>4739.2779587102141</v>
          </cell>
          <cell r="Y68">
            <v>120568.76363612784</v>
          </cell>
          <cell r="Z68">
            <v>10434.811089464625</v>
          </cell>
          <cell r="AA68">
            <v>14268.161848533508</v>
          </cell>
          <cell r="AB68">
            <v>1892.0461418626833</v>
          </cell>
          <cell r="AC68">
            <v>0</v>
          </cell>
          <cell r="AD68">
            <v>0</v>
          </cell>
          <cell r="AE68">
            <v>383.41969834777302</v>
          </cell>
          <cell r="AF68">
            <v>0</v>
          </cell>
          <cell r="AG68">
            <v>0</v>
          </cell>
          <cell r="AH68">
            <v>0</v>
          </cell>
          <cell r="AI68">
            <v>0</v>
          </cell>
          <cell r="AJ68">
            <v>0</v>
          </cell>
          <cell r="AK68">
            <v>25054.982808381334</v>
          </cell>
          <cell r="AL68">
            <v>10639.97759181583</v>
          </cell>
          <cell r="AM68">
            <v>258.50654919004796</v>
          </cell>
          <cell r="AN68">
            <v>15686.918943876713</v>
          </cell>
          <cell r="AO68">
            <v>0</v>
          </cell>
          <cell r="AP68">
            <v>961.25932298215503</v>
          </cell>
          <cell r="AQ68">
            <v>737.22101579936668</v>
          </cell>
          <cell r="AR68">
            <v>0</v>
          </cell>
          <cell r="AS68">
            <v>0</v>
          </cell>
          <cell r="AT68">
            <v>0</v>
          </cell>
          <cell r="AU68">
            <v>647.70132102372929</v>
          </cell>
          <cell r="AV68">
            <v>0</v>
          </cell>
          <cell r="AW68">
            <v>0</v>
          </cell>
        </row>
        <row r="69">
          <cell r="D69" t="str">
            <v>P08</v>
          </cell>
          <cell r="S69">
            <v>296873.95514859702</v>
          </cell>
          <cell r="T69">
            <v>995405.96109709144</v>
          </cell>
          <cell r="U69">
            <v>8732.900962114174</v>
          </cell>
          <cell r="V69">
            <v>0</v>
          </cell>
          <cell r="W69">
            <v>810651.35596202279</v>
          </cell>
          <cell r="X69">
            <v>6435.1135402661184</v>
          </cell>
          <cell r="Y69">
            <v>163711.36915108142</v>
          </cell>
          <cell r="Z69">
            <v>14168.654954816659</v>
          </cell>
          <cell r="AA69">
            <v>19373.677236520292</v>
          </cell>
          <cell r="AB69">
            <v>2569.0689283019751</v>
          </cell>
          <cell r="AC69">
            <v>0</v>
          </cell>
          <cell r="AD69">
            <v>0</v>
          </cell>
          <cell r="AE69">
            <v>520.61713069768746</v>
          </cell>
          <cell r="AF69">
            <v>0</v>
          </cell>
          <cell r="AG69">
            <v>0</v>
          </cell>
          <cell r="AH69">
            <v>0</v>
          </cell>
          <cell r="AI69">
            <v>0</v>
          </cell>
          <cell r="AJ69">
            <v>0</v>
          </cell>
          <cell r="AK69">
            <v>34020.300249540218</v>
          </cell>
          <cell r="AL69">
            <v>14447.235310050475</v>
          </cell>
          <cell r="AM69">
            <v>351.00684311689344</v>
          </cell>
          <cell r="AN69">
            <v>21300.102121098356</v>
          </cell>
          <cell r="AO69">
            <v>0</v>
          </cell>
          <cell r="AP69">
            <v>1305.2226391703275</v>
          </cell>
          <cell r="AQ69">
            <v>1001.017661819174</v>
          </cell>
          <cell r="AR69">
            <v>0</v>
          </cell>
          <cell r="AS69">
            <v>0</v>
          </cell>
          <cell r="AT69">
            <v>0</v>
          </cell>
          <cell r="AU69">
            <v>879.46551716970293</v>
          </cell>
          <cell r="AV69">
            <v>0</v>
          </cell>
          <cell r="AW69">
            <v>0</v>
          </cell>
        </row>
        <row r="70">
          <cell r="D70" t="str">
            <v>P08</v>
          </cell>
          <cell r="S70">
            <v>145607.42133197095</v>
          </cell>
          <cell r="T70">
            <v>488215.59675476514</v>
          </cell>
          <cell r="U70">
            <v>4283.2157142395999</v>
          </cell>
          <cell r="V70">
            <v>0</v>
          </cell>
          <cell r="W70">
            <v>397599.2218037913</v>
          </cell>
          <cell r="X70">
            <v>3156.2226066870526</v>
          </cell>
          <cell r="Y70">
            <v>80295.323626094789</v>
          </cell>
          <cell r="Z70">
            <v>6949.2836132447665</v>
          </cell>
          <cell r="AA70">
            <v>9502.1847999957699</v>
          </cell>
          <cell r="AB70">
            <v>1260.0482305256496</v>
          </cell>
          <cell r="AC70">
            <v>0</v>
          </cell>
          <cell r="AD70">
            <v>0</v>
          </cell>
          <cell r="AE70">
            <v>255.34647478319962</v>
          </cell>
          <cell r="AF70">
            <v>0</v>
          </cell>
          <cell r="AG70">
            <v>0</v>
          </cell>
          <cell r="AH70">
            <v>0</v>
          </cell>
          <cell r="AI70">
            <v>0</v>
          </cell>
          <cell r="AJ70">
            <v>0</v>
          </cell>
          <cell r="AK70">
            <v>16685.896847352218</v>
          </cell>
          <cell r="AL70">
            <v>7085.9185940366542</v>
          </cell>
          <cell r="AM70">
            <v>172.15791553874899</v>
          </cell>
          <cell r="AN70">
            <v>10447.036158521814</v>
          </cell>
          <cell r="AO70">
            <v>0</v>
          </cell>
          <cell r="AP70">
            <v>640.17102025192298</v>
          </cell>
          <cell r="AQ70">
            <v>490.96796104020814</v>
          </cell>
          <cell r="AR70">
            <v>0</v>
          </cell>
          <cell r="AS70">
            <v>0</v>
          </cell>
          <cell r="AT70">
            <v>0</v>
          </cell>
          <cell r="AU70">
            <v>431.35042291389715</v>
          </cell>
          <cell r="AV70">
            <v>0</v>
          </cell>
          <cell r="AW70">
            <v>0</v>
          </cell>
        </row>
        <row r="71">
          <cell r="D71" t="str">
            <v>P09</v>
          </cell>
          <cell r="S71">
            <v>227205.84205522196</v>
          </cell>
          <cell r="T71">
            <v>755295.25181341032</v>
          </cell>
          <cell r="U71">
            <v>4282.2538808666141</v>
          </cell>
          <cell r="V71">
            <v>0</v>
          </cell>
          <cell r="W71">
            <v>677227.66387183336</v>
          </cell>
          <cell r="X71">
            <v>0</v>
          </cell>
          <cell r="Y71">
            <v>168931.83310684649</v>
          </cell>
          <cell r="Z71">
            <v>9638.3967788075242</v>
          </cell>
          <cell r="AA71">
            <v>13493.38547098287</v>
          </cell>
          <cell r="AB71">
            <v>199.70328987673307</v>
          </cell>
          <cell r="AC71">
            <v>0</v>
          </cell>
          <cell r="AD71">
            <v>0</v>
          </cell>
          <cell r="AE71">
            <v>360.6637356163842</v>
          </cell>
          <cell r="AF71">
            <v>0</v>
          </cell>
          <cell r="AG71">
            <v>0</v>
          </cell>
          <cell r="AH71">
            <v>53627.639549825151</v>
          </cell>
          <cell r="AI71">
            <v>0</v>
          </cell>
          <cell r="AJ71">
            <v>0</v>
          </cell>
          <cell r="AK71">
            <v>4550.1501616223122</v>
          </cell>
          <cell r="AL71">
            <v>12413.608048164178</v>
          </cell>
          <cell r="AM71">
            <v>6588.0694676849344</v>
          </cell>
          <cell r="AN71">
            <v>11004.516247229796</v>
          </cell>
          <cell r="AO71">
            <v>0</v>
          </cell>
          <cell r="AP71">
            <v>1237.9980368374713</v>
          </cell>
          <cell r="AQ71">
            <v>1011.0624432592749</v>
          </cell>
          <cell r="AR71">
            <v>0</v>
          </cell>
          <cell r="AS71">
            <v>0</v>
          </cell>
          <cell r="AT71">
            <v>0</v>
          </cell>
          <cell r="AU71">
            <v>0</v>
          </cell>
          <cell r="AV71">
            <v>0</v>
          </cell>
          <cell r="AW71">
            <v>0</v>
          </cell>
        </row>
        <row r="72">
          <cell r="D72" t="str">
            <v>P09</v>
          </cell>
          <cell r="S72">
            <v>325138.5644281272</v>
          </cell>
          <cell r="T72">
            <v>1080850.7900703819</v>
          </cell>
          <cell r="U72">
            <v>6128.0373195832926</v>
          </cell>
          <cell r="V72">
            <v>0</v>
          </cell>
          <cell r="W72">
            <v>969133.66500842292</v>
          </cell>
          <cell r="X72">
            <v>0</v>
          </cell>
          <cell r="Y72">
            <v>241746.66111456024</v>
          </cell>
          <cell r="Z72">
            <v>13792.842929137782</v>
          </cell>
          <cell r="AA72">
            <v>19309.450591699191</v>
          </cell>
          <cell r="AB72">
            <v>285.78156439443012</v>
          </cell>
          <cell r="AC72">
            <v>0</v>
          </cell>
          <cell r="AD72">
            <v>0</v>
          </cell>
          <cell r="AE72">
            <v>516.12092443950257</v>
          </cell>
          <cell r="AF72">
            <v>0</v>
          </cell>
          <cell r="AG72">
            <v>0</v>
          </cell>
          <cell r="AH72">
            <v>76742.805462992081</v>
          </cell>
          <cell r="AI72">
            <v>0</v>
          </cell>
          <cell r="AJ72">
            <v>0</v>
          </cell>
          <cell r="AK72">
            <v>6511.4051562226859</v>
          </cell>
          <cell r="AL72">
            <v>17764.255811576226</v>
          </cell>
          <cell r="AM72">
            <v>9427.730509478879</v>
          </cell>
          <cell r="AN72">
            <v>15747.802004055304</v>
          </cell>
          <cell r="AO72">
            <v>0</v>
          </cell>
          <cell r="AP72">
            <v>1771.6133565101868</v>
          </cell>
          <cell r="AQ72">
            <v>1446.861525984076</v>
          </cell>
          <cell r="AR72">
            <v>0</v>
          </cell>
          <cell r="AS72">
            <v>0</v>
          </cell>
          <cell r="AT72">
            <v>0</v>
          </cell>
          <cell r="AU72">
            <v>0</v>
          </cell>
          <cell r="AV72">
            <v>0</v>
          </cell>
          <cell r="AW72">
            <v>0</v>
          </cell>
        </row>
        <row r="73">
          <cell r="D73" t="str">
            <v>P09</v>
          </cell>
          <cell r="S73">
            <v>251917.81126818879</v>
          </cell>
          <cell r="T73">
            <v>837444.6932215963</v>
          </cell>
          <cell r="U73">
            <v>4748.0118257717604</v>
          </cell>
          <cell r="V73">
            <v>0</v>
          </cell>
          <cell r="W73">
            <v>750886.10957193386</v>
          </cell>
          <cell r="X73">
            <v>0</v>
          </cell>
          <cell r="Y73">
            <v>187305.64876697288</v>
          </cell>
          <cell r="Z73">
            <v>10686.713856862058</v>
          </cell>
          <cell r="AA73">
            <v>14960.989135225704</v>
          </cell>
          <cell r="AB73">
            <v>221.42395298346145</v>
          </cell>
          <cell r="AC73">
            <v>0</v>
          </cell>
          <cell r="AD73">
            <v>0</v>
          </cell>
          <cell r="AE73">
            <v>399.89120903944644</v>
          </cell>
          <cell r="AF73">
            <v>0</v>
          </cell>
          <cell r="AG73">
            <v>0</v>
          </cell>
          <cell r="AH73">
            <v>59460.432252388062</v>
          </cell>
          <cell r="AI73">
            <v>0</v>
          </cell>
          <cell r="AJ73">
            <v>0</v>
          </cell>
          <cell r="AK73">
            <v>5045.0457580174862</v>
          </cell>
          <cell r="AL73">
            <v>13763.770073634949</v>
          </cell>
          <cell r="AM73">
            <v>7304.6186918846697</v>
          </cell>
          <cell r="AN73">
            <v>12201.418863136303</v>
          </cell>
          <cell r="AO73">
            <v>0</v>
          </cell>
          <cell r="AP73">
            <v>1372.6484890234908</v>
          </cell>
          <cell r="AQ73">
            <v>1121.0303197196768</v>
          </cell>
          <cell r="AR73">
            <v>0</v>
          </cell>
          <cell r="AS73">
            <v>0</v>
          </cell>
          <cell r="AT73">
            <v>0</v>
          </cell>
          <cell r="AU73">
            <v>0</v>
          </cell>
          <cell r="AV73">
            <v>0</v>
          </cell>
          <cell r="AW73">
            <v>0</v>
          </cell>
        </row>
        <row r="74">
          <cell r="D74" t="str">
            <v>P09</v>
          </cell>
          <cell r="S74">
            <v>1200630.6750098446</v>
          </cell>
          <cell r="T74">
            <v>3991229.4499718975</v>
          </cell>
          <cell r="U74">
            <v>22628.843171641689</v>
          </cell>
          <cell r="V74">
            <v>0</v>
          </cell>
          <cell r="W74">
            <v>3578694.5434799027</v>
          </cell>
          <cell r="X74">
            <v>0</v>
          </cell>
          <cell r="Y74">
            <v>892691.57420885039</v>
          </cell>
          <cell r="Z74">
            <v>50932.470423624931</v>
          </cell>
          <cell r="AA74">
            <v>71303.503288690408</v>
          </cell>
          <cell r="AB74">
            <v>1055.2981101080713</v>
          </cell>
          <cell r="AC74">
            <v>0</v>
          </cell>
          <cell r="AD74">
            <v>0</v>
          </cell>
          <cell r="AE74">
            <v>1905.8662419403188</v>
          </cell>
          <cell r="AF74">
            <v>0</v>
          </cell>
          <cell r="AG74">
            <v>0</v>
          </cell>
          <cell r="AH74">
            <v>283386.15103146015</v>
          </cell>
          <cell r="AI74">
            <v>0</v>
          </cell>
          <cell r="AJ74">
            <v>0</v>
          </cell>
          <cell r="AK74">
            <v>24044.495557543658</v>
          </cell>
          <cell r="AL74">
            <v>65597.602928504668</v>
          </cell>
          <cell r="AM74">
            <v>34813.533932264996</v>
          </cell>
          <cell r="AN74">
            <v>58151.496680517004</v>
          </cell>
          <cell r="AO74">
            <v>0</v>
          </cell>
          <cell r="AP74">
            <v>6541.9903167268649</v>
          </cell>
          <cell r="AQ74">
            <v>5342.787723884524</v>
          </cell>
          <cell r="AR74">
            <v>0</v>
          </cell>
          <cell r="AS74">
            <v>0</v>
          </cell>
          <cell r="AT74">
            <v>0</v>
          </cell>
          <cell r="AU74">
            <v>0</v>
          </cell>
          <cell r="AV74">
            <v>0</v>
          </cell>
          <cell r="AW74">
            <v>0</v>
          </cell>
        </row>
        <row r="75">
          <cell r="D75" t="str">
            <v>P09</v>
          </cell>
          <cell r="S75">
            <v>874511.77947468299</v>
          </cell>
          <cell r="T75">
            <v>2907119.7673323355</v>
          </cell>
          <cell r="U75">
            <v>16482.329097016984</v>
          </cell>
          <cell r="V75">
            <v>0</v>
          </cell>
          <cell r="W75">
            <v>2606638.8262063074</v>
          </cell>
          <cell r="X75">
            <v>0</v>
          </cell>
          <cell r="Y75">
            <v>650216.0184080227</v>
          </cell>
          <cell r="Z75">
            <v>37098.040446818239</v>
          </cell>
          <cell r="AA75">
            <v>51935.832426787092</v>
          </cell>
          <cell r="AB75">
            <v>768.65488060207383</v>
          </cell>
          <cell r="AC75">
            <v>0</v>
          </cell>
          <cell r="AD75">
            <v>0</v>
          </cell>
          <cell r="AE75">
            <v>1388.1891520606773</v>
          </cell>
          <cell r="AF75">
            <v>0</v>
          </cell>
          <cell r="AG75">
            <v>0</v>
          </cell>
          <cell r="AH75">
            <v>206411.95696167886</v>
          </cell>
          <cell r="AI75">
            <v>0</v>
          </cell>
          <cell r="AJ75">
            <v>0</v>
          </cell>
          <cell r="AK75">
            <v>17513.457747051318</v>
          </cell>
          <cell r="AL75">
            <v>47779.785791171729</v>
          </cell>
          <cell r="AM75">
            <v>25357.377703728653</v>
          </cell>
          <cell r="AN75">
            <v>42356.213196683544</v>
          </cell>
          <cell r="AO75">
            <v>0</v>
          </cell>
          <cell r="AP75">
            <v>4765.0353370657022</v>
          </cell>
          <cell r="AQ75">
            <v>3891.5637398081931</v>
          </cell>
          <cell r="AR75">
            <v>0</v>
          </cell>
          <cell r="AS75">
            <v>0</v>
          </cell>
          <cell r="AT75">
            <v>0</v>
          </cell>
          <cell r="AU75">
            <v>0</v>
          </cell>
          <cell r="AV75">
            <v>0</v>
          </cell>
          <cell r="AW75">
            <v>0</v>
          </cell>
        </row>
        <row r="76">
          <cell r="D76" t="str">
            <v>P09</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row>
        <row r="77">
          <cell r="D77" t="str">
            <v>P09</v>
          </cell>
          <cell r="S77">
            <v>340165.91632276704</v>
          </cell>
          <cell r="T77">
            <v>1130805.8767472117</v>
          </cell>
          <cell r="U77">
            <v>6411.2647902674717</v>
          </cell>
          <cell r="V77">
            <v>0</v>
          </cell>
          <cell r="W77">
            <v>1013925.3760213529</v>
          </cell>
          <cell r="X77">
            <v>0</v>
          </cell>
          <cell r="Y77">
            <v>252919.78095751809</v>
          </cell>
          <cell r="Z77">
            <v>14430.324689224306</v>
          </cell>
          <cell r="AA77">
            <v>20201.900582809885</v>
          </cell>
          <cell r="AB77">
            <v>298.98990263234185</v>
          </cell>
          <cell r="AC77">
            <v>0</v>
          </cell>
          <cell r="AD77">
            <v>0</v>
          </cell>
          <cell r="AE77">
            <v>539.9751564509553</v>
          </cell>
          <cell r="AF77">
            <v>0</v>
          </cell>
          <cell r="AG77">
            <v>0</v>
          </cell>
          <cell r="AH77">
            <v>80289.727511758159</v>
          </cell>
          <cell r="AI77">
            <v>0</v>
          </cell>
          <cell r="AJ77">
            <v>0</v>
          </cell>
          <cell r="AK77">
            <v>6812.3512368060019</v>
          </cell>
          <cell r="AL77">
            <v>18585.289525914246</v>
          </cell>
          <cell r="AM77">
            <v>9863.4641917720128</v>
          </cell>
          <cell r="AN77">
            <v>16475.638650250392</v>
          </cell>
          <cell r="AO77">
            <v>0</v>
          </cell>
          <cell r="AP77">
            <v>1853.4943150988674</v>
          </cell>
          <cell r="AQ77">
            <v>1513.7330068618376</v>
          </cell>
          <cell r="AR77">
            <v>0</v>
          </cell>
          <cell r="AS77">
            <v>0</v>
          </cell>
          <cell r="AT77">
            <v>0</v>
          </cell>
          <cell r="AU77">
            <v>0</v>
          </cell>
          <cell r="AV77">
            <v>0</v>
          </cell>
          <cell r="AW77">
            <v>0</v>
          </cell>
        </row>
        <row r="78">
          <cell r="D78" t="str">
            <v>P09</v>
          </cell>
          <cell r="S78">
            <v>787948.47276651859</v>
          </cell>
          <cell r="T78">
            <v>2619359.3209171691</v>
          </cell>
          <cell r="U78">
            <v>14850.830308347679</v>
          </cell>
          <cell r="V78">
            <v>0</v>
          </cell>
          <cell r="W78">
            <v>2348621.4026721758</v>
          </cell>
          <cell r="X78">
            <v>0</v>
          </cell>
          <cell r="Y78">
            <v>585854.56559623173</v>
          </cell>
          <cell r="Z78">
            <v>33425.901169976423</v>
          </cell>
          <cell r="AA78">
            <v>46794.978413128891</v>
          </cell>
          <cell r="AB78">
            <v>692.56978976172672</v>
          </cell>
          <cell r="AC78">
            <v>0</v>
          </cell>
          <cell r="AD78">
            <v>0</v>
          </cell>
          <cell r="AE78">
            <v>1250.7796326475043</v>
          </cell>
          <cell r="AF78">
            <v>0</v>
          </cell>
          <cell r="AG78">
            <v>0</v>
          </cell>
          <cell r="AH78">
            <v>185980.32647016126</v>
          </cell>
          <cell r="AI78">
            <v>0</v>
          </cell>
          <cell r="AJ78">
            <v>0</v>
          </cell>
          <cell r="AK78">
            <v>15779.892974042596</v>
          </cell>
          <cell r="AL78">
            <v>43050.316904685074</v>
          </cell>
          <cell r="AM78">
            <v>22847.384682478358</v>
          </cell>
          <cell r="AN78">
            <v>38163.595143964601</v>
          </cell>
          <cell r="AO78">
            <v>0</v>
          </cell>
          <cell r="AP78">
            <v>4293.3696316529813</v>
          </cell>
          <cell r="AQ78">
            <v>3506.3583789544573</v>
          </cell>
          <cell r="AR78">
            <v>0</v>
          </cell>
          <cell r="AS78">
            <v>0</v>
          </cell>
          <cell r="AT78">
            <v>0</v>
          </cell>
          <cell r="AU78">
            <v>0</v>
          </cell>
          <cell r="AV78">
            <v>0</v>
          </cell>
          <cell r="AW78">
            <v>0</v>
          </cell>
        </row>
        <row r="79">
          <cell r="D79" t="str">
            <v>P09</v>
          </cell>
          <cell r="S79">
            <v>230392.50112829023</v>
          </cell>
          <cell r="T79">
            <v>765888.5906345644</v>
          </cell>
          <cell r="U79">
            <v>4342.3143223553006</v>
          </cell>
          <cell r="V79">
            <v>0</v>
          </cell>
          <cell r="W79">
            <v>686726.07139555132</v>
          </cell>
          <cell r="X79">
            <v>0</v>
          </cell>
          <cell r="Y79">
            <v>171301.17429028818</v>
          </cell>
          <cell r="Z79">
            <v>9773.5794143735311</v>
          </cell>
          <cell r="AA79">
            <v>13682.635971095733</v>
          </cell>
          <cell r="AB79">
            <v>202.50421389721927</v>
          </cell>
          <cell r="AC79">
            <v>0</v>
          </cell>
          <cell r="AD79">
            <v>0</v>
          </cell>
          <cell r="AE79">
            <v>365.72219870444735</v>
          </cell>
          <cell r="AF79">
            <v>0</v>
          </cell>
          <cell r="AG79">
            <v>0</v>
          </cell>
          <cell r="AH79">
            <v>54379.790122155719</v>
          </cell>
          <cell r="AI79">
            <v>0</v>
          </cell>
          <cell r="AJ79">
            <v>0</v>
          </cell>
          <cell r="AK79">
            <v>4613.9679629833909</v>
          </cell>
          <cell r="AL79">
            <v>12587.714208280348</v>
          </cell>
          <cell r="AM79">
            <v>6680.4699585935241</v>
          </cell>
          <cell r="AN79">
            <v>11158.859292403073</v>
          </cell>
          <cell r="AO79">
            <v>0</v>
          </cell>
          <cell r="AP79">
            <v>1255.3614885904854</v>
          </cell>
          <cell r="AQ79">
            <v>1025.2430262896517</v>
          </cell>
          <cell r="AR79">
            <v>0</v>
          </cell>
          <cell r="AS79">
            <v>0</v>
          </cell>
          <cell r="AT79">
            <v>0</v>
          </cell>
          <cell r="AU79">
            <v>0</v>
          </cell>
          <cell r="AV79">
            <v>0</v>
          </cell>
          <cell r="AW79">
            <v>0</v>
          </cell>
        </row>
        <row r="80">
          <cell r="D80" t="str">
            <v>P01</v>
          </cell>
          <cell r="S80">
            <v>776816.5529453971</v>
          </cell>
          <cell r="T80">
            <v>3066119.7270737542</v>
          </cell>
          <cell r="U80">
            <v>20336.983738127572</v>
          </cell>
          <cell r="V80">
            <v>0</v>
          </cell>
          <cell r="W80">
            <v>3416267.9682774195</v>
          </cell>
          <cell r="X80">
            <v>11295.58337465297</v>
          </cell>
          <cell r="Y80">
            <v>846386.28637064702</v>
          </cell>
          <cell r="Z80">
            <v>48844.163341190993</v>
          </cell>
          <cell r="AA80">
            <v>104666.23850766011</v>
          </cell>
          <cell r="AB80">
            <v>62316.392380865895</v>
          </cell>
          <cell r="AC80">
            <v>40450.612520761657</v>
          </cell>
          <cell r="AD80">
            <v>4449.1039342437534</v>
          </cell>
          <cell r="AE80">
            <v>3152.9591101521728</v>
          </cell>
          <cell r="AF80">
            <v>0</v>
          </cell>
          <cell r="AG80">
            <v>1378.2958697616746</v>
          </cell>
          <cell r="AH80">
            <v>37992.179047598162</v>
          </cell>
          <cell r="AI80">
            <v>0</v>
          </cell>
          <cell r="AJ80">
            <v>0</v>
          </cell>
          <cell r="AK80">
            <v>174910.56360153889</v>
          </cell>
          <cell r="AL80">
            <v>44414.894987381078</v>
          </cell>
          <cell r="AM80">
            <v>27885.231698962671</v>
          </cell>
          <cell r="AN80">
            <v>71758.600977298891</v>
          </cell>
          <cell r="AO80">
            <v>0</v>
          </cell>
          <cell r="AP80">
            <v>5093.4936215804655</v>
          </cell>
          <cell r="AQ80">
            <v>9342.6527026935892</v>
          </cell>
          <cell r="AR80">
            <v>0</v>
          </cell>
          <cell r="AS80">
            <v>0</v>
          </cell>
          <cell r="AT80">
            <v>0</v>
          </cell>
          <cell r="AU80">
            <v>1134.6928705820169</v>
          </cell>
          <cell r="AV80">
            <v>0</v>
          </cell>
          <cell r="AW80">
            <v>0</v>
          </cell>
        </row>
        <row r="81">
          <cell r="D81" t="str">
            <v>P10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row>
        <row r="82">
          <cell r="D82" t="str">
            <v>P11</v>
          </cell>
          <cell r="S82">
            <v>0</v>
          </cell>
          <cell r="T82">
            <v>0</v>
          </cell>
          <cell r="U82">
            <v>2193791</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row>
        <row r="83">
          <cell r="D83" t="str">
            <v>P11</v>
          </cell>
          <cell r="S83">
            <v>0</v>
          </cell>
          <cell r="T83">
            <v>0</v>
          </cell>
          <cell r="U83">
            <v>1865011</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row>
        <row r="84">
          <cell r="D84" t="str">
            <v>P02</v>
          </cell>
          <cell r="S84">
            <v>1263300.68987167</v>
          </cell>
          <cell r="T84">
            <v>3765069.69965785</v>
          </cell>
          <cell r="U84">
            <v>18753.116729542882</v>
          </cell>
          <cell r="V84">
            <v>0</v>
          </cell>
          <cell r="W84">
            <v>2720484.002653704</v>
          </cell>
          <cell r="X84">
            <v>0</v>
          </cell>
          <cell r="Y84">
            <v>487728.38797405461</v>
          </cell>
          <cell r="Z84">
            <v>58379.174066197527</v>
          </cell>
          <cell r="AA84">
            <v>265360.23590128397</v>
          </cell>
          <cell r="AB84">
            <v>181669.73068148518</v>
          </cell>
          <cell r="AC84">
            <v>0</v>
          </cell>
          <cell r="AD84">
            <v>289.12876669432063</v>
          </cell>
          <cell r="AE84">
            <v>6636.8950542944622</v>
          </cell>
          <cell r="AF84">
            <v>0</v>
          </cell>
          <cell r="AG84">
            <v>0</v>
          </cell>
          <cell r="AH84">
            <v>2358.0501044956422</v>
          </cell>
          <cell r="AI84">
            <v>0</v>
          </cell>
          <cell r="AJ84">
            <v>0</v>
          </cell>
          <cell r="AK84">
            <v>218366.54735037472</v>
          </cell>
          <cell r="AL84">
            <v>9090.3142703984977</v>
          </cell>
          <cell r="AM84">
            <v>13206.408997452545</v>
          </cell>
          <cell r="AN84">
            <v>27749.130521078285</v>
          </cell>
          <cell r="AO84">
            <v>0</v>
          </cell>
          <cell r="AP84">
            <v>2544.3636792741731</v>
          </cell>
          <cell r="AQ84">
            <v>-2980.9535873645077</v>
          </cell>
          <cell r="AR84">
            <v>0</v>
          </cell>
          <cell r="AS84">
            <v>0</v>
          </cell>
          <cell r="AT84">
            <v>0</v>
          </cell>
          <cell r="AU84">
            <v>521.59455425120541</v>
          </cell>
          <cell r="AV84">
            <v>0</v>
          </cell>
          <cell r="AW84">
            <v>0</v>
          </cell>
        </row>
        <row r="85">
          <cell r="D85" t="str">
            <v>P01</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row>
        <row r="86">
          <cell r="D86" t="str">
            <v>P01</v>
          </cell>
          <cell r="S86">
            <v>915664.38053027203</v>
          </cell>
          <cell r="T86">
            <v>3614156.5339686829</v>
          </cell>
          <cell r="U86">
            <v>23972.00670585574</v>
          </cell>
          <cell r="V86">
            <v>0</v>
          </cell>
          <cell r="W86">
            <v>4026890.1081437622</v>
          </cell>
          <cell r="X86">
            <v>13314.550667416926</v>
          </cell>
          <cell r="Y86">
            <v>997668.97559065232</v>
          </cell>
          <cell r="Z86">
            <v>57574.546266748788</v>
          </cell>
          <cell r="AA86">
            <v>123374.23305690924</v>
          </cell>
          <cell r="AB86">
            <v>73454.795227976792</v>
          </cell>
          <cell r="AC86">
            <v>47680.736095870496</v>
          </cell>
          <cell r="AD86">
            <v>5244.3346919133674</v>
          </cell>
          <cell r="AE86">
            <v>3716.517547789304</v>
          </cell>
          <cell r="AF86">
            <v>0</v>
          </cell>
          <cell r="AG86">
            <v>1624.6518292993521</v>
          </cell>
          <cell r="AH86">
            <v>44782.883372799901</v>
          </cell>
          <cell r="AI86">
            <v>0</v>
          </cell>
          <cell r="AJ86">
            <v>0</v>
          </cell>
          <cell r="AK86">
            <v>206173.99598546088</v>
          </cell>
          <cell r="AL86">
            <v>52353.592557644748</v>
          </cell>
          <cell r="AM86">
            <v>32869.424979115407</v>
          </cell>
          <cell r="AN86">
            <v>84584.69977559289</v>
          </cell>
          <cell r="AO86">
            <v>0</v>
          </cell>
          <cell r="AP86">
            <v>6003.9022907731469</v>
          </cell>
          <cell r="AQ86">
            <v>11012.554079962705</v>
          </cell>
          <cell r="AR86">
            <v>0</v>
          </cell>
          <cell r="AS86">
            <v>0</v>
          </cell>
          <cell r="AT86">
            <v>0</v>
          </cell>
          <cell r="AU86">
            <v>1337.5073439077842</v>
          </cell>
          <cell r="AV86">
            <v>0</v>
          </cell>
          <cell r="AW86">
            <v>0</v>
          </cell>
        </row>
        <row r="87">
          <cell r="D87" t="str">
            <v>P01</v>
          </cell>
          <cell r="S87">
            <v>549516.32185793563</v>
          </cell>
          <cell r="T87">
            <v>2168958.4605389563</v>
          </cell>
          <cell r="U87">
            <v>14386.285229231009</v>
          </cell>
          <cell r="V87">
            <v>0</v>
          </cell>
          <cell r="W87">
            <v>2416651.655131307</v>
          </cell>
          <cell r="X87">
            <v>7990.4417661337484</v>
          </cell>
          <cell r="Y87">
            <v>598729.61923107703</v>
          </cell>
          <cell r="Z87">
            <v>34552.128017496223</v>
          </cell>
          <cell r="AA87">
            <v>74040.397555068106</v>
          </cell>
          <cell r="AB87">
            <v>44082.318538076179</v>
          </cell>
          <cell r="AC87">
            <v>28614.570229004818</v>
          </cell>
          <cell r="AD87">
            <v>3147.2748877959975</v>
          </cell>
          <cell r="AE87">
            <v>2230.3882256498177</v>
          </cell>
          <cell r="AF87">
            <v>0</v>
          </cell>
          <cell r="AG87">
            <v>974.9999197515267</v>
          </cell>
          <cell r="AH87">
            <v>26875.486124034425</v>
          </cell>
          <cell r="AI87">
            <v>0</v>
          </cell>
          <cell r="AJ87">
            <v>0</v>
          </cell>
          <cell r="AK87">
            <v>123730.89785481468</v>
          </cell>
          <cell r="AL87">
            <v>31418.884724625172</v>
          </cell>
          <cell r="AM87">
            <v>19725.87980942184</v>
          </cell>
          <cell r="AN87">
            <v>50761.691832136188</v>
          </cell>
          <cell r="AO87">
            <v>0</v>
          </cell>
          <cell r="AP87">
            <v>3603.1130769872948</v>
          </cell>
          <cell r="AQ87">
            <v>6608.9479300026587</v>
          </cell>
          <cell r="AR87">
            <v>0</v>
          </cell>
          <cell r="AS87">
            <v>0</v>
          </cell>
          <cell r="AT87">
            <v>0</v>
          </cell>
          <cell r="AU87">
            <v>802.67632083334479</v>
          </cell>
          <cell r="AV87">
            <v>0</v>
          </cell>
          <cell r="AW87">
            <v>0</v>
          </cell>
        </row>
        <row r="88">
          <cell r="D88" t="str">
            <v>P01</v>
          </cell>
          <cell r="S88">
            <v>859926.05029989034</v>
          </cell>
          <cell r="T88">
            <v>3394155.5656248252</v>
          </cell>
          <cell r="U88">
            <v>22512.782502679762</v>
          </cell>
          <cell r="V88">
            <v>0</v>
          </cell>
          <cell r="W88">
            <v>3781765.2180402596</v>
          </cell>
          <cell r="X88">
            <v>12504.06722200884</v>
          </cell>
          <cell r="Y88">
            <v>936938.86092803429</v>
          </cell>
          <cell r="Z88">
            <v>54069.867979686875</v>
          </cell>
          <cell r="AA88">
            <v>115864.19565645502</v>
          </cell>
          <cell r="AB88">
            <v>68983.454286385269</v>
          </cell>
          <cell r="AC88">
            <v>44778.313908605509</v>
          </cell>
          <cell r="AD88">
            <v>4925.1015043919369</v>
          </cell>
          <cell r="AE88">
            <v>3490.2856589112803</v>
          </cell>
          <cell r="AF88">
            <v>0</v>
          </cell>
          <cell r="AG88">
            <v>1525.7560088477151</v>
          </cell>
          <cell r="AH88">
            <v>42056.859301997603</v>
          </cell>
          <cell r="AI88">
            <v>0</v>
          </cell>
          <cell r="AJ88">
            <v>0</v>
          </cell>
          <cell r="AK88">
            <v>193623.77068730089</v>
          </cell>
          <cell r="AL88">
            <v>49166.72421071292</v>
          </cell>
          <cell r="AM88">
            <v>30868.59705250357</v>
          </cell>
          <cell r="AN88">
            <v>79435.859186424816</v>
          </cell>
          <cell r="AO88">
            <v>0</v>
          </cell>
          <cell r="AP88">
            <v>5638.4326976889852</v>
          </cell>
          <cell r="AQ88">
            <v>10342.197791085957</v>
          </cell>
          <cell r="AR88">
            <v>0</v>
          </cell>
          <cell r="AS88">
            <v>0</v>
          </cell>
          <cell r="AT88">
            <v>0</v>
          </cell>
          <cell r="AU88">
            <v>1256.0905850980553</v>
          </cell>
          <cell r="AV88">
            <v>0</v>
          </cell>
          <cell r="AW88">
            <v>0</v>
          </cell>
        </row>
        <row r="89">
          <cell r="D89" t="str">
            <v>P01</v>
          </cell>
          <cell r="S89">
            <v>930593.06064634642</v>
          </cell>
          <cell r="T89">
            <v>3673080.5108452244</v>
          </cell>
          <cell r="U89">
            <v>24362.83813652127</v>
          </cell>
          <cell r="V89">
            <v>0</v>
          </cell>
          <cell r="W89">
            <v>4092543.1526055858</v>
          </cell>
          <cell r="X89">
            <v>13531.626565562075</v>
          </cell>
          <cell r="Y89">
            <v>1013934.6306876641</v>
          </cell>
          <cell r="Z89">
            <v>58513.22205486524</v>
          </cell>
          <cell r="AA89">
            <v>125385.68452213495</v>
          </cell>
          <cell r="AB89">
            <v>74652.377185151068</v>
          </cell>
          <cell r="AC89">
            <v>48458.106573536112</v>
          </cell>
          <cell r="AD89">
            <v>5329.8365381158665</v>
          </cell>
          <cell r="AE89">
            <v>3777.1103837633241</v>
          </cell>
          <cell r="AF89">
            <v>0</v>
          </cell>
          <cell r="AG89">
            <v>1651.139599245759</v>
          </cell>
          <cell r="AH89">
            <v>45513.008246894955</v>
          </cell>
          <cell r="AI89">
            <v>0</v>
          </cell>
          <cell r="AJ89">
            <v>0</v>
          </cell>
          <cell r="AK89">
            <v>209535.38657765285</v>
          </cell>
          <cell r="AL89">
            <v>53207.147695137101</v>
          </cell>
          <cell r="AM89">
            <v>33405.316886178938</v>
          </cell>
          <cell r="AN89">
            <v>85963.739904829694</v>
          </cell>
          <cell r="AO89">
            <v>0</v>
          </cell>
          <cell r="AP89">
            <v>6101.7878683416575</v>
          </cell>
          <cell r="AQ89">
            <v>11192.099009979012</v>
          </cell>
          <cell r="AR89">
            <v>0</v>
          </cell>
          <cell r="AS89">
            <v>0</v>
          </cell>
          <cell r="AT89">
            <v>0</v>
          </cell>
          <cell r="AU89">
            <v>1359.3136079873548</v>
          </cell>
          <cell r="AV89">
            <v>0</v>
          </cell>
          <cell r="AW89">
            <v>0</v>
          </cell>
        </row>
        <row r="90">
          <cell r="D90" t="str">
            <v>P02</v>
          </cell>
          <cell r="S90">
            <v>1488563.9396939857</v>
          </cell>
          <cell r="T90">
            <v>4436431.5085701942</v>
          </cell>
          <cell r="U90">
            <v>22097.045892775739</v>
          </cell>
          <cell r="V90">
            <v>0</v>
          </cell>
          <cell r="W90">
            <v>3205582.3426139611</v>
          </cell>
          <cell r="X90">
            <v>0</v>
          </cell>
          <cell r="Y90">
            <v>574696.8212112718</v>
          </cell>
          <cell r="Z90">
            <v>68788.954237718048</v>
          </cell>
          <cell r="AA90">
            <v>312677.48158315866</v>
          </cell>
          <cell r="AB90">
            <v>214063.850510402</v>
          </cell>
          <cell r="AC90">
            <v>0</v>
          </cell>
          <cell r="AD90">
            <v>340.68425631357894</v>
          </cell>
          <cell r="AE90">
            <v>7820.3413712690026</v>
          </cell>
          <cell r="AF90">
            <v>0</v>
          </cell>
          <cell r="AG90">
            <v>0</v>
          </cell>
          <cell r="AH90">
            <v>2778.5216787148397</v>
          </cell>
          <cell r="AI90">
            <v>0</v>
          </cell>
          <cell r="AJ90">
            <v>0</v>
          </cell>
          <cell r="AK90">
            <v>257304.19576852038</v>
          </cell>
          <cell r="AL90">
            <v>10711.237737688103</v>
          </cell>
          <cell r="AM90">
            <v>15561.286686588479</v>
          </cell>
          <cell r="AN90">
            <v>32697.16812688113</v>
          </cell>
          <cell r="AO90">
            <v>0</v>
          </cell>
          <cell r="AP90">
            <v>2998.0574322486818</v>
          </cell>
          <cell r="AQ90">
            <v>-3512.4971051056655</v>
          </cell>
          <cell r="AR90">
            <v>0</v>
          </cell>
          <cell r="AS90">
            <v>0</v>
          </cell>
          <cell r="AT90">
            <v>0</v>
          </cell>
          <cell r="AU90">
            <v>614.60177361097976</v>
          </cell>
          <cell r="AV90">
            <v>0</v>
          </cell>
          <cell r="AW90">
            <v>0</v>
          </cell>
        </row>
        <row r="91">
          <cell r="D91" t="str">
            <v>P01</v>
          </cell>
          <cell r="S91">
            <v>762785.49991551333</v>
          </cell>
          <cell r="T91">
            <v>3010738.7129547512</v>
          </cell>
          <cell r="U91">
            <v>19969.652099511462</v>
          </cell>
          <cell r="V91">
            <v>0</v>
          </cell>
          <cell r="W91">
            <v>3354562.4898791462</v>
          </cell>
          <cell r="X91">
            <v>11091.559749342337</v>
          </cell>
          <cell r="Y91">
            <v>831098.64758024702</v>
          </cell>
          <cell r="Z91">
            <v>47961.927962140406</v>
          </cell>
          <cell r="AA91">
            <v>102775.73097744446</v>
          </cell>
          <cell r="AB91">
            <v>61190.818263255103</v>
          </cell>
          <cell r="AC91">
            <v>39719.983536070104</v>
          </cell>
          <cell r="AD91">
            <v>4368.7431167506866</v>
          </cell>
          <cell r="AE91">
            <v>3096.0095815821892</v>
          </cell>
          <cell r="AF91">
            <v>0</v>
          </cell>
          <cell r="AG91">
            <v>1353.4007482993811</v>
          </cell>
          <cell r="AH91">
            <v>37305.954897357697</v>
          </cell>
          <cell r="AI91">
            <v>0</v>
          </cell>
          <cell r="AJ91">
            <v>0</v>
          </cell>
          <cell r="AK91">
            <v>171751.28566896301</v>
          </cell>
          <cell r="AL91">
            <v>43612.662150655648</v>
          </cell>
          <cell r="AM91">
            <v>27381.561735655076</v>
          </cell>
          <cell r="AN91">
            <v>70462.479348781635</v>
          </cell>
          <cell r="AO91">
            <v>0</v>
          </cell>
          <cell r="AP91">
            <v>5001.4936779119198</v>
          </cell>
          <cell r="AQ91">
            <v>9173.9033950040885</v>
          </cell>
          <cell r="AR91">
            <v>0</v>
          </cell>
          <cell r="AS91">
            <v>0</v>
          </cell>
          <cell r="AT91">
            <v>0</v>
          </cell>
          <cell r="AU91">
            <v>1114.1977668417567</v>
          </cell>
          <cell r="AV91">
            <v>0</v>
          </cell>
          <cell r="AW91">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ổng hợp"/>
      <sheetName val="Kangatang"/>
      <sheetName val="Kangatang_2"/>
      <sheetName val="Kangatang_3"/>
      <sheetName val="Kangatang_4"/>
      <sheetName val="Kangatang_5"/>
      <sheetName val="Kangatang_6"/>
      <sheetName val="Kangatang_7"/>
      <sheetName val="Kangatang_8"/>
      <sheetName val="Kangatang_9"/>
      <sheetName val="Kangatang_10"/>
      <sheetName val="Kangatang_11"/>
      <sheetName val="Kangatang_12"/>
      <sheetName val="Kangatang_13"/>
      <sheetName val="Kangatang_14"/>
      <sheetName val="Kangatang_15"/>
      <sheetName val="Kangatang_16"/>
      <sheetName val="Kangatang_17"/>
      <sheetName val="Kangatang_18"/>
      <sheetName val="Kangatang_19"/>
      <sheetName val="Kangatang_20"/>
      <sheetName val="Kangatang_21"/>
      <sheetName val="Kangatang_22"/>
      <sheetName val="Kangatang_23"/>
      <sheetName val="Kangatang_24"/>
      <sheetName val="Kangatang_25"/>
      <sheetName val="Kangatang_26"/>
      <sheetName val="Kangatang_27"/>
      <sheetName val="Kangatang_28"/>
      <sheetName val="Kangatang_29"/>
      <sheetName val="Kangatang_30"/>
      <sheetName val="Kangatang_31"/>
      <sheetName val="Kangatang_32"/>
      <sheetName val="Kangatang_33"/>
      <sheetName val="Kangatang_34"/>
      <sheetName val="Kangatang_35"/>
      <sheetName val="Kangatang_36"/>
      <sheetName val="Kangatang_37"/>
      <sheetName val="Kangatang_38"/>
      <sheetName val="Kangatang_39"/>
      <sheetName val="Kangatang_40"/>
      <sheetName val="Kangatang_41"/>
      <sheetName val="Kangatang_42"/>
      <sheetName val="Kangatang_43"/>
      <sheetName val="Kangatang_44"/>
      <sheetName val="Kangatang_45"/>
      <sheetName val="Kangatang_46"/>
      <sheetName val="Kangatang_47"/>
      <sheetName val="Kangatang_48"/>
      <sheetName val="Kangatang_49"/>
      <sheetName val="Kangatang_50"/>
      <sheetName val="Kangatang_51"/>
      <sheetName val="Kangatang_52"/>
      <sheetName val="Kangatang_53"/>
      <sheetName val="Kangatang_54"/>
      <sheetName val="Kangatang_55"/>
      <sheetName val="Kangatang_56"/>
      <sheetName val="Kangatang_57"/>
      <sheetName val="Kangatang_58"/>
      <sheetName val="Kangatang_59"/>
      <sheetName val="Kangatang_60"/>
      <sheetName val="Kangatang_61"/>
      <sheetName val="Kangatang_62"/>
      <sheetName val="Kangatang_63"/>
      <sheetName val="Kangatang_64"/>
      <sheetName val="Kangatang_65"/>
      <sheetName val="Kangatang_66"/>
      <sheetName val="Kangatang_67"/>
      <sheetName val="Kangatang_68"/>
      <sheetName val="Kangatang_69"/>
      <sheetName val="Kangatang_70"/>
      <sheetName val="Kangatang_71"/>
      <sheetName val="Kangatang_72"/>
      <sheetName val="Kangatang_73"/>
      <sheetName val="Kangatang_74"/>
      <sheetName val="Kangatang_75"/>
      <sheetName val="Kangatang_76"/>
      <sheetName val="Kangatang_77"/>
      <sheetName val="Kangatang_78"/>
      <sheetName val="Kangatang_79"/>
      <sheetName val="TK"/>
      <sheetName val="báo cáo"/>
      <sheetName val="TH2"/>
      <sheetName val="Dịch vụ Cốt lõi"/>
      <sheetName val="Dịch vụ số"/>
      <sheetName val="Sản lượng"/>
      <sheetName val="phathuy"/>
      <sheetName val="Q.lý dịch vụ_KHDN"/>
      <sheetName val="Đánh giá hồ sơ"/>
      <sheetName val="Sheet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ow r="7">
          <cell r="B7" t="str">
            <v>P01</v>
          </cell>
        </row>
        <row r="8">
          <cell r="B8" t="str">
            <v>P02</v>
          </cell>
        </row>
        <row r="9">
          <cell r="B9" t="str">
            <v>P03</v>
          </cell>
        </row>
        <row r="10">
          <cell r="B10" t="str">
            <v>P04</v>
          </cell>
        </row>
        <row r="11">
          <cell r="B11" t="str">
            <v>P05</v>
          </cell>
        </row>
        <row r="12">
          <cell r="B12" t="str">
            <v>P06</v>
          </cell>
        </row>
        <row r="13">
          <cell r="B13" t="str">
            <v>P07</v>
          </cell>
        </row>
        <row r="14">
          <cell r="B14" t="str">
            <v>P08</v>
          </cell>
        </row>
        <row r="15">
          <cell r="B15" t="str">
            <v>P09</v>
          </cell>
        </row>
        <row r="16">
          <cell r="B16" t="str">
            <v>P10</v>
          </cell>
        </row>
        <row r="17">
          <cell r="B17" t="str">
            <v>P11</v>
          </cell>
        </row>
      </sheetData>
      <sheetData sheetId="81">
        <row r="2">
          <cell r="K2" t="str">
            <v>Hiện hữu</v>
          </cell>
          <cell r="L2" t="str">
            <v>Dịch vụ di động trả trước</v>
          </cell>
          <cell r="N2" t="str">
            <v>Dịch vụ Di động trả sau</v>
          </cell>
          <cell r="P2" t="str">
            <v>Dịch vụ băng rộng cố định</v>
          </cell>
          <cell r="R2" t="str">
            <v>Dịch vụ điện thoại cố định</v>
          </cell>
          <cell r="T2" t="str">
            <v>Video, truyền hình trả tiền</v>
          </cell>
          <cell r="V2" t="str">
            <v>VNPT CA</v>
          </cell>
          <cell r="W2" t="str">
            <v>Hóa đơn điện tử (VNPT Invoice)</v>
          </cell>
          <cell r="X2" t="str">
            <v>Giáo dục số</v>
          </cell>
          <cell r="Y2" t="str">
            <v>Y tế số</v>
          </cell>
          <cell r="Z2" t="str">
            <v>Dịch vụ I-Van (BHXH)</v>
          </cell>
          <cell r="AA2" t="str">
            <v>Dịch vụ công nghệ thông tin khác</v>
          </cell>
          <cell r="AB2" t="str">
            <v>Truyền số liệu</v>
          </cell>
          <cell r="AC2" t="str">
            <v>Internet trực tiếp</v>
          </cell>
          <cell r="AD2" t="str">
            <v>SMS brandname</v>
          </cell>
          <cell r="AE2" t="str">
            <v>Dịch vụ Viễn thông còn lại (là cột C sheet lương sản lượng)</v>
          </cell>
          <cell r="AF2" t="str">
            <v>Sản phẩm dịch vụ khác (trong đó có truyền thông)</v>
          </cell>
          <cell r="AG2" t="str">
            <v>SPDV kinh doanh thương mại</v>
          </cell>
          <cell r="AH2" t="str">
            <v>Lương BR Gia hạn
(anh Tuấn tính vào lương KK)</v>
          </cell>
          <cell r="AI2" t="str">
            <v>Lương BR đóng cước trước hạn
(anh Tuấn tính vào lương đơn giá)</v>
          </cell>
          <cell r="AJ2" t="str">
            <v>Lương khuyến khích (thu cước)
sheet SL cột D)</v>
          </cell>
          <cell r="AK2" t="str">
            <v>Quản lý dịch vụ phòng KHDN</v>
          </cell>
        </row>
        <row r="3">
          <cell r="L3" t="str">
            <v>Tăng mới</v>
          </cell>
          <cell r="M3" t="str">
            <v>Gia hạn</v>
          </cell>
          <cell r="N3" t="str">
            <v>Tăng mới</v>
          </cell>
          <cell r="O3" t="str">
            <v>Gia hạn</v>
          </cell>
          <cell r="P3" t="str">
            <v>Tăng mới</v>
          </cell>
          <cell r="Q3" t="str">
            <v>Gia hạn</v>
          </cell>
          <cell r="R3" t="str">
            <v>Tăng mới</v>
          </cell>
          <cell r="S3" t="str">
            <v>Gia hạn</v>
          </cell>
          <cell r="T3" t="str">
            <v>Tăng mới</v>
          </cell>
          <cell r="U3" t="str">
            <v>Gia hạn</v>
          </cell>
          <cell r="AY3" t="str">
            <v>MyTV</v>
          </cell>
        </row>
        <row r="5">
          <cell r="K5">
            <v>10</v>
          </cell>
          <cell r="L5">
            <v>11</v>
          </cell>
          <cell r="M5">
            <v>12</v>
          </cell>
          <cell r="N5">
            <v>13</v>
          </cell>
          <cell r="O5">
            <v>14</v>
          </cell>
          <cell r="P5">
            <v>15</v>
          </cell>
          <cell r="Q5">
            <v>16</v>
          </cell>
          <cell r="R5">
            <v>17</v>
          </cell>
          <cell r="S5">
            <v>18</v>
          </cell>
          <cell r="T5">
            <v>19</v>
          </cell>
          <cell r="U5">
            <v>20</v>
          </cell>
          <cell r="V5">
            <v>21</v>
          </cell>
          <cell r="W5">
            <v>22</v>
          </cell>
          <cell r="X5">
            <v>23</v>
          </cell>
          <cell r="Y5">
            <v>24</v>
          </cell>
          <cell r="Z5">
            <v>25</v>
          </cell>
          <cell r="AA5">
            <v>26</v>
          </cell>
          <cell r="AB5">
            <v>27</v>
          </cell>
          <cell r="AC5">
            <v>28</v>
          </cell>
          <cell r="AD5">
            <v>29</v>
          </cell>
          <cell r="AE5">
            <v>30</v>
          </cell>
          <cell r="AF5">
            <v>31</v>
          </cell>
          <cell r="AG5">
            <v>32</v>
          </cell>
          <cell r="AH5">
            <v>33</v>
          </cell>
          <cell r="AI5">
            <v>34</v>
          </cell>
          <cell r="AJ5">
            <v>35</v>
          </cell>
          <cell r="AK5">
            <v>36</v>
          </cell>
          <cell r="AY5">
            <v>50</v>
          </cell>
        </row>
        <row r="6">
          <cell r="AY6">
            <v>3156250</v>
          </cell>
        </row>
        <row r="7">
          <cell r="K7">
            <v>69069366.0942754</v>
          </cell>
          <cell r="L7">
            <v>104567849.13341469</v>
          </cell>
          <cell r="M7">
            <v>14899031.066061243</v>
          </cell>
          <cell r="N7">
            <v>9627050.6071739476</v>
          </cell>
          <cell r="O7">
            <v>0</v>
          </cell>
          <cell r="P7">
            <v>53757868.673435159</v>
          </cell>
          <cell r="Q7">
            <v>0</v>
          </cell>
          <cell r="R7">
            <v>25962.80479905006</v>
          </cell>
          <cell r="S7">
            <v>0</v>
          </cell>
          <cell r="T7">
            <v>3068691.2939300658</v>
          </cell>
          <cell r="U7">
            <v>0</v>
          </cell>
          <cell r="V7">
            <v>12319941.916059274</v>
          </cell>
          <cell r="W7">
            <v>3431054.9806399997</v>
          </cell>
          <cell r="X7">
            <v>7511023.33983</v>
          </cell>
          <cell r="Y7">
            <v>4892769.2454545451</v>
          </cell>
          <cell r="Z7">
            <v>837499.75</v>
          </cell>
          <cell r="AA7">
            <v>17030242.399999999</v>
          </cell>
          <cell r="AB7">
            <v>0</v>
          </cell>
          <cell r="AC7">
            <v>0</v>
          </cell>
          <cell r="AD7">
            <v>0</v>
          </cell>
          <cell r="AE7">
            <v>18058456.327637438</v>
          </cell>
          <cell r="AF7">
            <v>0</v>
          </cell>
          <cell r="AG7">
            <v>9091427.9967123065</v>
          </cell>
          <cell r="AH7">
            <v>14510520.455077073</v>
          </cell>
          <cell r="AI7">
            <v>4625053.2297395458</v>
          </cell>
          <cell r="AJ7">
            <v>23156913.732049316</v>
          </cell>
          <cell r="AK7">
            <v>0</v>
          </cell>
          <cell r="AY7">
            <v>3021875</v>
          </cell>
        </row>
        <row r="8">
          <cell r="F8" t="str">
            <v>P02</v>
          </cell>
          <cell r="K8">
            <v>0</v>
          </cell>
          <cell r="L8">
            <v>4867128.2907763999</v>
          </cell>
          <cell r="M8">
            <v>0</v>
          </cell>
          <cell r="N8">
            <v>753670.94649675791</v>
          </cell>
          <cell r="P8">
            <v>658901.15843076678</v>
          </cell>
          <cell r="R8">
            <v>0</v>
          </cell>
          <cell r="T8">
            <v>26398.558150157558</v>
          </cell>
          <cell r="V8">
            <v>0</v>
          </cell>
          <cell r="W8">
            <v>0</v>
          </cell>
          <cell r="X8">
            <v>0</v>
          </cell>
          <cell r="Y8">
            <v>0</v>
          </cell>
          <cell r="Z8">
            <v>0</v>
          </cell>
          <cell r="AA8">
            <v>0</v>
          </cell>
          <cell r="AB8">
            <v>0</v>
          </cell>
          <cell r="AC8">
            <v>0</v>
          </cell>
          <cell r="AD8">
            <v>0</v>
          </cell>
          <cell r="AE8">
            <v>145190.61791968736</v>
          </cell>
          <cell r="AF8">
            <v>0</v>
          </cell>
          <cell r="AG8">
            <v>181990.63193761132</v>
          </cell>
          <cell r="AH8">
            <v>143651.62640786226</v>
          </cell>
          <cell r="AI8">
            <v>69691.496601449937</v>
          </cell>
          <cell r="AJ8">
            <v>0</v>
          </cell>
          <cell r="AK8">
            <v>0</v>
          </cell>
          <cell r="AY8">
            <v>84375</v>
          </cell>
          <cell r="BL8">
            <v>90000</v>
          </cell>
        </row>
        <row r="9">
          <cell r="F9" t="str">
            <v>P02</v>
          </cell>
          <cell r="K9">
            <v>0</v>
          </cell>
          <cell r="L9">
            <v>2463255.6267527761</v>
          </cell>
          <cell r="M9">
            <v>11087.723521800124</v>
          </cell>
          <cell r="N9">
            <v>107705.30418518248</v>
          </cell>
          <cell r="P9">
            <v>685298.74864347151</v>
          </cell>
          <cell r="R9">
            <v>0</v>
          </cell>
          <cell r="T9">
            <v>0</v>
          </cell>
          <cell r="V9">
            <v>0</v>
          </cell>
          <cell r="W9">
            <v>0</v>
          </cell>
          <cell r="X9">
            <v>0</v>
          </cell>
          <cell r="Y9">
            <v>0</v>
          </cell>
          <cell r="Z9">
            <v>0</v>
          </cell>
          <cell r="AA9">
            <v>0</v>
          </cell>
          <cell r="AB9">
            <v>0</v>
          </cell>
          <cell r="AC9">
            <v>0</v>
          </cell>
          <cell r="AD9">
            <v>0</v>
          </cell>
          <cell r="AE9">
            <v>179068.42876761442</v>
          </cell>
          <cell r="AF9">
            <v>0</v>
          </cell>
          <cell r="AG9">
            <v>125467.92438147703</v>
          </cell>
          <cell r="AH9">
            <v>53324.56477709375</v>
          </cell>
          <cell r="AI9">
            <v>0</v>
          </cell>
          <cell r="AJ9">
            <v>0</v>
          </cell>
          <cell r="AK9">
            <v>0</v>
          </cell>
          <cell r="AY9">
            <v>0</v>
          </cell>
          <cell r="BL9">
            <v>90000</v>
          </cell>
        </row>
        <row r="10">
          <cell r="F10" t="str">
            <v>P02</v>
          </cell>
          <cell r="K10">
            <v>0</v>
          </cell>
          <cell r="L10">
            <v>0</v>
          </cell>
          <cell r="M10">
            <v>0</v>
          </cell>
          <cell r="N10">
            <v>0</v>
          </cell>
          <cell r="P10">
            <v>0</v>
          </cell>
          <cell r="R10">
            <v>0</v>
          </cell>
          <cell r="T10">
            <v>0</v>
          </cell>
          <cell r="V10">
            <v>0</v>
          </cell>
          <cell r="W10">
            <v>0</v>
          </cell>
          <cell r="X10">
            <v>0</v>
          </cell>
          <cell r="Y10">
            <v>0</v>
          </cell>
          <cell r="Z10">
            <v>0</v>
          </cell>
          <cell r="AA10">
            <v>0</v>
          </cell>
          <cell r="AB10">
            <v>0</v>
          </cell>
          <cell r="AC10">
            <v>0</v>
          </cell>
          <cell r="AD10">
            <v>0</v>
          </cell>
          <cell r="AE10">
            <v>1628070.7956060944</v>
          </cell>
          <cell r="AF10">
            <v>0</v>
          </cell>
          <cell r="AG10">
            <v>0</v>
          </cell>
          <cell r="AH10">
            <v>104273.26900004785</v>
          </cell>
          <cell r="AI10">
            <v>0</v>
          </cell>
          <cell r="AJ10">
            <v>0</v>
          </cell>
          <cell r="AK10">
            <v>0</v>
          </cell>
          <cell r="AY10">
            <v>0</v>
          </cell>
          <cell r="BL10">
            <v>0</v>
          </cell>
        </row>
        <row r="11">
          <cell r="F11" t="str">
            <v>P02</v>
          </cell>
          <cell r="K11">
            <v>0</v>
          </cell>
          <cell r="L11">
            <v>2450398.5135672614</v>
          </cell>
          <cell r="M11">
            <v>0</v>
          </cell>
          <cell r="N11">
            <v>86586.844840037549</v>
          </cell>
          <cell r="P11">
            <v>632856.86538833333</v>
          </cell>
          <cell r="R11">
            <v>0</v>
          </cell>
          <cell r="T11">
            <v>52797.116300315116</v>
          </cell>
          <cell r="V11">
            <v>0</v>
          </cell>
          <cell r="W11">
            <v>0</v>
          </cell>
          <cell r="X11">
            <v>0</v>
          </cell>
          <cell r="Y11">
            <v>0</v>
          </cell>
          <cell r="Z11">
            <v>0</v>
          </cell>
          <cell r="AA11">
            <v>0</v>
          </cell>
          <cell r="AB11">
            <v>0</v>
          </cell>
          <cell r="AC11">
            <v>0</v>
          </cell>
          <cell r="AD11">
            <v>0</v>
          </cell>
          <cell r="AE11">
            <v>190683.67820118941</v>
          </cell>
          <cell r="AF11">
            <v>0</v>
          </cell>
          <cell r="AG11">
            <v>134878.01871008781</v>
          </cell>
          <cell r="AH11">
            <v>52965.53741710195</v>
          </cell>
          <cell r="AI11">
            <v>43293.209473779163</v>
          </cell>
          <cell r="AJ11">
            <v>0</v>
          </cell>
          <cell r="AK11">
            <v>0</v>
          </cell>
          <cell r="AY11">
            <v>0</v>
          </cell>
          <cell r="BL11">
            <v>0</v>
          </cell>
        </row>
        <row r="12">
          <cell r="F12" t="str">
            <v>P02</v>
          </cell>
          <cell r="K12">
            <v>4760999.7567018252</v>
          </cell>
          <cell r="L12">
            <v>1371944.8662212379</v>
          </cell>
          <cell r="M12">
            <v>0</v>
          </cell>
          <cell r="N12">
            <v>49892.336004468569</v>
          </cell>
          <cell r="P12">
            <v>363240.79172383226</v>
          </cell>
          <cell r="R12">
            <v>0</v>
          </cell>
          <cell r="T12">
            <v>0</v>
          </cell>
          <cell r="V12">
            <v>0</v>
          </cell>
          <cell r="W12">
            <v>0</v>
          </cell>
          <cell r="X12">
            <v>0</v>
          </cell>
          <cell r="Y12">
            <v>0</v>
          </cell>
          <cell r="Z12">
            <v>0</v>
          </cell>
          <cell r="AA12">
            <v>0</v>
          </cell>
          <cell r="AB12">
            <v>0</v>
          </cell>
          <cell r="AC12">
            <v>0</v>
          </cell>
          <cell r="AD12">
            <v>0</v>
          </cell>
          <cell r="AE12">
            <v>392014.66838315589</v>
          </cell>
          <cell r="AF12">
            <v>0</v>
          </cell>
          <cell r="AG12">
            <v>47050.47164305389</v>
          </cell>
          <cell r="AH12">
            <v>15680.586735326235</v>
          </cell>
          <cell r="AI12">
            <v>38013.536561245761</v>
          </cell>
          <cell r="AJ12">
            <v>0</v>
          </cell>
          <cell r="AK12">
            <v>0</v>
          </cell>
          <cell r="AY12">
            <v>0</v>
          </cell>
          <cell r="BL12">
            <v>0</v>
          </cell>
        </row>
        <row r="13">
          <cell r="F13" t="str">
            <v>P02</v>
          </cell>
          <cell r="K13">
            <v>0</v>
          </cell>
          <cell r="L13">
            <v>2008373.4208103954</v>
          </cell>
          <cell r="M13">
            <v>0</v>
          </cell>
          <cell r="N13">
            <v>149414.69696369747</v>
          </cell>
          <cell r="P13">
            <v>114040.45481374484</v>
          </cell>
          <cell r="R13">
            <v>0</v>
          </cell>
          <cell r="T13">
            <v>26398.558150157558</v>
          </cell>
          <cell r="V13">
            <v>0</v>
          </cell>
          <cell r="W13">
            <v>0</v>
          </cell>
          <cell r="X13">
            <v>0</v>
          </cell>
          <cell r="Y13">
            <v>0</v>
          </cell>
          <cell r="Z13">
            <v>0</v>
          </cell>
          <cell r="AA13">
            <v>0</v>
          </cell>
          <cell r="AB13">
            <v>0</v>
          </cell>
          <cell r="AC13">
            <v>0</v>
          </cell>
          <cell r="AD13">
            <v>0</v>
          </cell>
          <cell r="AE13">
            <v>232304.98867149977</v>
          </cell>
          <cell r="AF13">
            <v>0</v>
          </cell>
          <cell r="AG13">
            <v>156175.15930901922</v>
          </cell>
          <cell r="AH13">
            <v>122743.6111840174</v>
          </cell>
          <cell r="AI13">
            <v>34845.748300724968</v>
          </cell>
          <cell r="AJ13">
            <v>0</v>
          </cell>
          <cell r="AK13">
            <v>0</v>
          </cell>
          <cell r="AY13">
            <v>0</v>
          </cell>
          <cell r="BL13">
            <v>90000</v>
          </cell>
        </row>
        <row r="14">
          <cell r="F14" t="str">
            <v>P02</v>
          </cell>
          <cell r="K14">
            <v>0</v>
          </cell>
          <cell r="L14">
            <v>2047736.5332033283</v>
          </cell>
          <cell r="M14">
            <v>0</v>
          </cell>
          <cell r="N14">
            <v>356112.90032142837</v>
          </cell>
          <cell r="P14">
            <v>860585.44578300451</v>
          </cell>
          <cell r="R14">
            <v>0</v>
          </cell>
          <cell r="T14">
            <v>26398.558150157558</v>
          </cell>
          <cell r="V14">
            <v>0</v>
          </cell>
          <cell r="W14">
            <v>0</v>
          </cell>
          <cell r="X14">
            <v>0</v>
          </cell>
          <cell r="Y14">
            <v>0</v>
          </cell>
          <cell r="Z14">
            <v>0</v>
          </cell>
          <cell r="AA14">
            <v>0</v>
          </cell>
          <cell r="AB14">
            <v>0</v>
          </cell>
          <cell r="AC14">
            <v>0</v>
          </cell>
          <cell r="AD14">
            <v>0</v>
          </cell>
          <cell r="AE14">
            <v>58076.247167874943</v>
          </cell>
          <cell r="AF14">
            <v>0</v>
          </cell>
          <cell r="AG14">
            <v>150073.95916279813</v>
          </cell>
          <cell r="AH14">
            <v>129636.72935724513</v>
          </cell>
          <cell r="AI14">
            <v>69691.496601449937</v>
          </cell>
          <cell r="AJ14">
            <v>0</v>
          </cell>
          <cell r="AK14">
            <v>0</v>
          </cell>
          <cell r="AY14">
            <v>0</v>
          </cell>
          <cell r="BL14">
            <v>0</v>
          </cell>
        </row>
        <row r="15">
          <cell r="F15" t="str">
            <v>P02</v>
          </cell>
          <cell r="K15">
            <v>0</v>
          </cell>
          <cell r="L15">
            <v>2013551.8861828642</v>
          </cell>
          <cell r="M15">
            <v>0</v>
          </cell>
          <cell r="N15">
            <v>338954.27309567976</v>
          </cell>
          <cell r="P15">
            <v>347402.43118369993</v>
          </cell>
          <cell r="R15">
            <v>0</v>
          </cell>
          <cell r="T15">
            <v>49276.727784489092</v>
          </cell>
          <cell r="V15">
            <v>0</v>
          </cell>
          <cell r="W15">
            <v>0</v>
          </cell>
          <cell r="X15">
            <v>0</v>
          </cell>
          <cell r="Y15">
            <v>0</v>
          </cell>
          <cell r="Z15">
            <v>0</v>
          </cell>
          <cell r="AA15">
            <v>0</v>
          </cell>
          <cell r="AB15">
            <v>0</v>
          </cell>
          <cell r="AC15">
            <v>0</v>
          </cell>
          <cell r="AD15">
            <v>0</v>
          </cell>
          <cell r="AE15">
            <v>140350.9306556978</v>
          </cell>
          <cell r="AF15">
            <v>0</v>
          </cell>
          <cell r="AG15">
            <v>150073.95916279813</v>
          </cell>
          <cell r="AH15">
            <v>48784.047621014965</v>
          </cell>
          <cell r="AI15">
            <v>0</v>
          </cell>
          <cell r="AJ15">
            <v>0</v>
          </cell>
          <cell r="AK15">
            <v>0</v>
          </cell>
          <cell r="AY15">
            <v>0</v>
          </cell>
          <cell r="BL15">
            <v>0</v>
          </cell>
        </row>
        <row r="16">
          <cell r="F16" t="str">
            <v>P02</v>
          </cell>
          <cell r="K16">
            <v>0</v>
          </cell>
          <cell r="L16">
            <v>0</v>
          </cell>
          <cell r="M16">
            <v>0</v>
          </cell>
          <cell r="N16">
            <v>41973.639703128822</v>
          </cell>
          <cell r="P16">
            <v>-8535.2724587720204</v>
          </cell>
          <cell r="R16">
            <v>0</v>
          </cell>
          <cell r="T16">
            <v>0</v>
          </cell>
          <cell r="V16">
            <v>0</v>
          </cell>
          <cell r="W16">
            <v>0</v>
          </cell>
          <cell r="X16">
            <v>0</v>
          </cell>
          <cell r="Y16">
            <v>0</v>
          </cell>
          <cell r="Z16">
            <v>0</v>
          </cell>
          <cell r="AA16">
            <v>0</v>
          </cell>
          <cell r="AB16">
            <v>0</v>
          </cell>
          <cell r="AC16">
            <v>0</v>
          </cell>
          <cell r="AD16">
            <v>0</v>
          </cell>
          <cell r="AE16">
            <v>95825.807826993667</v>
          </cell>
          <cell r="AF16">
            <v>0</v>
          </cell>
          <cell r="AG16">
            <v>0</v>
          </cell>
          <cell r="AH16">
            <v>881399.52267705533</v>
          </cell>
          <cell r="AI16">
            <v>67410.687505175039</v>
          </cell>
          <cell r="AJ16">
            <v>0</v>
          </cell>
          <cell r="AK16">
            <v>0</v>
          </cell>
          <cell r="AY16">
            <v>0</v>
          </cell>
          <cell r="BL16">
            <v>0</v>
          </cell>
        </row>
        <row r="17">
          <cell r="F17" t="str">
            <v>P02</v>
          </cell>
          <cell r="K17">
            <v>0</v>
          </cell>
          <cell r="L17">
            <v>1656334.5692277935</v>
          </cell>
          <cell r="M17">
            <v>0</v>
          </cell>
          <cell r="N17">
            <v>49980.41831267318</v>
          </cell>
          <cell r="P17">
            <v>48889.55280336993</v>
          </cell>
          <cell r="R17">
            <v>0</v>
          </cell>
          <cell r="T17">
            <v>22878.169634331538</v>
          </cell>
          <cell r="V17">
            <v>0</v>
          </cell>
          <cell r="W17">
            <v>0</v>
          </cell>
          <cell r="X17">
            <v>0</v>
          </cell>
          <cell r="Y17">
            <v>0</v>
          </cell>
          <cell r="Z17">
            <v>0</v>
          </cell>
          <cell r="AA17">
            <v>0</v>
          </cell>
          <cell r="AB17">
            <v>0</v>
          </cell>
          <cell r="AC17">
            <v>0</v>
          </cell>
          <cell r="AD17">
            <v>0</v>
          </cell>
          <cell r="AE17">
            <v>9679.3745279791583</v>
          </cell>
          <cell r="AF17">
            <v>0</v>
          </cell>
          <cell r="AG17">
            <v>125467.92438147703</v>
          </cell>
          <cell r="AH17">
            <v>0</v>
          </cell>
          <cell r="AI17">
            <v>0</v>
          </cell>
          <cell r="AJ17">
            <v>0</v>
          </cell>
          <cell r="AK17">
            <v>0</v>
          </cell>
          <cell r="AY17">
            <v>0</v>
          </cell>
          <cell r="BL17">
            <v>0</v>
          </cell>
        </row>
        <row r="18">
          <cell r="F18" t="str">
            <v>P02</v>
          </cell>
          <cell r="K18">
            <v>0</v>
          </cell>
          <cell r="L18">
            <v>2171277.2941162847</v>
          </cell>
          <cell r="M18">
            <v>0</v>
          </cell>
          <cell r="N18">
            <v>57812.000243261115</v>
          </cell>
          <cell r="P18">
            <v>627224.43735050224</v>
          </cell>
          <cell r="R18">
            <v>0</v>
          </cell>
          <cell r="T18">
            <v>49276.727784489092</v>
          </cell>
          <cell r="V18">
            <v>0</v>
          </cell>
          <cell r="W18">
            <v>0</v>
          </cell>
          <cell r="X18">
            <v>0</v>
          </cell>
          <cell r="Y18">
            <v>0</v>
          </cell>
          <cell r="Z18">
            <v>0</v>
          </cell>
          <cell r="AA18">
            <v>0</v>
          </cell>
          <cell r="AB18">
            <v>0</v>
          </cell>
          <cell r="AC18">
            <v>0</v>
          </cell>
          <cell r="AD18">
            <v>0</v>
          </cell>
          <cell r="AE18">
            <v>221657.6766907227</v>
          </cell>
          <cell r="AF18">
            <v>0</v>
          </cell>
          <cell r="AG18">
            <v>217284.1481040006</v>
          </cell>
          <cell r="AH18">
            <v>32469.907105334372</v>
          </cell>
          <cell r="AI18">
            <v>0</v>
          </cell>
          <cell r="AJ18">
            <v>0</v>
          </cell>
          <cell r="AK18">
            <v>0</v>
          </cell>
          <cell r="AY18">
            <v>0</v>
          </cell>
          <cell r="BL18">
            <v>0</v>
          </cell>
        </row>
        <row r="19">
          <cell r="F19" t="str">
            <v>P03</v>
          </cell>
          <cell r="K19">
            <v>0</v>
          </cell>
          <cell r="L19">
            <v>0</v>
          </cell>
          <cell r="M19">
            <v>0</v>
          </cell>
          <cell r="N19">
            <v>26930.585395958857</v>
          </cell>
          <cell r="P19">
            <v>0</v>
          </cell>
          <cell r="R19">
            <v>0</v>
          </cell>
          <cell r="T19">
            <v>0</v>
          </cell>
          <cell r="V19">
            <v>0</v>
          </cell>
          <cell r="W19">
            <v>0</v>
          </cell>
          <cell r="X19">
            <v>0</v>
          </cell>
          <cell r="Y19">
            <v>0</v>
          </cell>
          <cell r="Z19">
            <v>0</v>
          </cell>
          <cell r="AA19">
            <v>0</v>
          </cell>
          <cell r="AB19">
            <v>0</v>
          </cell>
          <cell r="AC19">
            <v>0</v>
          </cell>
          <cell r="AD19">
            <v>0</v>
          </cell>
          <cell r="AE19">
            <v>847227.7442794228</v>
          </cell>
          <cell r="AF19">
            <v>0</v>
          </cell>
          <cell r="AG19">
            <v>0</v>
          </cell>
          <cell r="AH19">
            <v>0</v>
          </cell>
          <cell r="AI19">
            <v>0</v>
          </cell>
          <cell r="AJ19">
            <v>0</v>
          </cell>
          <cell r="AK19">
            <v>0</v>
          </cell>
          <cell r="AY19">
            <v>0</v>
          </cell>
          <cell r="BL19">
            <v>0</v>
          </cell>
        </row>
        <row r="20">
          <cell r="F20" t="str">
            <v>P03</v>
          </cell>
          <cell r="K20">
            <v>0</v>
          </cell>
          <cell r="L20">
            <v>0</v>
          </cell>
          <cell r="M20">
            <v>0</v>
          </cell>
          <cell r="N20">
            <v>0</v>
          </cell>
          <cell r="P20">
            <v>0</v>
          </cell>
          <cell r="R20">
            <v>0</v>
          </cell>
          <cell r="T20">
            <v>0</v>
          </cell>
          <cell r="V20">
            <v>0</v>
          </cell>
          <cell r="W20">
            <v>0</v>
          </cell>
          <cell r="X20">
            <v>0</v>
          </cell>
          <cell r="Y20">
            <v>0</v>
          </cell>
          <cell r="Z20">
            <v>0</v>
          </cell>
          <cell r="AA20">
            <v>0</v>
          </cell>
          <cell r="AB20">
            <v>0</v>
          </cell>
          <cell r="AC20">
            <v>0</v>
          </cell>
          <cell r="AD20">
            <v>0</v>
          </cell>
          <cell r="AE20">
            <v>1277753.7308829525</v>
          </cell>
          <cell r="AF20">
            <v>0</v>
          </cell>
          <cell r="AG20">
            <v>0</v>
          </cell>
          <cell r="AH20">
            <v>0</v>
          </cell>
          <cell r="AI20">
            <v>0</v>
          </cell>
          <cell r="AJ20">
            <v>0</v>
          </cell>
          <cell r="AK20">
            <v>0</v>
          </cell>
          <cell r="AY20">
            <v>0</v>
          </cell>
          <cell r="BL20">
            <v>0</v>
          </cell>
        </row>
        <row r="21">
          <cell r="F21" t="str">
            <v>P03</v>
          </cell>
          <cell r="K21">
            <v>3137733.1935000001</v>
          </cell>
          <cell r="L21">
            <v>255217.05</v>
          </cell>
          <cell r="M21">
            <v>0</v>
          </cell>
          <cell r="N21">
            <v>350042.27849999996</v>
          </cell>
          <cell r="P21">
            <v>694340.44559999998</v>
          </cell>
          <cell r="R21">
            <v>0</v>
          </cell>
          <cell r="T21">
            <v>64982.111399999994</v>
          </cell>
          <cell r="V21">
            <v>0</v>
          </cell>
          <cell r="W21">
            <v>0</v>
          </cell>
          <cell r="X21">
            <v>0</v>
          </cell>
          <cell r="Y21">
            <v>0</v>
          </cell>
          <cell r="Z21">
            <v>0</v>
          </cell>
          <cell r="AA21">
            <v>0</v>
          </cell>
          <cell r="AB21">
            <v>0</v>
          </cell>
          <cell r="AC21">
            <v>0</v>
          </cell>
          <cell r="AD21">
            <v>0</v>
          </cell>
          <cell r="AE21">
            <v>49365</v>
          </cell>
          <cell r="AF21">
            <v>0</v>
          </cell>
          <cell r="AG21">
            <v>31994.443799999997</v>
          </cell>
          <cell r="AH21">
            <v>710948.64823199995</v>
          </cell>
          <cell r="AI21">
            <v>79702.043544</v>
          </cell>
          <cell r="AJ21">
            <v>928062</v>
          </cell>
          <cell r="AK21">
            <v>0</v>
          </cell>
          <cell r="AY21">
            <v>137500</v>
          </cell>
          <cell r="BL21">
            <v>120000</v>
          </cell>
        </row>
        <row r="22">
          <cell r="F22" t="str">
            <v>P03</v>
          </cell>
          <cell r="K22">
            <v>2834168.4243999999</v>
          </cell>
          <cell r="L22">
            <v>295140</v>
          </cell>
          <cell r="M22">
            <v>0</v>
          </cell>
          <cell r="N22">
            <v>268308.82260000001</v>
          </cell>
          <cell r="P22">
            <v>3951575.3510000003</v>
          </cell>
          <cell r="R22">
            <v>0</v>
          </cell>
          <cell r="T22">
            <v>194969.484</v>
          </cell>
          <cell r="V22">
            <v>0</v>
          </cell>
          <cell r="W22">
            <v>7154.9806400000007</v>
          </cell>
          <cell r="X22">
            <v>1430.9818181818182</v>
          </cell>
          <cell r="Y22">
            <v>0</v>
          </cell>
          <cell r="Z22">
            <v>0</v>
          </cell>
          <cell r="AA22">
            <v>0</v>
          </cell>
          <cell r="AB22">
            <v>0</v>
          </cell>
          <cell r="AC22">
            <v>0</v>
          </cell>
          <cell r="AD22">
            <v>0</v>
          </cell>
          <cell r="AE22">
            <v>98380</v>
          </cell>
          <cell r="AF22">
            <v>0</v>
          </cell>
          <cell r="AG22">
            <v>31881.022799999999</v>
          </cell>
          <cell r="AH22">
            <v>230320.11853099999</v>
          </cell>
          <cell r="AI22">
            <v>321012.12980800006</v>
          </cell>
          <cell r="AJ22">
            <v>47222.400000000001</v>
          </cell>
          <cell r="AK22">
            <v>0</v>
          </cell>
          <cell r="AY22">
            <v>0</v>
          </cell>
          <cell r="BL22">
            <v>60000</v>
          </cell>
        </row>
        <row r="23">
          <cell r="F23" t="str">
            <v>P03</v>
          </cell>
          <cell r="K23">
            <v>0</v>
          </cell>
          <cell r="L23">
            <v>1642219.6521108486</v>
          </cell>
          <cell r="M23">
            <v>0</v>
          </cell>
          <cell r="N23">
            <v>131958.18978382862</v>
          </cell>
          <cell r="P23">
            <v>11849.339080831089</v>
          </cell>
          <cell r="R23">
            <v>0</v>
          </cell>
          <cell r="T23">
            <v>0</v>
          </cell>
          <cell r="V23">
            <v>0</v>
          </cell>
          <cell r="W23">
            <v>0</v>
          </cell>
          <cell r="X23">
            <v>0</v>
          </cell>
          <cell r="Y23">
            <v>0</v>
          </cell>
          <cell r="Z23">
            <v>0</v>
          </cell>
          <cell r="AA23">
            <v>0</v>
          </cell>
          <cell r="AB23">
            <v>0</v>
          </cell>
          <cell r="AC23">
            <v>0</v>
          </cell>
          <cell r="AD23">
            <v>0</v>
          </cell>
          <cell r="AE23">
            <v>227112.33238259587</v>
          </cell>
          <cell r="AF23">
            <v>0</v>
          </cell>
          <cell r="AG23">
            <v>305576.08841905848</v>
          </cell>
          <cell r="AH23">
            <v>438110.38813177246</v>
          </cell>
          <cell r="AI23">
            <v>0</v>
          </cell>
          <cell r="AJ23">
            <v>0</v>
          </cell>
          <cell r="AK23">
            <v>0</v>
          </cell>
          <cell r="AY23">
            <v>0</v>
          </cell>
          <cell r="BL23">
            <v>0</v>
          </cell>
        </row>
        <row r="24">
          <cell r="F24" t="str">
            <v>P03</v>
          </cell>
          <cell r="K24">
            <v>0</v>
          </cell>
          <cell r="L24">
            <v>1264521.9689093577</v>
          </cell>
          <cell r="M24">
            <v>0</v>
          </cell>
          <cell r="N24">
            <v>161581.53748590633</v>
          </cell>
          <cell r="P24">
            <v>671032.02192715812</v>
          </cell>
          <cell r="R24">
            <v>0</v>
          </cell>
          <cell r="T24">
            <v>41292.971806849535</v>
          </cell>
          <cell r="V24">
            <v>0</v>
          </cell>
          <cell r="W24">
            <v>0</v>
          </cell>
          <cell r="X24">
            <v>0</v>
          </cell>
          <cell r="Y24">
            <v>0</v>
          </cell>
          <cell r="Z24">
            <v>0</v>
          </cell>
          <cell r="AA24">
            <v>0</v>
          </cell>
          <cell r="AB24">
            <v>0</v>
          </cell>
          <cell r="AC24">
            <v>0</v>
          </cell>
          <cell r="AD24">
            <v>0</v>
          </cell>
          <cell r="AE24">
            <v>986457.47847918817</v>
          </cell>
          <cell r="AF24">
            <v>0</v>
          </cell>
          <cell r="AG24">
            <v>205982.6896781502</v>
          </cell>
          <cell r="AH24">
            <v>1074420.8397823039</v>
          </cell>
          <cell r="AI24">
            <v>104116.27171916304</v>
          </cell>
          <cell r="AJ24">
            <v>0</v>
          </cell>
          <cell r="AK24">
            <v>0</v>
          </cell>
          <cell r="AY24">
            <v>131250</v>
          </cell>
          <cell r="BL24">
            <v>0</v>
          </cell>
        </row>
        <row r="25">
          <cell r="F25" t="str">
            <v>P03</v>
          </cell>
          <cell r="K25">
            <v>0</v>
          </cell>
          <cell r="L25">
            <v>1003095.9254385218</v>
          </cell>
          <cell r="M25">
            <v>0</v>
          </cell>
          <cell r="N25">
            <v>241026.41879826176</v>
          </cell>
          <cell r="P25">
            <v>4309.2096457289063</v>
          </cell>
          <cell r="R25">
            <v>0</v>
          </cell>
          <cell r="T25">
            <v>0</v>
          </cell>
          <cell r="V25">
            <v>0</v>
          </cell>
          <cell r="W25">
            <v>0</v>
          </cell>
          <cell r="X25">
            <v>0</v>
          </cell>
          <cell r="Y25">
            <v>0</v>
          </cell>
          <cell r="Z25">
            <v>0</v>
          </cell>
          <cell r="AA25">
            <v>0</v>
          </cell>
          <cell r="AB25">
            <v>0</v>
          </cell>
          <cell r="AC25">
            <v>0</v>
          </cell>
          <cell r="AD25">
            <v>0</v>
          </cell>
          <cell r="AE25">
            <v>72083.479408389117</v>
          </cell>
          <cell r="AF25">
            <v>0</v>
          </cell>
          <cell r="AG25">
            <v>177183.46350914429</v>
          </cell>
          <cell r="AH25">
            <v>399407.62753852183</v>
          </cell>
          <cell r="AI25">
            <v>132884.96609113735</v>
          </cell>
          <cell r="AJ25">
            <v>0</v>
          </cell>
          <cell r="AK25">
            <v>0</v>
          </cell>
          <cell r="AY25">
            <v>162500</v>
          </cell>
          <cell r="BL25">
            <v>90000</v>
          </cell>
        </row>
        <row r="26">
          <cell r="F26" t="str">
            <v>P03</v>
          </cell>
          <cell r="K26">
            <v>3088279.4204080789</v>
          </cell>
          <cell r="L26">
            <v>5369774.8657094585</v>
          </cell>
          <cell r="M26">
            <v>0</v>
          </cell>
          <cell r="N26">
            <v>269302.89162481838</v>
          </cell>
          <cell r="P26">
            <v>0</v>
          </cell>
          <cell r="R26">
            <v>0</v>
          </cell>
          <cell r="T26">
            <v>0</v>
          </cell>
          <cell r="V26">
            <v>0</v>
          </cell>
          <cell r="W26">
            <v>0</v>
          </cell>
          <cell r="X26">
            <v>0</v>
          </cell>
          <cell r="Y26">
            <v>0</v>
          </cell>
          <cell r="Z26">
            <v>0</v>
          </cell>
          <cell r="AA26">
            <v>0</v>
          </cell>
          <cell r="AB26">
            <v>0</v>
          </cell>
          <cell r="AC26">
            <v>0</v>
          </cell>
          <cell r="AD26">
            <v>0</v>
          </cell>
          <cell r="AE26">
            <v>464099.11399921763</v>
          </cell>
          <cell r="AF26">
            <v>0</v>
          </cell>
          <cell r="AG26">
            <v>283636.14841046865</v>
          </cell>
          <cell r="AH26">
            <v>48878.523708428242</v>
          </cell>
          <cell r="AI26">
            <v>0</v>
          </cell>
          <cell r="AJ26">
            <v>0</v>
          </cell>
          <cell r="AK26">
            <v>0</v>
          </cell>
          <cell r="AY26">
            <v>0</v>
          </cell>
          <cell r="BL26">
            <v>0</v>
          </cell>
        </row>
        <row r="27">
          <cell r="F27" t="str">
            <v>P03</v>
          </cell>
          <cell r="K27">
            <v>4607025.5616000006</v>
          </cell>
          <cell r="L27">
            <v>186278.39999999999</v>
          </cell>
          <cell r="M27">
            <v>0</v>
          </cell>
          <cell r="N27">
            <v>268799.73119999998</v>
          </cell>
          <cell r="P27">
            <v>3883803.1232000003</v>
          </cell>
          <cell r="R27">
            <v>0</v>
          </cell>
          <cell r="T27">
            <v>186365.13279999999</v>
          </cell>
          <cell r="V27">
            <v>0</v>
          </cell>
          <cell r="W27">
            <v>0</v>
          </cell>
          <cell r="X27">
            <v>0</v>
          </cell>
          <cell r="Y27">
            <v>0</v>
          </cell>
          <cell r="Z27">
            <v>0</v>
          </cell>
          <cell r="AA27">
            <v>0</v>
          </cell>
          <cell r="AB27">
            <v>0</v>
          </cell>
          <cell r="AC27">
            <v>0</v>
          </cell>
          <cell r="AD27">
            <v>0</v>
          </cell>
          <cell r="AE27">
            <v>51251.200000000004</v>
          </cell>
          <cell r="AF27">
            <v>0</v>
          </cell>
          <cell r="AG27">
            <v>31939.353600000002</v>
          </cell>
          <cell r="AH27">
            <v>53484.490751999998</v>
          </cell>
          <cell r="AI27">
            <v>44083.207168000001</v>
          </cell>
          <cell r="AJ27">
            <v>0</v>
          </cell>
          <cell r="AK27">
            <v>0</v>
          </cell>
          <cell r="AY27">
            <v>93750</v>
          </cell>
          <cell r="BL27">
            <v>240000</v>
          </cell>
        </row>
        <row r="28">
          <cell r="F28" t="str">
            <v>P03</v>
          </cell>
          <cell r="K28">
            <v>3063988.2752923751</v>
          </cell>
          <cell r="L28">
            <v>5276905.6706634443</v>
          </cell>
          <cell r="M28">
            <v>0</v>
          </cell>
          <cell r="N28">
            <v>0</v>
          </cell>
          <cell r="P28">
            <v>727119.88102134876</v>
          </cell>
          <cell r="R28">
            <v>0</v>
          </cell>
          <cell r="T28">
            <v>11669.624104771818</v>
          </cell>
          <cell r="V28">
            <v>0</v>
          </cell>
          <cell r="W28">
            <v>0</v>
          </cell>
          <cell r="X28">
            <v>0</v>
          </cell>
          <cell r="Y28">
            <v>0</v>
          </cell>
          <cell r="Z28">
            <v>0</v>
          </cell>
          <cell r="AA28">
            <v>0</v>
          </cell>
          <cell r="AB28">
            <v>0</v>
          </cell>
          <cell r="AC28">
            <v>0</v>
          </cell>
          <cell r="AD28">
            <v>0</v>
          </cell>
          <cell r="AE28">
            <v>360417.3970419456</v>
          </cell>
          <cell r="AF28">
            <v>0</v>
          </cell>
          <cell r="AG28">
            <v>485484.30744983983</v>
          </cell>
          <cell r="AH28">
            <v>0</v>
          </cell>
          <cell r="AI28">
            <v>0</v>
          </cell>
          <cell r="AJ28">
            <v>0</v>
          </cell>
          <cell r="AK28">
            <v>0</v>
          </cell>
          <cell r="AY28">
            <v>0</v>
          </cell>
          <cell r="BL28">
            <v>0</v>
          </cell>
        </row>
        <row r="29">
          <cell r="F29" t="str">
            <v>P03</v>
          </cell>
          <cell r="K29">
            <v>0</v>
          </cell>
          <cell r="L29">
            <v>0</v>
          </cell>
          <cell r="M29">
            <v>0</v>
          </cell>
          <cell r="N29">
            <v>26930.585395958857</v>
          </cell>
          <cell r="P29">
            <v>0</v>
          </cell>
          <cell r="R29">
            <v>0</v>
          </cell>
          <cell r="T29">
            <v>0</v>
          </cell>
          <cell r="V29">
            <v>0</v>
          </cell>
          <cell r="W29">
            <v>0</v>
          </cell>
          <cell r="X29">
            <v>0</v>
          </cell>
          <cell r="Y29">
            <v>0</v>
          </cell>
          <cell r="Z29">
            <v>0</v>
          </cell>
          <cell r="AA29">
            <v>0</v>
          </cell>
          <cell r="AB29">
            <v>0</v>
          </cell>
          <cell r="AC29">
            <v>0</v>
          </cell>
          <cell r="AD29">
            <v>0</v>
          </cell>
          <cell r="AE29">
            <v>587529.72942454147</v>
          </cell>
          <cell r="AF29">
            <v>0</v>
          </cell>
          <cell r="AG29">
            <v>0</v>
          </cell>
          <cell r="AH29">
            <v>502721.6595041157</v>
          </cell>
          <cell r="AI29">
            <v>0</v>
          </cell>
          <cell r="AJ29">
            <v>0</v>
          </cell>
          <cell r="AK29">
            <v>0</v>
          </cell>
          <cell r="AY29">
            <v>0</v>
          </cell>
          <cell r="BL29">
            <v>0</v>
          </cell>
        </row>
        <row r="30">
          <cell r="F30" t="str">
            <v>P03</v>
          </cell>
          <cell r="K30">
            <v>0</v>
          </cell>
          <cell r="L30">
            <v>1331125.1289928623</v>
          </cell>
          <cell r="M30">
            <v>0</v>
          </cell>
          <cell r="N30">
            <v>80790.768742953165</v>
          </cell>
          <cell r="P30">
            <v>8009.1657737184132</v>
          </cell>
          <cell r="R30">
            <v>0</v>
          </cell>
          <cell r="T30">
            <v>0</v>
          </cell>
          <cell r="V30">
            <v>0</v>
          </cell>
          <cell r="W30">
            <v>0</v>
          </cell>
          <cell r="X30">
            <v>0</v>
          </cell>
          <cell r="Y30">
            <v>0</v>
          </cell>
          <cell r="Z30">
            <v>0</v>
          </cell>
          <cell r="AA30">
            <v>0</v>
          </cell>
          <cell r="AB30">
            <v>0</v>
          </cell>
          <cell r="AC30">
            <v>0</v>
          </cell>
          <cell r="AD30">
            <v>0</v>
          </cell>
          <cell r="AE30">
            <v>232049.55699960882</v>
          </cell>
          <cell r="AF30">
            <v>0</v>
          </cell>
          <cell r="AG30">
            <v>266844.44999902294</v>
          </cell>
          <cell r="AH30">
            <v>440289.99012287293</v>
          </cell>
          <cell r="AI30">
            <v>6463.2614994362539</v>
          </cell>
          <cell r="AJ30">
            <v>0</v>
          </cell>
          <cell r="AK30">
            <v>0</v>
          </cell>
          <cell r="AY30">
            <v>0</v>
          </cell>
          <cell r="BL30">
            <v>90000</v>
          </cell>
        </row>
        <row r="31">
          <cell r="F31" t="str">
            <v>P03</v>
          </cell>
          <cell r="K31">
            <v>3876243.2612000001</v>
          </cell>
          <cell r="L31">
            <v>177948</v>
          </cell>
          <cell r="M31">
            <v>0</v>
          </cell>
          <cell r="N31">
            <v>296580</v>
          </cell>
          <cell r="P31">
            <v>2441665.0405999999</v>
          </cell>
          <cell r="R31">
            <v>0</v>
          </cell>
          <cell r="T31">
            <v>185135.122</v>
          </cell>
          <cell r="V31">
            <v>0</v>
          </cell>
          <cell r="W31">
            <v>0</v>
          </cell>
          <cell r="X31">
            <v>89153.5926709091</v>
          </cell>
          <cell r="Y31">
            <v>0</v>
          </cell>
          <cell r="Z31">
            <v>0</v>
          </cell>
          <cell r="AA31">
            <v>0</v>
          </cell>
          <cell r="AB31">
            <v>0</v>
          </cell>
          <cell r="AC31">
            <v>0</v>
          </cell>
          <cell r="AD31">
            <v>0</v>
          </cell>
          <cell r="AE31">
            <v>175970.80000000002</v>
          </cell>
          <cell r="AF31">
            <v>0</v>
          </cell>
          <cell r="AG31">
            <v>0</v>
          </cell>
          <cell r="AH31">
            <v>0</v>
          </cell>
          <cell r="AI31">
            <v>0</v>
          </cell>
          <cell r="AJ31">
            <v>1518489.6000000001</v>
          </cell>
          <cell r="AK31">
            <v>0</v>
          </cell>
          <cell r="AY31">
            <v>356250</v>
          </cell>
          <cell r="BL31">
            <v>0</v>
          </cell>
        </row>
        <row r="32">
          <cell r="F32" t="str">
            <v>P03</v>
          </cell>
          <cell r="K32">
            <v>0</v>
          </cell>
          <cell r="L32">
            <v>142500</v>
          </cell>
          <cell r="M32">
            <v>0</v>
          </cell>
          <cell r="N32">
            <v>163636</v>
          </cell>
          <cell r="P32">
            <v>589092</v>
          </cell>
          <cell r="R32">
            <v>0</v>
          </cell>
          <cell r="T32">
            <v>29090</v>
          </cell>
          <cell r="V32">
            <v>4806545.8499999996</v>
          </cell>
          <cell r="W32">
            <v>1344700</v>
          </cell>
          <cell r="X32">
            <v>2485818.1454545455</v>
          </cell>
          <cell r="Y32">
            <v>1039090.7999999999</v>
          </cell>
          <cell r="Z32">
            <v>0</v>
          </cell>
          <cell r="AA32">
            <v>120000</v>
          </cell>
          <cell r="AB32">
            <v>0</v>
          </cell>
          <cell r="AC32">
            <v>0</v>
          </cell>
          <cell r="AD32">
            <v>0</v>
          </cell>
          <cell r="AE32">
            <v>10000</v>
          </cell>
          <cell r="AF32">
            <v>0</v>
          </cell>
          <cell r="AG32">
            <v>294377.09999999998</v>
          </cell>
          <cell r="AH32">
            <v>0</v>
          </cell>
          <cell r="AI32">
            <v>0</v>
          </cell>
          <cell r="AJ32">
            <v>0</v>
          </cell>
          <cell r="AK32">
            <v>0</v>
          </cell>
          <cell r="AY32">
            <v>0</v>
          </cell>
          <cell r="BL32">
            <v>360000</v>
          </cell>
        </row>
        <row r="33">
          <cell r="F33" t="str">
            <v>P04</v>
          </cell>
          <cell r="K33">
            <v>3084362.2050000001</v>
          </cell>
          <cell r="L33">
            <v>340324.2</v>
          </cell>
          <cell r="M33">
            <v>0</v>
          </cell>
          <cell r="N33">
            <v>150892.98360000001</v>
          </cell>
          <cell r="P33">
            <v>1055438.8836000001</v>
          </cell>
          <cell r="R33">
            <v>0</v>
          </cell>
          <cell r="T33">
            <v>101318.09669999999</v>
          </cell>
          <cell r="V33">
            <v>0</v>
          </cell>
          <cell r="W33">
            <v>0</v>
          </cell>
          <cell r="X33">
            <v>5065.9636363636364</v>
          </cell>
          <cell r="Y33">
            <v>0</v>
          </cell>
          <cell r="Z33">
            <v>0</v>
          </cell>
          <cell r="AA33">
            <v>0</v>
          </cell>
          <cell r="AB33">
            <v>0</v>
          </cell>
          <cell r="AC33">
            <v>0</v>
          </cell>
          <cell r="AD33">
            <v>0</v>
          </cell>
          <cell r="AE33">
            <v>55725.599999999999</v>
          </cell>
          <cell r="AF33">
            <v>0</v>
          </cell>
          <cell r="AG33">
            <v>57438.366119999999</v>
          </cell>
          <cell r="AH33">
            <v>1504631.8896389999</v>
          </cell>
          <cell r="AI33">
            <v>462015.93429599999</v>
          </cell>
          <cell r="AJ33">
            <v>3052966.8</v>
          </cell>
          <cell r="AK33">
            <v>0</v>
          </cell>
          <cell r="AY33">
            <v>9375</v>
          </cell>
          <cell r="BL33">
            <v>60000</v>
          </cell>
        </row>
        <row r="34">
          <cell r="F34" t="str">
            <v>P04</v>
          </cell>
          <cell r="K34">
            <v>2891069.2277000002</v>
          </cell>
          <cell r="L34">
            <v>477723.25</v>
          </cell>
          <cell r="M34">
            <v>0</v>
          </cell>
          <cell r="N34">
            <v>216021.9982</v>
          </cell>
          <cell r="P34">
            <v>2804506.7648999998</v>
          </cell>
          <cell r="R34">
            <v>0</v>
          </cell>
          <cell r="T34">
            <v>176417.00810000001</v>
          </cell>
          <cell r="V34">
            <v>0</v>
          </cell>
          <cell r="W34">
            <v>0</v>
          </cell>
          <cell r="X34">
            <v>0</v>
          </cell>
          <cell r="Y34">
            <v>0</v>
          </cell>
          <cell r="Z34">
            <v>0</v>
          </cell>
          <cell r="AA34">
            <v>0</v>
          </cell>
          <cell r="AB34">
            <v>0</v>
          </cell>
          <cell r="AC34">
            <v>0</v>
          </cell>
          <cell r="AD34">
            <v>0</v>
          </cell>
          <cell r="AE34">
            <v>149505.1</v>
          </cell>
          <cell r="AF34">
            <v>0</v>
          </cell>
          <cell r="AG34">
            <v>16042.5903</v>
          </cell>
          <cell r="AH34">
            <v>53465.4</v>
          </cell>
          <cell r="AI34">
            <v>235463.83942399998</v>
          </cell>
          <cell r="AJ34">
            <v>677228.4</v>
          </cell>
          <cell r="AK34">
            <v>0</v>
          </cell>
          <cell r="AY34">
            <v>0</v>
          </cell>
          <cell r="BL34">
            <v>180000</v>
          </cell>
        </row>
        <row r="35">
          <cell r="F35" t="str">
            <v>P04</v>
          </cell>
          <cell r="K35">
            <v>0</v>
          </cell>
          <cell r="L35">
            <v>0</v>
          </cell>
          <cell r="M35">
            <v>0</v>
          </cell>
          <cell r="N35">
            <v>0</v>
          </cell>
          <cell r="P35">
            <v>0</v>
          </cell>
          <cell r="R35">
            <v>0</v>
          </cell>
          <cell r="T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Y35">
            <v>0</v>
          </cell>
          <cell r="BL35">
            <v>0</v>
          </cell>
        </row>
        <row r="36">
          <cell r="F36" t="str">
            <v>P04</v>
          </cell>
          <cell r="K36">
            <v>2182620.1515000002</v>
          </cell>
          <cell r="L36">
            <v>761605.875</v>
          </cell>
          <cell r="M36">
            <v>0</v>
          </cell>
          <cell r="N36">
            <v>100757.63650000001</v>
          </cell>
          <cell r="P36">
            <v>1235236.362</v>
          </cell>
          <cell r="R36">
            <v>0</v>
          </cell>
          <cell r="T36">
            <v>78063.728499999997</v>
          </cell>
          <cell r="V36">
            <v>0</v>
          </cell>
          <cell r="W36">
            <v>0</v>
          </cell>
          <cell r="X36">
            <v>0</v>
          </cell>
          <cell r="Y36">
            <v>0</v>
          </cell>
          <cell r="Z36">
            <v>0</v>
          </cell>
          <cell r="AA36">
            <v>0</v>
          </cell>
          <cell r="AB36">
            <v>0</v>
          </cell>
          <cell r="AC36">
            <v>0</v>
          </cell>
          <cell r="AD36">
            <v>0</v>
          </cell>
          <cell r="AE36">
            <v>84872.5</v>
          </cell>
          <cell r="AF36">
            <v>0</v>
          </cell>
          <cell r="AG36">
            <v>91673.982449999996</v>
          </cell>
          <cell r="AH36">
            <v>1064563.705575</v>
          </cell>
          <cell r="AI36">
            <v>0</v>
          </cell>
          <cell r="AJ36">
            <v>2372436</v>
          </cell>
          <cell r="AK36">
            <v>0</v>
          </cell>
          <cell r="AY36">
            <v>100000</v>
          </cell>
          <cell r="BL36">
            <v>1020000</v>
          </cell>
        </row>
        <row r="37">
          <cell r="F37" t="str">
            <v>P04</v>
          </cell>
          <cell r="K37">
            <v>0</v>
          </cell>
          <cell r="L37">
            <v>692650</v>
          </cell>
          <cell r="M37">
            <v>0</v>
          </cell>
          <cell r="N37">
            <v>0</v>
          </cell>
          <cell r="P37">
            <v>0</v>
          </cell>
          <cell r="R37">
            <v>0</v>
          </cell>
          <cell r="T37">
            <v>0</v>
          </cell>
          <cell r="V37">
            <v>1095013.8</v>
          </cell>
          <cell r="W37">
            <v>106700</v>
          </cell>
          <cell r="X37">
            <v>932568.2</v>
          </cell>
          <cell r="Y37">
            <v>926040.65454545442</v>
          </cell>
          <cell r="Z37">
            <v>138636.25</v>
          </cell>
          <cell r="AA37">
            <v>1520500</v>
          </cell>
          <cell r="AB37">
            <v>0</v>
          </cell>
          <cell r="AC37">
            <v>0</v>
          </cell>
          <cell r="AD37">
            <v>0</v>
          </cell>
          <cell r="AE37">
            <v>5000</v>
          </cell>
          <cell r="AF37">
            <v>0</v>
          </cell>
          <cell r="AG37">
            <v>123034.5</v>
          </cell>
          <cell r="AH37">
            <v>0</v>
          </cell>
          <cell r="AI37">
            <v>0</v>
          </cell>
          <cell r="AJ37">
            <v>0</v>
          </cell>
          <cell r="AK37">
            <v>0</v>
          </cell>
          <cell r="AY37">
            <v>0</v>
          </cell>
          <cell r="BL37">
            <v>0</v>
          </cell>
        </row>
        <row r="38">
          <cell r="F38" t="str">
            <v>P04</v>
          </cell>
          <cell r="K38">
            <v>0</v>
          </cell>
          <cell r="L38">
            <v>1276635.4044016877</v>
          </cell>
          <cell r="M38">
            <v>0</v>
          </cell>
          <cell r="N38">
            <v>0</v>
          </cell>
          <cell r="P38">
            <v>0</v>
          </cell>
          <cell r="R38">
            <v>0</v>
          </cell>
          <cell r="T38">
            <v>0</v>
          </cell>
          <cell r="V38">
            <v>0</v>
          </cell>
          <cell r="W38">
            <v>0</v>
          </cell>
          <cell r="X38">
            <v>0</v>
          </cell>
          <cell r="Y38">
            <v>0</v>
          </cell>
          <cell r="Z38">
            <v>0</v>
          </cell>
          <cell r="AA38">
            <v>0</v>
          </cell>
          <cell r="AB38">
            <v>0</v>
          </cell>
          <cell r="AC38">
            <v>0</v>
          </cell>
          <cell r="AD38">
            <v>0</v>
          </cell>
          <cell r="AE38">
            <v>238697.80076067703</v>
          </cell>
          <cell r="AF38">
            <v>0</v>
          </cell>
          <cell r="AG38">
            <v>156779.10251762028</v>
          </cell>
          <cell r="AH38">
            <v>234327.41807922878</v>
          </cell>
          <cell r="AI38">
            <v>35804.670114101558</v>
          </cell>
          <cell r="AJ38">
            <v>0</v>
          </cell>
          <cell r="AK38">
            <v>0</v>
          </cell>
          <cell r="AY38">
            <v>0</v>
          </cell>
          <cell r="BL38">
            <v>180000</v>
          </cell>
        </row>
        <row r="39">
          <cell r="F39" t="str">
            <v>P04</v>
          </cell>
          <cell r="K39">
            <v>2098166.1231999998</v>
          </cell>
          <cell r="L39">
            <v>35971.199999999997</v>
          </cell>
          <cell r="M39">
            <v>0</v>
          </cell>
          <cell r="N39">
            <v>0</v>
          </cell>
          <cell r="P39">
            <v>805538.05359999998</v>
          </cell>
          <cell r="R39">
            <v>0</v>
          </cell>
          <cell r="T39">
            <v>0</v>
          </cell>
          <cell r="V39">
            <v>0</v>
          </cell>
          <cell r="W39">
            <v>0</v>
          </cell>
          <cell r="X39">
            <v>2180.0727272727272</v>
          </cell>
          <cell r="Y39">
            <v>0</v>
          </cell>
          <cell r="Z39">
            <v>0</v>
          </cell>
          <cell r="AA39">
            <v>0</v>
          </cell>
          <cell r="AB39">
            <v>0</v>
          </cell>
          <cell r="AC39">
            <v>0</v>
          </cell>
          <cell r="AD39">
            <v>0</v>
          </cell>
          <cell r="AE39">
            <v>0</v>
          </cell>
          <cell r="AF39">
            <v>0</v>
          </cell>
          <cell r="AG39">
            <v>6812.6455199999991</v>
          </cell>
          <cell r="AH39">
            <v>62132.064551999996</v>
          </cell>
          <cell r="AI39">
            <v>239808</v>
          </cell>
          <cell r="AJ39">
            <v>2661868.7999999998</v>
          </cell>
          <cell r="AK39">
            <v>0</v>
          </cell>
          <cell r="AY39">
            <v>0</v>
          </cell>
          <cell r="BL39">
            <v>60000</v>
          </cell>
        </row>
        <row r="40">
          <cell r="F40" t="str">
            <v>P04</v>
          </cell>
          <cell r="K40">
            <v>0</v>
          </cell>
          <cell r="L40">
            <v>1548999.5408113184</v>
          </cell>
          <cell r="M40">
            <v>0</v>
          </cell>
          <cell r="N40">
            <v>62205.641452402269</v>
          </cell>
          <cell r="P40">
            <v>59132.407267608556</v>
          </cell>
          <cell r="R40">
            <v>0</v>
          </cell>
          <cell r="T40">
            <v>0</v>
          </cell>
          <cell r="V40">
            <v>0</v>
          </cell>
          <cell r="W40">
            <v>0</v>
          </cell>
          <cell r="X40">
            <v>0</v>
          </cell>
          <cell r="Y40">
            <v>0</v>
          </cell>
          <cell r="Z40">
            <v>0</v>
          </cell>
          <cell r="AA40">
            <v>0</v>
          </cell>
          <cell r="AB40">
            <v>0</v>
          </cell>
          <cell r="AC40">
            <v>0</v>
          </cell>
          <cell r="AD40">
            <v>0</v>
          </cell>
          <cell r="AE40">
            <v>129294.64207870007</v>
          </cell>
          <cell r="AF40">
            <v>0</v>
          </cell>
          <cell r="AG40">
            <v>153045.57054147235</v>
          </cell>
          <cell r="AH40">
            <v>113386.8857362889</v>
          </cell>
          <cell r="AI40">
            <v>107414.01034230467</v>
          </cell>
          <cell r="AJ40">
            <v>0</v>
          </cell>
          <cell r="AK40">
            <v>0</v>
          </cell>
          <cell r="AY40">
            <v>0</v>
          </cell>
          <cell r="BL40">
            <v>270000</v>
          </cell>
        </row>
        <row r="41">
          <cell r="F41" t="str">
            <v>P05</v>
          </cell>
          <cell r="K41">
            <v>0</v>
          </cell>
          <cell r="L41">
            <v>2053416.7305191292</v>
          </cell>
          <cell r="M41">
            <v>0</v>
          </cell>
          <cell r="N41">
            <v>203786.78255690337</v>
          </cell>
          <cell r="P41">
            <v>3325820.5871587065</v>
          </cell>
          <cell r="R41">
            <v>0</v>
          </cell>
          <cell r="T41">
            <v>64865.393537510718</v>
          </cell>
          <cell r="V41">
            <v>0</v>
          </cell>
          <cell r="W41">
            <v>0</v>
          </cell>
          <cell r="X41">
            <v>0</v>
          </cell>
          <cell r="Y41">
            <v>0</v>
          </cell>
          <cell r="Z41">
            <v>0</v>
          </cell>
          <cell r="AA41">
            <v>0</v>
          </cell>
          <cell r="AB41">
            <v>0</v>
          </cell>
          <cell r="AC41">
            <v>0</v>
          </cell>
          <cell r="AD41">
            <v>0</v>
          </cell>
          <cell r="AE41">
            <v>563883.16868096066</v>
          </cell>
          <cell r="AF41">
            <v>0</v>
          </cell>
          <cell r="AG41">
            <v>905425.22193636582</v>
          </cell>
          <cell r="AH41">
            <v>624273.27718854079</v>
          </cell>
          <cell r="AI41">
            <v>253683.44647344452</v>
          </cell>
          <cell r="AJ41">
            <v>558928.1320493177</v>
          </cell>
          <cell r="AK41">
            <v>0</v>
          </cell>
          <cell r="AY41">
            <v>0</v>
          </cell>
          <cell r="BL41">
            <v>0</v>
          </cell>
        </row>
        <row r="42">
          <cell r="F42" t="str">
            <v>P05</v>
          </cell>
          <cell r="K42">
            <v>0</v>
          </cell>
          <cell r="L42">
            <v>1830390.5317288828</v>
          </cell>
          <cell r="M42">
            <v>0</v>
          </cell>
          <cell r="N42">
            <v>81082.237425551561</v>
          </cell>
          <cell r="P42">
            <v>91370.87548749485</v>
          </cell>
          <cell r="R42">
            <v>0</v>
          </cell>
          <cell r="T42">
            <v>0</v>
          </cell>
          <cell r="V42">
            <v>0</v>
          </cell>
          <cell r="W42">
            <v>0</v>
          </cell>
          <cell r="X42">
            <v>0</v>
          </cell>
          <cell r="Y42">
            <v>0</v>
          </cell>
          <cell r="Z42">
            <v>0</v>
          </cell>
          <cell r="AA42">
            <v>0</v>
          </cell>
          <cell r="AB42">
            <v>0</v>
          </cell>
          <cell r="AC42">
            <v>0</v>
          </cell>
          <cell r="AD42">
            <v>0</v>
          </cell>
          <cell r="AE42">
            <v>153606.13558092952</v>
          </cell>
          <cell r="AF42">
            <v>0</v>
          </cell>
          <cell r="AG42">
            <v>41812.581112455344</v>
          </cell>
          <cell r="AH42">
            <v>218111.70922336023</v>
          </cell>
          <cell r="AI42">
            <v>0</v>
          </cell>
          <cell r="AJ42">
            <v>0</v>
          </cell>
          <cell r="AK42">
            <v>0</v>
          </cell>
          <cell r="AY42">
            <v>0</v>
          </cell>
          <cell r="BL42">
            <v>120000</v>
          </cell>
        </row>
        <row r="43">
          <cell r="F43" t="str">
            <v>P05</v>
          </cell>
          <cell r="K43">
            <v>1477101.2090999999</v>
          </cell>
          <cell r="L43">
            <v>117876</v>
          </cell>
          <cell r="M43">
            <v>0</v>
          </cell>
          <cell r="N43">
            <v>214320.17859999998</v>
          </cell>
          <cell r="P43">
            <v>695468.4</v>
          </cell>
          <cell r="R43">
            <v>0</v>
          </cell>
          <cell r="T43">
            <v>111802.43909999999</v>
          </cell>
          <cell r="V43">
            <v>0</v>
          </cell>
          <cell r="W43">
            <v>0</v>
          </cell>
          <cell r="X43">
            <v>0</v>
          </cell>
          <cell r="Y43">
            <v>0</v>
          </cell>
          <cell r="Z43">
            <v>0</v>
          </cell>
          <cell r="AA43">
            <v>0</v>
          </cell>
          <cell r="AB43">
            <v>0</v>
          </cell>
          <cell r="AC43">
            <v>0</v>
          </cell>
          <cell r="AD43">
            <v>0</v>
          </cell>
          <cell r="AE43">
            <v>124752.09999999999</v>
          </cell>
          <cell r="AF43">
            <v>0</v>
          </cell>
          <cell r="AG43">
            <v>0</v>
          </cell>
          <cell r="AH43">
            <v>328523.35889999999</v>
          </cell>
          <cell r="AI43">
            <v>0</v>
          </cell>
          <cell r="AJ43">
            <v>1111963.5999999999</v>
          </cell>
          <cell r="AK43">
            <v>0</v>
          </cell>
          <cell r="AY43">
            <v>181250</v>
          </cell>
          <cell r="BL43">
            <v>0</v>
          </cell>
        </row>
        <row r="44">
          <cell r="F44" t="str">
            <v>P05</v>
          </cell>
          <cell r="K44">
            <v>2439718.1776000001</v>
          </cell>
          <cell r="L44">
            <v>481528.8</v>
          </cell>
          <cell r="M44">
            <v>0</v>
          </cell>
          <cell r="N44">
            <v>0</v>
          </cell>
          <cell r="P44">
            <v>1803617.642</v>
          </cell>
          <cell r="R44">
            <v>0</v>
          </cell>
          <cell r="T44">
            <v>62149.911599999999</v>
          </cell>
          <cell r="V44">
            <v>0</v>
          </cell>
          <cell r="W44">
            <v>0</v>
          </cell>
          <cell r="X44">
            <v>10088.118432727273</v>
          </cell>
          <cell r="Y44">
            <v>0</v>
          </cell>
          <cell r="Z44">
            <v>0</v>
          </cell>
          <cell r="AA44">
            <v>0</v>
          </cell>
          <cell r="AB44">
            <v>0</v>
          </cell>
          <cell r="AC44">
            <v>0</v>
          </cell>
          <cell r="AD44">
            <v>0</v>
          </cell>
          <cell r="AE44">
            <v>89172</v>
          </cell>
          <cell r="AF44">
            <v>0</v>
          </cell>
          <cell r="AG44">
            <v>0</v>
          </cell>
          <cell r="AH44">
            <v>1325252.0205399999</v>
          </cell>
          <cell r="AI44">
            <v>191314.48353600001</v>
          </cell>
          <cell r="AJ44">
            <v>816419.2</v>
          </cell>
          <cell r="AK44">
            <v>0</v>
          </cell>
          <cell r="AY44">
            <v>146875</v>
          </cell>
          <cell r="BL44">
            <v>0</v>
          </cell>
        </row>
        <row r="45">
          <cell r="F45" t="str">
            <v>P05</v>
          </cell>
          <cell r="K45">
            <v>2693587.1162</v>
          </cell>
          <cell r="L45">
            <v>486619</v>
          </cell>
          <cell r="M45">
            <v>0</v>
          </cell>
          <cell r="N45">
            <v>189591.7279</v>
          </cell>
          <cell r="P45">
            <v>3828691.4783000001</v>
          </cell>
          <cell r="R45">
            <v>0</v>
          </cell>
          <cell r="T45">
            <v>54169.632599999997</v>
          </cell>
          <cell r="V45">
            <v>0</v>
          </cell>
          <cell r="W45">
            <v>0</v>
          </cell>
          <cell r="X45">
            <v>12278.363385454546</v>
          </cell>
          <cell r="Y45">
            <v>0</v>
          </cell>
          <cell r="Z45">
            <v>0</v>
          </cell>
          <cell r="AA45">
            <v>0</v>
          </cell>
          <cell r="AB45">
            <v>0</v>
          </cell>
          <cell r="AC45">
            <v>0</v>
          </cell>
          <cell r="AD45">
            <v>0</v>
          </cell>
          <cell r="AE45">
            <v>161875.29999999999</v>
          </cell>
          <cell r="AF45">
            <v>0</v>
          </cell>
          <cell r="AG45">
            <v>0</v>
          </cell>
          <cell r="AH45">
            <v>603961.01462999987</v>
          </cell>
          <cell r="AI45">
            <v>306492.34930400003</v>
          </cell>
          <cell r="AJ45">
            <v>305874.8</v>
          </cell>
          <cell r="AK45">
            <v>0</v>
          </cell>
          <cell r="AY45">
            <v>262500</v>
          </cell>
          <cell r="BL45">
            <v>0</v>
          </cell>
        </row>
        <row r="46">
          <cell r="F46" t="str">
            <v>P05</v>
          </cell>
          <cell r="K46">
            <v>0</v>
          </cell>
          <cell r="L46">
            <v>0</v>
          </cell>
          <cell r="M46">
            <v>0</v>
          </cell>
          <cell r="N46">
            <v>0</v>
          </cell>
          <cell r="P46">
            <v>0</v>
          </cell>
          <cell r="R46">
            <v>0</v>
          </cell>
          <cell r="T46">
            <v>0</v>
          </cell>
          <cell r="V46">
            <v>0</v>
          </cell>
          <cell r="W46">
            <v>0</v>
          </cell>
          <cell r="X46">
            <v>0</v>
          </cell>
          <cell r="Y46">
            <v>0</v>
          </cell>
          <cell r="Z46">
            <v>0</v>
          </cell>
          <cell r="AA46">
            <v>0</v>
          </cell>
          <cell r="AB46">
            <v>0</v>
          </cell>
          <cell r="AC46">
            <v>0</v>
          </cell>
          <cell r="AD46">
            <v>0</v>
          </cell>
          <cell r="AE46">
            <v>771003.69988363341</v>
          </cell>
          <cell r="AF46">
            <v>0</v>
          </cell>
          <cell r="AG46">
            <v>0</v>
          </cell>
          <cell r="AH46">
            <v>0</v>
          </cell>
          <cell r="AI46">
            <v>0</v>
          </cell>
          <cell r="AJ46">
            <v>0</v>
          </cell>
          <cell r="AK46">
            <v>0</v>
          </cell>
          <cell r="AY46">
            <v>0</v>
          </cell>
          <cell r="BL46">
            <v>0</v>
          </cell>
        </row>
        <row r="47">
          <cell r="F47" t="str">
            <v>P06</v>
          </cell>
          <cell r="K47">
            <v>0</v>
          </cell>
          <cell r="L47">
            <v>1779343.1097970926</v>
          </cell>
          <cell r="M47">
            <v>0</v>
          </cell>
          <cell r="N47">
            <v>100479.27498035018</v>
          </cell>
          <cell r="P47">
            <v>612027.71333029063</v>
          </cell>
          <cell r="R47">
            <v>0</v>
          </cell>
          <cell r="T47">
            <v>0</v>
          </cell>
          <cell r="V47">
            <v>0</v>
          </cell>
          <cell r="W47">
            <v>0</v>
          </cell>
          <cell r="X47">
            <v>0</v>
          </cell>
          <cell r="Y47">
            <v>0</v>
          </cell>
          <cell r="Z47">
            <v>0</v>
          </cell>
          <cell r="AA47">
            <v>0</v>
          </cell>
          <cell r="AB47">
            <v>0</v>
          </cell>
          <cell r="AC47">
            <v>0</v>
          </cell>
          <cell r="AD47">
            <v>0</v>
          </cell>
          <cell r="AE47">
            <v>199344.06044148121</v>
          </cell>
          <cell r="AF47">
            <v>0</v>
          </cell>
          <cell r="AG47">
            <v>553474.63903827826</v>
          </cell>
          <cell r="AH47">
            <v>131473.57075055022</v>
          </cell>
          <cell r="AI47">
            <v>0</v>
          </cell>
          <cell r="AJ47">
            <v>0</v>
          </cell>
          <cell r="AK47">
            <v>0</v>
          </cell>
          <cell r="AY47">
            <v>162500</v>
          </cell>
          <cell r="BL47">
            <v>150000</v>
          </cell>
        </row>
        <row r="48">
          <cell r="F48" t="str">
            <v>P06</v>
          </cell>
          <cell r="K48">
            <v>0</v>
          </cell>
          <cell r="L48">
            <v>231750</v>
          </cell>
          <cell r="M48">
            <v>0</v>
          </cell>
          <cell r="N48">
            <v>0</v>
          </cell>
          <cell r="P48">
            <v>209454</v>
          </cell>
          <cell r="R48">
            <v>0</v>
          </cell>
          <cell r="T48">
            <v>23636</v>
          </cell>
          <cell r="V48">
            <v>4395273.1499999994</v>
          </cell>
          <cell r="W48">
            <v>441100</v>
          </cell>
          <cell r="X48">
            <v>76363.581818181818</v>
          </cell>
          <cell r="Y48">
            <v>1044764.7818181819</v>
          </cell>
          <cell r="Z48">
            <v>315000</v>
          </cell>
          <cell r="AA48">
            <v>3618787.55</v>
          </cell>
          <cell r="AB48">
            <v>0</v>
          </cell>
          <cell r="AC48">
            <v>0</v>
          </cell>
          <cell r="AD48">
            <v>0</v>
          </cell>
          <cell r="AE48">
            <v>10000</v>
          </cell>
          <cell r="AF48">
            <v>0</v>
          </cell>
          <cell r="AG48">
            <v>186251.4</v>
          </cell>
          <cell r="AH48">
            <v>0</v>
          </cell>
          <cell r="AI48">
            <v>72000</v>
          </cell>
          <cell r="AJ48">
            <v>0</v>
          </cell>
          <cell r="AK48">
            <v>0</v>
          </cell>
          <cell r="AY48">
            <v>0</v>
          </cell>
          <cell r="BL48">
            <v>510000</v>
          </cell>
        </row>
        <row r="49">
          <cell r="F49" t="str">
            <v>P01</v>
          </cell>
          <cell r="K49">
            <v>0</v>
          </cell>
          <cell r="L49">
            <v>49342.589218188419</v>
          </cell>
          <cell r="M49">
            <v>0</v>
          </cell>
          <cell r="N49">
            <v>0</v>
          </cell>
          <cell r="P49">
            <v>0</v>
          </cell>
          <cell r="R49">
            <v>0</v>
          </cell>
          <cell r="T49">
            <v>0</v>
          </cell>
          <cell r="V49">
            <v>8881.6660592739154</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Y49">
            <v>0</v>
          </cell>
          <cell r="BL49">
            <v>0</v>
          </cell>
        </row>
        <row r="50">
          <cell r="F50" t="str">
            <v>P06</v>
          </cell>
          <cell r="K50">
            <v>0</v>
          </cell>
          <cell r="L50">
            <v>0</v>
          </cell>
          <cell r="M50">
            <v>0</v>
          </cell>
          <cell r="N50">
            <v>0</v>
          </cell>
          <cell r="P50">
            <v>0</v>
          </cell>
          <cell r="R50">
            <v>0</v>
          </cell>
          <cell r="T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Y50">
            <v>0</v>
          </cell>
          <cell r="BL50">
            <v>0</v>
          </cell>
        </row>
        <row r="51">
          <cell r="F51" t="str">
            <v>P06</v>
          </cell>
          <cell r="K51">
            <v>0</v>
          </cell>
          <cell r="L51">
            <v>1727582.7337072131</v>
          </cell>
          <cell r="M51">
            <v>0</v>
          </cell>
          <cell r="N51">
            <v>134571.05672298092</v>
          </cell>
          <cell r="P51">
            <v>122728.8353106157</v>
          </cell>
          <cell r="R51">
            <v>0</v>
          </cell>
          <cell r="T51">
            <v>0</v>
          </cell>
          <cell r="V51">
            <v>0</v>
          </cell>
          <cell r="W51">
            <v>0</v>
          </cell>
          <cell r="X51">
            <v>0</v>
          </cell>
          <cell r="Y51">
            <v>0</v>
          </cell>
          <cell r="Z51">
            <v>0</v>
          </cell>
          <cell r="AA51">
            <v>0</v>
          </cell>
          <cell r="AB51">
            <v>0</v>
          </cell>
          <cell r="AC51">
            <v>0</v>
          </cell>
          <cell r="AD51">
            <v>0</v>
          </cell>
          <cell r="AE51">
            <v>187501.839029116</v>
          </cell>
          <cell r="AF51">
            <v>0</v>
          </cell>
          <cell r="AG51">
            <v>195204.21720607521</v>
          </cell>
          <cell r="AH51">
            <v>209842.8015716493</v>
          </cell>
          <cell r="AI51">
            <v>0</v>
          </cell>
          <cell r="AJ51">
            <v>0</v>
          </cell>
          <cell r="AK51">
            <v>0</v>
          </cell>
          <cell r="AY51">
            <v>0</v>
          </cell>
          <cell r="BL51">
            <v>0</v>
          </cell>
        </row>
        <row r="52">
          <cell r="F52" t="str">
            <v>P06</v>
          </cell>
          <cell r="K52">
            <v>3101288.3123558536</v>
          </cell>
          <cell r="L52">
            <v>19065285.677658953</v>
          </cell>
          <cell r="M52">
            <v>0</v>
          </cell>
          <cell r="N52">
            <v>234691.11765382267</v>
          </cell>
          <cell r="P52">
            <v>0</v>
          </cell>
          <cell r="R52">
            <v>0</v>
          </cell>
          <cell r="T52">
            <v>0</v>
          </cell>
          <cell r="V52">
            <v>0</v>
          </cell>
          <cell r="W52">
            <v>0</v>
          </cell>
          <cell r="X52">
            <v>0</v>
          </cell>
          <cell r="Y52">
            <v>0</v>
          </cell>
          <cell r="Z52">
            <v>0</v>
          </cell>
          <cell r="AA52">
            <v>0</v>
          </cell>
          <cell r="AB52">
            <v>0</v>
          </cell>
          <cell r="AC52">
            <v>0</v>
          </cell>
          <cell r="AD52">
            <v>0</v>
          </cell>
          <cell r="AE52">
            <v>508228.66894734075</v>
          </cell>
          <cell r="AF52">
            <v>0</v>
          </cell>
          <cell r="AG52">
            <v>791107.7592316462</v>
          </cell>
          <cell r="AH52">
            <v>0</v>
          </cell>
          <cell r="AI52">
            <v>0</v>
          </cell>
          <cell r="AJ52">
            <v>0</v>
          </cell>
          <cell r="AK52">
            <v>0</v>
          </cell>
          <cell r="AY52">
            <v>0</v>
          </cell>
          <cell r="BL52">
            <v>0</v>
          </cell>
        </row>
        <row r="53">
          <cell r="F53" t="str">
            <v>P06</v>
          </cell>
          <cell r="K53">
            <v>3428722.6220999998</v>
          </cell>
          <cell r="L53">
            <v>49515</v>
          </cell>
          <cell r="M53">
            <v>0</v>
          </cell>
          <cell r="N53">
            <v>162048.73079999999</v>
          </cell>
          <cell r="P53">
            <v>4004954.4249</v>
          </cell>
          <cell r="R53">
            <v>0</v>
          </cell>
          <cell r="T53">
            <v>337601.1924</v>
          </cell>
          <cell r="V53">
            <v>0</v>
          </cell>
          <cell r="W53">
            <v>0</v>
          </cell>
          <cell r="X53">
            <v>0</v>
          </cell>
          <cell r="Y53">
            <v>0</v>
          </cell>
          <cell r="Z53">
            <v>0</v>
          </cell>
          <cell r="AA53">
            <v>0</v>
          </cell>
          <cell r="AB53">
            <v>0</v>
          </cell>
          <cell r="AC53">
            <v>0</v>
          </cell>
          <cell r="AD53">
            <v>0</v>
          </cell>
          <cell r="AE53">
            <v>214895.09999999998</v>
          </cell>
          <cell r="AF53">
            <v>0</v>
          </cell>
          <cell r="AG53">
            <v>8022.9154499999995</v>
          </cell>
          <cell r="AH53">
            <v>267896.84727000003</v>
          </cell>
          <cell r="AI53">
            <v>345704.69846400002</v>
          </cell>
          <cell r="AJ53">
            <v>1180437.5999999999</v>
          </cell>
          <cell r="AK53">
            <v>0</v>
          </cell>
          <cell r="AY53">
            <v>468750</v>
          </cell>
          <cell r="BL53">
            <v>-240000</v>
          </cell>
        </row>
        <row r="54">
          <cell r="F54" t="str">
            <v>P06</v>
          </cell>
          <cell r="K54">
            <v>0</v>
          </cell>
          <cell r="L54">
            <v>1841218.7166767009</v>
          </cell>
          <cell r="M54">
            <v>0</v>
          </cell>
          <cell r="N54">
            <v>24222.277047208696</v>
          </cell>
          <cell r="P54">
            <v>182299.1564219502</v>
          </cell>
          <cell r="R54">
            <v>0</v>
          </cell>
          <cell r="T54">
            <v>0</v>
          </cell>
          <cell r="V54">
            <v>0</v>
          </cell>
          <cell r="W54">
            <v>0</v>
          </cell>
          <cell r="X54">
            <v>0</v>
          </cell>
          <cell r="Y54">
            <v>0</v>
          </cell>
          <cell r="Z54">
            <v>0</v>
          </cell>
          <cell r="AA54">
            <v>0</v>
          </cell>
          <cell r="AB54">
            <v>0</v>
          </cell>
          <cell r="AC54">
            <v>0</v>
          </cell>
          <cell r="AD54">
            <v>0</v>
          </cell>
          <cell r="AE54">
            <v>78948.142749101477</v>
          </cell>
          <cell r="AF54">
            <v>0</v>
          </cell>
          <cell r="AG54">
            <v>443048.58886779036</v>
          </cell>
          <cell r="AH54">
            <v>386897.47727910703</v>
          </cell>
          <cell r="AI54">
            <v>38756.353808818654</v>
          </cell>
          <cell r="AJ54">
            <v>0</v>
          </cell>
          <cell r="AK54">
            <v>0</v>
          </cell>
          <cell r="AY54">
            <v>0</v>
          </cell>
          <cell r="BL54">
            <v>90000</v>
          </cell>
        </row>
        <row r="55">
          <cell r="F55" t="str">
            <v>P06</v>
          </cell>
          <cell r="K55">
            <v>2970303.4750172505</v>
          </cell>
          <cell r="L55">
            <v>8953952.9524785616</v>
          </cell>
          <cell r="M55">
            <v>0</v>
          </cell>
          <cell r="N55">
            <v>161484.47858614961</v>
          </cell>
          <cell r="P55">
            <v>0</v>
          </cell>
          <cell r="R55">
            <v>0</v>
          </cell>
          <cell r="T55">
            <v>0</v>
          </cell>
          <cell r="V55">
            <v>0</v>
          </cell>
          <cell r="W55">
            <v>0</v>
          </cell>
          <cell r="X55">
            <v>0</v>
          </cell>
          <cell r="Y55">
            <v>0</v>
          </cell>
          <cell r="Z55">
            <v>0</v>
          </cell>
          <cell r="AA55">
            <v>0</v>
          </cell>
          <cell r="AB55">
            <v>0</v>
          </cell>
          <cell r="AC55">
            <v>0</v>
          </cell>
          <cell r="AD55">
            <v>0</v>
          </cell>
          <cell r="AE55">
            <v>656256.43660190597</v>
          </cell>
          <cell r="AF55">
            <v>0</v>
          </cell>
          <cell r="AG55">
            <v>198528.92086759675</v>
          </cell>
          <cell r="AH55">
            <v>0</v>
          </cell>
          <cell r="AI55">
            <v>0</v>
          </cell>
          <cell r="AJ55">
            <v>0</v>
          </cell>
          <cell r="AK55">
            <v>0</v>
          </cell>
          <cell r="AY55">
            <v>0</v>
          </cell>
          <cell r="BL55">
            <v>0</v>
          </cell>
        </row>
        <row r="56">
          <cell r="F56" t="str">
            <v>P06</v>
          </cell>
          <cell r="K56">
            <v>0</v>
          </cell>
          <cell r="L56">
            <v>0</v>
          </cell>
          <cell r="M56">
            <v>0</v>
          </cell>
          <cell r="N56">
            <v>0</v>
          </cell>
          <cell r="P56">
            <v>0</v>
          </cell>
          <cell r="R56">
            <v>0</v>
          </cell>
          <cell r="T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Y56">
            <v>0</v>
          </cell>
          <cell r="BL56">
            <v>0</v>
          </cell>
        </row>
        <row r="57">
          <cell r="F57" t="str">
            <v>P07</v>
          </cell>
          <cell r="K57">
            <v>0</v>
          </cell>
          <cell r="L57">
            <v>1326640.107644198</v>
          </cell>
          <cell r="M57">
            <v>0</v>
          </cell>
          <cell r="N57">
            <v>403802.25817733153</v>
          </cell>
          <cell r="P57">
            <v>6220173.0196671356</v>
          </cell>
          <cell r="R57">
            <v>0</v>
          </cell>
          <cell r="T57">
            <v>489287.35392683622</v>
          </cell>
          <cell r="V57">
            <v>0</v>
          </cell>
          <cell r="W57">
            <v>0</v>
          </cell>
          <cell r="X57">
            <v>0</v>
          </cell>
          <cell r="Y57">
            <v>0</v>
          </cell>
          <cell r="Z57">
            <v>0</v>
          </cell>
          <cell r="AA57">
            <v>0</v>
          </cell>
          <cell r="AB57">
            <v>0</v>
          </cell>
          <cell r="AC57">
            <v>0</v>
          </cell>
          <cell r="AD57">
            <v>0</v>
          </cell>
          <cell r="AE57">
            <v>3173727.8970252303</v>
          </cell>
          <cell r="AF57">
            <v>0</v>
          </cell>
          <cell r="AG57">
            <v>98205.528240907704</v>
          </cell>
          <cell r="AH57">
            <v>418045.29059945745</v>
          </cell>
          <cell r="AI57">
            <v>631900.14764154912</v>
          </cell>
          <cell r="AJ57">
            <v>0</v>
          </cell>
          <cell r="AK57">
            <v>0</v>
          </cell>
          <cell r="AY57">
            <v>93750</v>
          </cell>
          <cell r="BL57">
            <v>180000</v>
          </cell>
        </row>
        <row r="58">
          <cell r="F58" t="str">
            <v>P07</v>
          </cell>
          <cell r="K58">
            <v>0</v>
          </cell>
          <cell r="L58">
            <v>90000</v>
          </cell>
          <cell r="M58">
            <v>0</v>
          </cell>
          <cell r="N58">
            <v>218182</v>
          </cell>
          <cell r="P58">
            <v>363636</v>
          </cell>
          <cell r="R58">
            <v>0</v>
          </cell>
          <cell r="T58">
            <v>7273</v>
          </cell>
          <cell r="V58">
            <v>1404545.55</v>
          </cell>
          <cell r="W58">
            <v>1174700</v>
          </cell>
          <cell r="X58">
            <v>2995381.8909090906</v>
          </cell>
          <cell r="Y58">
            <v>343636.2</v>
          </cell>
          <cell r="Z58">
            <v>83863.5</v>
          </cell>
          <cell r="AA58">
            <v>7310000.2000000002</v>
          </cell>
          <cell r="AB58">
            <v>0</v>
          </cell>
          <cell r="AC58">
            <v>0</v>
          </cell>
          <cell r="AD58">
            <v>0</v>
          </cell>
          <cell r="AE58">
            <v>80000</v>
          </cell>
          <cell r="AF58">
            <v>0</v>
          </cell>
          <cell r="AG58">
            <v>159377.1</v>
          </cell>
          <cell r="AH58">
            <v>0</v>
          </cell>
          <cell r="AI58">
            <v>43636.36</v>
          </cell>
          <cell r="AJ58">
            <v>0</v>
          </cell>
          <cell r="AK58">
            <v>0</v>
          </cell>
          <cell r="AY58">
            <v>0</v>
          </cell>
          <cell r="BL58">
            <v>-270000</v>
          </cell>
        </row>
        <row r="59">
          <cell r="F59" t="str">
            <v>P07</v>
          </cell>
          <cell r="K59">
            <v>0</v>
          </cell>
          <cell r="L59">
            <v>68000</v>
          </cell>
          <cell r="M59">
            <v>0</v>
          </cell>
          <cell r="N59">
            <v>149091</v>
          </cell>
          <cell r="P59">
            <v>294546</v>
          </cell>
          <cell r="R59">
            <v>0</v>
          </cell>
          <cell r="T59">
            <v>0</v>
          </cell>
          <cell r="V59">
            <v>45000</v>
          </cell>
          <cell r="W59">
            <v>106700</v>
          </cell>
          <cell r="X59">
            <v>767009.3</v>
          </cell>
          <cell r="Y59">
            <v>0</v>
          </cell>
          <cell r="Z59">
            <v>300000</v>
          </cell>
          <cell r="AA59">
            <v>3945954.65</v>
          </cell>
          <cell r="AB59">
            <v>0</v>
          </cell>
          <cell r="AC59">
            <v>0</v>
          </cell>
          <cell r="AD59">
            <v>0</v>
          </cell>
          <cell r="AE59">
            <v>45000</v>
          </cell>
          <cell r="AF59">
            <v>0</v>
          </cell>
          <cell r="AG59">
            <v>50531.7</v>
          </cell>
          <cell r="AH59">
            <v>0</v>
          </cell>
          <cell r="AI59">
            <v>0</v>
          </cell>
          <cell r="AJ59">
            <v>0</v>
          </cell>
          <cell r="AK59">
            <v>0</v>
          </cell>
          <cell r="AY59">
            <v>0</v>
          </cell>
          <cell r="BL59">
            <v>150000</v>
          </cell>
        </row>
        <row r="60">
          <cell r="F60" t="str">
            <v>P02</v>
          </cell>
          <cell r="K60">
            <v>2976982.4225999997</v>
          </cell>
          <cell r="L60">
            <v>221431.08</v>
          </cell>
          <cell r="M60">
            <v>0</v>
          </cell>
          <cell r="N60">
            <v>540164.08649999998</v>
          </cell>
          <cell r="P60">
            <v>1218431.4498000001</v>
          </cell>
          <cell r="R60">
            <v>0</v>
          </cell>
          <cell r="T60">
            <v>167449.82699999999</v>
          </cell>
          <cell r="V60">
            <v>0</v>
          </cell>
          <cell r="W60">
            <v>0</v>
          </cell>
          <cell r="X60">
            <v>12243.709090909089</v>
          </cell>
          <cell r="Y60">
            <v>0</v>
          </cell>
          <cell r="Z60">
            <v>0</v>
          </cell>
          <cell r="AA60">
            <v>0</v>
          </cell>
          <cell r="AB60">
            <v>0</v>
          </cell>
          <cell r="AC60">
            <v>0</v>
          </cell>
          <cell r="AD60">
            <v>0</v>
          </cell>
          <cell r="AE60">
            <v>29709</v>
          </cell>
          <cell r="AF60">
            <v>0</v>
          </cell>
          <cell r="AG60">
            <v>16045.830899999999</v>
          </cell>
          <cell r="AH60">
            <v>481772.71565549995</v>
          </cell>
          <cell r="AI60">
            <v>58030.827371999992</v>
          </cell>
          <cell r="AJ60">
            <v>0</v>
          </cell>
          <cell r="AK60">
            <v>0</v>
          </cell>
          <cell r="AY60">
            <v>631250</v>
          </cell>
          <cell r="BL60">
            <v>720000</v>
          </cell>
        </row>
        <row r="61">
          <cell r="F61" t="str">
            <v>P07</v>
          </cell>
          <cell r="K61">
            <v>0</v>
          </cell>
          <cell r="L61">
            <v>1236621.8242069834</v>
          </cell>
          <cell r="M61">
            <v>0</v>
          </cell>
          <cell r="N61">
            <v>26811.843936070469</v>
          </cell>
          <cell r="P61">
            <v>285181.69544787129</v>
          </cell>
          <cell r="R61">
            <v>0</v>
          </cell>
          <cell r="T61">
            <v>0</v>
          </cell>
          <cell r="V61">
            <v>0</v>
          </cell>
          <cell r="W61">
            <v>0</v>
          </cell>
          <cell r="X61">
            <v>0</v>
          </cell>
          <cell r="Y61">
            <v>0</v>
          </cell>
          <cell r="Z61">
            <v>0</v>
          </cell>
          <cell r="AA61">
            <v>0</v>
          </cell>
          <cell r="AB61">
            <v>0</v>
          </cell>
          <cell r="AC61">
            <v>0</v>
          </cell>
          <cell r="AD61">
            <v>0</v>
          </cell>
          <cell r="AE61">
            <v>159878.03235953132</v>
          </cell>
          <cell r="AF61">
            <v>0</v>
          </cell>
          <cell r="AG61">
            <v>107126.72244656956</v>
          </cell>
          <cell r="AH61">
            <v>73123.197193402331</v>
          </cell>
          <cell r="AI61">
            <v>0</v>
          </cell>
          <cell r="AJ61">
            <v>0</v>
          </cell>
          <cell r="AK61">
            <v>0</v>
          </cell>
          <cell r="AY61">
            <v>0</v>
          </cell>
          <cell r="BL61">
            <v>750000</v>
          </cell>
        </row>
        <row r="62">
          <cell r="F62" t="str">
            <v>P08</v>
          </cell>
          <cell r="K62">
            <v>2876242.7250999999</v>
          </cell>
          <cell r="L62">
            <v>393880</v>
          </cell>
          <cell r="M62">
            <v>0</v>
          </cell>
          <cell r="N62">
            <v>241699.5385</v>
          </cell>
          <cell r="P62">
            <v>848096.50780000002</v>
          </cell>
          <cell r="R62">
            <v>0</v>
          </cell>
          <cell r="T62">
            <v>84146.553800000009</v>
          </cell>
          <cell r="V62">
            <v>0</v>
          </cell>
          <cell r="W62">
            <v>0</v>
          </cell>
          <cell r="X62">
            <v>7161.4276900000004</v>
          </cell>
          <cell r="Y62">
            <v>0</v>
          </cell>
          <cell r="Z62">
            <v>0</v>
          </cell>
          <cell r="AA62">
            <v>0</v>
          </cell>
          <cell r="AB62">
            <v>0</v>
          </cell>
          <cell r="AC62">
            <v>0</v>
          </cell>
          <cell r="AD62">
            <v>0</v>
          </cell>
          <cell r="AE62">
            <v>44311.5</v>
          </cell>
          <cell r="AF62">
            <v>0</v>
          </cell>
          <cell r="AG62">
            <v>0</v>
          </cell>
          <cell r="AH62">
            <v>0</v>
          </cell>
          <cell r="AI62">
            <v>0</v>
          </cell>
          <cell r="AJ62">
            <v>1063476</v>
          </cell>
          <cell r="AK62">
            <v>0</v>
          </cell>
          <cell r="AY62">
            <v>0</v>
          </cell>
          <cell r="BL62">
            <v>690000</v>
          </cell>
        </row>
        <row r="63">
          <cell r="F63" t="str">
            <v>P08</v>
          </cell>
          <cell r="K63">
            <v>0</v>
          </cell>
          <cell r="L63">
            <v>512500</v>
          </cell>
          <cell r="M63">
            <v>0</v>
          </cell>
          <cell r="N63">
            <v>0</v>
          </cell>
          <cell r="P63">
            <v>294546</v>
          </cell>
          <cell r="R63">
            <v>0</v>
          </cell>
          <cell r="T63">
            <v>0</v>
          </cell>
          <cell r="V63">
            <v>422181.89999999997</v>
          </cell>
          <cell r="W63">
            <v>250000</v>
          </cell>
          <cell r="X63">
            <v>5090.9454545454546</v>
          </cell>
          <cell r="Y63">
            <v>508328.20909090905</v>
          </cell>
          <cell r="Z63">
            <v>0</v>
          </cell>
          <cell r="AA63">
            <v>260500</v>
          </cell>
          <cell r="AB63">
            <v>0</v>
          </cell>
          <cell r="AC63">
            <v>0</v>
          </cell>
          <cell r="AD63">
            <v>0</v>
          </cell>
          <cell r="AE63">
            <v>5000</v>
          </cell>
          <cell r="AF63">
            <v>0</v>
          </cell>
          <cell r="AG63">
            <v>0</v>
          </cell>
          <cell r="AH63">
            <v>54000</v>
          </cell>
          <cell r="AI63">
            <v>36000</v>
          </cell>
          <cell r="AJ63">
            <v>0</v>
          </cell>
          <cell r="AK63">
            <v>0</v>
          </cell>
          <cell r="AY63">
            <v>0</v>
          </cell>
          <cell r="BL63">
            <v>60000</v>
          </cell>
        </row>
        <row r="64">
          <cell r="F64" t="str">
            <v>P08</v>
          </cell>
          <cell r="K64">
            <v>0</v>
          </cell>
          <cell r="L64">
            <v>2413216.1692201002</v>
          </cell>
          <cell r="M64">
            <v>0</v>
          </cell>
          <cell r="N64">
            <v>134778.7556108821</v>
          </cell>
          <cell r="P64">
            <v>0</v>
          </cell>
          <cell r="R64">
            <v>7068.2642990500599</v>
          </cell>
          <cell r="T64">
            <v>0</v>
          </cell>
          <cell r="V64">
            <v>0</v>
          </cell>
          <cell r="W64">
            <v>0</v>
          </cell>
          <cell r="X64">
            <v>0</v>
          </cell>
          <cell r="Y64">
            <v>0</v>
          </cell>
          <cell r="Z64">
            <v>0</v>
          </cell>
          <cell r="AA64">
            <v>0</v>
          </cell>
          <cell r="AB64">
            <v>0</v>
          </cell>
          <cell r="AC64">
            <v>0</v>
          </cell>
          <cell r="AD64">
            <v>0</v>
          </cell>
          <cell r="AE64">
            <v>166046.98412064908</v>
          </cell>
          <cell r="AF64">
            <v>0</v>
          </cell>
          <cell r="AG64">
            <v>322259.24258180946</v>
          </cell>
          <cell r="AH64">
            <v>26686.122447961461</v>
          </cell>
          <cell r="AI64">
            <v>0</v>
          </cell>
          <cell r="AJ64">
            <v>0</v>
          </cell>
          <cell r="AK64">
            <v>0</v>
          </cell>
          <cell r="AY64">
            <v>0</v>
          </cell>
          <cell r="BL64">
            <v>0</v>
          </cell>
        </row>
        <row r="65">
          <cell r="F65" t="str">
            <v>P08</v>
          </cell>
          <cell r="K65">
            <v>0</v>
          </cell>
          <cell r="L65">
            <v>0</v>
          </cell>
          <cell r="M65">
            <v>0</v>
          </cell>
          <cell r="N65">
            <v>26955.948797157518</v>
          </cell>
          <cell r="P65">
            <v>0</v>
          </cell>
          <cell r="R65">
            <v>0</v>
          </cell>
          <cell r="T65">
            <v>0</v>
          </cell>
          <cell r="V65">
            <v>0</v>
          </cell>
          <cell r="W65">
            <v>0</v>
          </cell>
          <cell r="X65">
            <v>0</v>
          </cell>
          <cell r="Y65">
            <v>0</v>
          </cell>
          <cell r="Z65">
            <v>0</v>
          </cell>
          <cell r="AA65">
            <v>0</v>
          </cell>
          <cell r="AB65">
            <v>0</v>
          </cell>
          <cell r="AC65">
            <v>0</v>
          </cell>
          <cell r="AD65">
            <v>0</v>
          </cell>
          <cell r="AE65">
            <v>0</v>
          </cell>
          <cell r="AF65">
            <v>0</v>
          </cell>
          <cell r="AG65">
            <v>0</v>
          </cell>
          <cell r="AH65">
            <v>20755.873015081139</v>
          </cell>
          <cell r="AI65">
            <v>0</v>
          </cell>
          <cell r="AJ65">
            <v>0</v>
          </cell>
          <cell r="AK65">
            <v>0</v>
          </cell>
          <cell r="AY65">
            <v>0</v>
          </cell>
          <cell r="BL65">
            <v>0</v>
          </cell>
        </row>
        <row r="66">
          <cell r="F66" t="str">
            <v>P08</v>
          </cell>
          <cell r="K66">
            <v>1211712.8400000001</v>
          </cell>
          <cell r="L66">
            <v>484120</v>
          </cell>
          <cell r="M66">
            <v>0</v>
          </cell>
          <cell r="N66">
            <v>296400</v>
          </cell>
          <cell r="P66">
            <v>652619.44799999997</v>
          </cell>
          <cell r="R66">
            <v>0</v>
          </cell>
          <cell r="T66">
            <v>129336.11599999999</v>
          </cell>
          <cell r="V66">
            <v>0</v>
          </cell>
          <cell r="W66">
            <v>0</v>
          </cell>
          <cell r="X66">
            <v>0</v>
          </cell>
          <cell r="Y66">
            <v>0</v>
          </cell>
          <cell r="Z66">
            <v>0</v>
          </cell>
          <cell r="AA66">
            <v>0</v>
          </cell>
          <cell r="AB66">
            <v>0</v>
          </cell>
          <cell r="AC66">
            <v>0</v>
          </cell>
          <cell r="AD66">
            <v>0</v>
          </cell>
          <cell r="AE66">
            <v>94848</v>
          </cell>
          <cell r="AF66">
            <v>0</v>
          </cell>
          <cell r="AG66">
            <v>24012.846000000001</v>
          </cell>
          <cell r="AH66">
            <v>148959.85103999998</v>
          </cell>
          <cell r="AI66">
            <v>0</v>
          </cell>
          <cell r="AJ66">
            <v>1347632</v>
          </cell>
          <cell r="AK66">
            <v>0</v>
          </cell>
          <cell r="AY66">
            <v>0</v>
          </cell>
          <cell r="BL66">
            <v>180000</v>
          </cell>
        </row>
        <row r="67">
          <cell r="F67" t="str">
            <v>P08</v>
          </cell>
          <cell r="K67">
            <v>0</v>
          </cell>
          <cell r="L67">
            <v>2270741.9265951505</v>
          </cell>
          <cell r="M67">
            <v>0</v>
          </cell>
          <cell r="N67">
            <v>161733.71603313414</v>
          </cell>
          <cell r="P67">
            <v>-2695.2983672441078</v>
          </cell>
          <cell r="R67">
            <v>0</v>
          </cell>
          <cell r="T67">
            <v>0</v>
          </cell>
          <cell r="V67">
            <v>0</v>
          </cell>
          <cell r="W67">
            <v>0</v>
          </cell>
          <cell r="X67">
            <v>0</v>
          </cell>
          <cell r="Y67">
            <v>0</v>
          </cell>
          <cell r="Z67">
            <v>0</v>
          </cell>
          <cell r="AA67">
            <v>0</v>
          </cell>
          <cell r="AB67">
            <v>0</v>
          </cell>
          <cell r="AC67">
            <v>0</v>
          </cell>
          <cell r="AD67">
            <v>0</v>
          </cell>
          <cell r="AE67">
            <v>553489.94706883037</v>
          </cell>
          <cell r="AF67">
            <v>0</v>
          </cell>
          <cell r="AG67">
            <v>0</v>
          </cell>
          <cell r="AH67">
            <v>138013.06423282975</v>
          </cell>
          <cell r="AI67">
            <v>108177.91014976546</v>
          </cell>
          <cell r="AJ67">
            <v>0</v>
          </cell>
          <cell r="AK67">
            <v>0</v>
          </cell>
          <cell r="AY67">
            <v>0</v>
          </cell>
          <cell r="BL67">
            <v>0</v>
          </cell>
        </row>
        <row r="68">
          <cell r="F68" t="str">
            <v>P08</v>
          </cell>
          <cell r="K68">
            <v>0</v>
          </cell>
          <cell r="L68">
            <v>360000</v>
          </cell>
          <cell r="M68">
            <v>0</v>
          </cell>
          <cell r="N68">
            <v>0</v>
          </cell>
          <cell r="P68">
            <v>118909</v>
          </cell>
          <cell r="R68">
            <v>0</v>
          </cell>
          <cell r="T68">
            <v>0</v>
          </cell>
          <cell r="V68">
            <v>142500</v>
          </cell>
          <cell r="W68">
            <v>0</v>
          </cell>
          <cell r="X68">
            <v>23272.672727272729</v>
          </cell>
          <cell r="Y68">
            <v>1030908.6</v>
          </cell>
          <cell r="Z68">
            <v>0</v>
          </cell>
          <cell r="AA68">
            <v>254500</v>
          </cell>
          <cell r="AB68">
            <v>0</v>
          </cell>
          <cell r="AC68">
            <v>0</v>
          </cell>
          <cell r="AD68">
            <v>0</v>
          </cell>
          <cell r="AE68">
            <v>0</v>
          </cell>
          <cell r="AF68">
            <v>0</v>
          </cell>
          <cell r="AG68">
            <v>18125.7</v>
          </cell>
          <cell r="AH68">
            <v>0</v>
          </cell>
          <cell r="AI68">
            <v>0</v>
          </cell>
          <cell r="AJ68">
            <v>0</v>
          </cell>
          <cell r="AK68">
            <v>0</v>
          </cell>
          <cell r="AY68">
            <v>0</v>
          </cell>
          <cell r="BL68">
            <v>180000</v>
          </cell>
        </row>
        <row r="69">
          <cell r="F69" t="str">
            <v>P09</v>
          </cell>
          <cell r="K69">
            <v>3792594</v>
          </cell>
          <cell r="L69">
            <v>1030100</v>
          </cell>
          <cell r="M69">
            <v>0</v>
          </cell>
          <cell r="N69">
            <v>327273</v>
          </cell>
          <cell r="P69">
            <v>2099091</v>
          </cell>
          <cell r="R69">
            <v>0</v>
          </cell>
          <cell r="T69">
            <v>109089</v>
          </cell>
          <cell r="V69">
            <v>0</v>
          </cell>
          <cell r="W69">
            <v>0</v>
          </cell>
          <cell r="X69">
            <v>30909.145454545454</v>
          </cell>
          <cell r="Y69">
            <v>0</v>
          </cell>
          <cell r="Z69">
            <v>0</v>
          </cell>
          <cell r="AA69">
            <v>0</v>
          </cell>
          <cell r="AB69">
            <v>0</v>
          </cell>
          <cell r="AC69">
            <v>0</v>
          </cell>
          <cell r="AD69">
            <v>0</v>
          </cell>
          <cell r="AE69">
            <v>165000</v>
          </cell>
          <cell r="AF69">
            <v>0</v>
          </cell>
          <cell r="AG69">
            <v>175393.5</v>
          </cell>
          <cell r="AH69">
            <v>164098.65000000002</v>
          </cell>
          <cell r="AI69">
            <v>108654.40000000001</v>
          </cell>
          <cell r="AJ69">
            <v>0</v>
          </cell>
          <cell r="AK69">
            <v>0</v>
          </cell>
          <cell r="AY69">
            <v>0</v>
          </cell>
          <cell r="BL69">
            <v>60000</v>
          </cell>
        </row>
        <row r="70">
          <cell r="F70" t="str">
            <v>P09</v>
          </cell>
          <cell r="K70">
            <v>2695468</v>
          </cell>
          <cell r="L70">
            <v>2507150</v>
          </cell>
          <cell r="M70">
            <v>0</v>
          </cell>
          <cell r="N70">
            <v>163636</v>
          </cell>
          <cell r="P70">
            <v>1576364</v>
          </cell>
          <cell r="R70">
            <v>0</v>
          </cell>
          <cell r="T70">
            <v>38182</v>
          </cell>
          <cell r="V70">
            <v>0</v>
          </cell>
          <cell r="W70">
            <v>0</v>
          </cell>
          <cell r="X70">
            <v>10000.1</v>
          </cell>
          <cell r="Y70">
            <v>0</v>
          </cell>
          <cell r="Z70">
            <v>0</v>
          </cell>
          <cell r="AA70">
            <v>0</v>
          </cell>
          <cell r="AB70">
            <v>0</v>
          </cell>
          <cell r="AC70">
            <v>0</v>
          </cell>
          <cell r="AD70">
            <v>0</v>
          </cell>
          <cell r="AE70">
            <v>215000</v>
          </cell>
          <cell r="AF70">
            <v>0</v>
          </cell>
          <cell r="AG70">
            <v>100587</v>
          </cell>
          <cell r="AH70">
            <v>0</v>
          </cell>
          <cell r="AI70">
            <v>85090.92</v>
          </cell>
          <cell r="AJ70">
            <v>1184000</v>
          </cell>
          <cell r="AK70">
            <v>0</v>
          </cell>
          <cell r="AY70">
            <v>0</v>
          </cell>
          <cell r="BL70">
            <v>300000</v>
          </cell>
        </row>
        <row r="71">
          <cell r="F71" t="str">
            <v>P09</v>
          </cell>
          <cell r="K71">
            <v>0</v>
          </cell>
          <cell r="L71">
            <v>2422050</v>
          </cell>
          <cell r="M71">
            <v>0</v>
          </cell>
          <cell r="N71">
            <v>0</v>
          </cell>
          <cell r="P71">
            <v>1</v>
          </cell>
          <cell r="R71">
            <v>0</v>
          </cell>
          <cell r="T71">
            <v>0</v>
          </cell>
          <cell r="V71">
            <v>0</v>
          </cell>
          <cell r="W71">
            <v>0</v>
          </cell>
          <cell r="X71">
            <v>0</v>
          </cell>
          <cell r="Y71">
            <v>0</v>
          </cell>
          <cell r="Z71">
            <v>0</v>
          </cell>
          <cell r="AA71">
            <v>0</v>
          </cell>
          <cell r="AB71">
            <v>0</v>
          </cell>
          <cell r="AC71">
            <v>0</v>
          </cell>
          <cell r="AD71">
            <v>0</v>
          </cell>
          <cell r="AE71">
            <v>0</v>
          </cell>
          <cell r="AF71">
            <v>0</v>
          </cell>
          <cell r="AG71">
            <v>619710.29999999993</v>
          </cell>
          <cell r="AH71">
            <v>58975.245000000003</v>
          </cell>
          <cell r="AI71">
            <v>72000</v>
          </cell>
          <cell r="AJ71">
            <v>884000</v>
          </cell>
          <cell r="AK71">
            <v>0</v>
          </cell>
          <cell r="AY71">
            <v>0</v>
          </cell>
          <cell r="BL71">
            <v>0</v>
          </cell>
        </row>
        <row r="72">
          <cell r="F72" t="str">
            <v>P09</v>
          </cell>
          <cell r="K72">
            <v>0</v>
          </cell>
          <cell r="L72">
            <v>0</v>
          </cell>
          <cell r="M72">
            <v>0</v>
          </cell>
          <cell r="N72">
            <v>0</v>
          </cell>
          <cell r="P72">
            <v>0</v>
          </cell>
          <cell r="R72">
            <v>0</v>
          </cell>
          <cell r="T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Y72">
            <v>0</v>
          </cell>
          <cell r="BL72">
            <v>0</v>
          </cell>
        </row>
        <row r="73">
          <cell r="F73" t="str">
            <v>P09</v>
          </cell>
          <cell r="K73">
            <v>0</v>
          </cell>
          <cell r="L73">
            <v>0</v>
          </cell>
          <cell r="M73">
            <v>0</v>
          </cell>
          <cell r="N73">
            <v>0</v>
          </cell>
          <cell r="P73">
            <v>0</v>
          </cell>
          <cell r="R73">
            <v>0</v>
          </cell>
          <cell r="T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Y73">
            <v>0</v>
          </cell>
          <cell r="BL73">
            <v>0</v>
          </cell>
        </row>
        <row r="74">
          <cell r="F74" t="str">
            <v>P09</v>
          </cell>
          <cell r="K74">
            <v>0</v>
          </cell>
          <cell r="L74">
            <v>0</v>
          </cell>
          <cell r="M74">
            <v>0</v>
          </cell>
          <cell r="N74">
            <v>0</v>
          </cell>
          <cell r="P74">
            <v>0</v>
          </cell>
          <cell r="R74">
            <v>0</v>
          </cell>
          <cell r="T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Y74">
            <v>0</v>
          </cell>
          <cell r="BL74">
            <v>0</v>
          </cell>
        </row>
        <row r="75">
          <cell r="F75" t="str">
            <v>P09</v>
          </cell>
          <cell r="K75">
            <v>3780989.5936999996</v>
          </cell>
          <cell r="L75">
            <v>1790585.5549999999</v>
          </cell>
          <cell r="M75">
            <v>0</v>
          </cell>
          <cell r="N75">
            <v>589648.1679</v>
          </cell>
          <cell r="P75">
            <v>1625619.0752999999</v>
          </cell>
          <cell r="R75">
            <v>18894.540499999999</v>
          </cell>
          <cell r="T75">
            <v>66975.178599999999</v>
          </cell>
          <cell r="V75">
            <v>0</v>
          </cell>
          <cell r="W75">
            <v>0</v>
          </cell>
          <cell r="X75">
            <v>45007.128559999997</v>
          </cell>
          <cell r="Y75">
            <v>0</v>
          </cell>
          <cell r="Z75">
            <v>0</v>
          </cell>
          <cell r="AA75">
            <v>0</v>
          </cell>
          <cell r="AB75">
            <v>0</v>
          </cell>
          <cell r="AC75">
            <v>0</v>
          </cell>
          <cell r="AD75">
            <v>0</v>
          </cell>
          <cell r="AE75">
            <v>196460</v>
          </cell>
          <cell r="AF75">
            <v>0</v>
          </cell>
          <cell r="AG75">
            <v>60993.757439999994</v>
          </cell>
          <cell r="AH75">
            <v>201762.95637299996</v>
          </cell>
          <cell r="AI75">
            <v>131380.46393999999</v>
          </cell>
          <cell r="AJ75">
            <v>3445908.4</v>
          </cell>
          <cell r="AK75">
            <v>0</v>
          </cell>
          <cell r="AY75">
            <v>0</v>
          </cell>
          <cell r="BL75">
            <v>960000</v>
          </cell>
        </row>
        <row r="76">
          <cell r="F76" t="str">
            <v>P09</v>
          </cell>
          <cell r="K76">
            <v>0</v>
          </cell>
          <cell r="L76">
            <v>0</v>
          </cell>
          <cell r="M76">
            <v>0</v>
          </cell>
          <cell r="N76">
            <v>0</v>
          </cell>
          <cell r="P76">
            <v>0</v>
          </cell>
          <cell r="R76">
            <v>0</v>
          </cell>
          <cell r="T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Y76">
            <v>0</v>
          </cell>
          <cell r="BL76">
            <v>0</v>
          </cell>
        </row>
        <row r="77">
          <cell r="F77" t="str">
            <v>P09</v>
          </cell>
          <cell r="K77">
            <v>0</v>
          </cell>
          <cell r="L77">
            <v>2303700</v>
          </cell>
          <cell r="M77">
            <v>0</v>
          </cell>
          <cell r="N77">
            <v>32727</v>
          </cell>
          <cell r="P77">
            <v>14364</v>
          </cell>
          <cell r="R77">
            <v>0</v>
          </cell>
          <cell r="T77">
            <v>0</v>
          </cell>
          <cell r="V77">
            <v>0</v>
          </cell>
          <cell r="W77">
            <v>0</v>
          </cell>
          <cell r="X77">
            <v>0</v>
          </cell>
          <cell r="Y77">
            <v>0</v>
          </cell>
          <cell r="Z77">
            <v>0</v>
          </cell>
          <cell r="AA77">
            <v>0</v>
          </cell>
          <cell r="AB77">
            <v>0</v>
          </cell>
          <cell r="AC77">
            <v>0</v>
          </cell>
          <cell r="AD77">
            <v>0</v>
          </cell>
          <cell r="AE77">
            <v>0</v>
          </cell>
          <cell r="AF77">
            <v>0</v>
          </cell>
          <cell r="AG77">
            <v>0</v>
          </cell>
          <cell r="AH77">
            <v>112076.36</v>
          </cell>
          <cell r="AI77">
            <v>50516.36</v>
          </cell>
          <cell r="AJ77">
            <v>0</v>
          </cell>
          <cell r="AK77">
            <v>0</v>
          </cell>
          <cell r="AY77">
            <v>0</v>
          </cell>
          <cell r="BL77">
            <v>0</v>
          </cell>
        </row>
        <row r="78">
          <cell r="F78" t="str">
            <v>P10</v>
          </cell>
          <cell r="K78">
            <v>0</v>
          </cell>
          <cell r="L78">
            <v>0</v>
          </cell>
          <cell r="M78">
            <v>0</v>
          </cell>
          <cell r="N78">
            <v>0</v>
          </cell>
          <cell r="P78">
            <v>0</v>
          </cell>
          <cell r="R78">
            <v>0</v>
          </cell>
          <cell r="T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Y78">
            <v>0</v>
          </cell>
          <cell r="BL78">
            <v>0</v>
          </cell>
        </row>
        <row r="79">
          <cell r="F79" t="str">
            <v>P10</v>
          </cell>
          <cell r="K79">
            <v>0</v>
          </cell>
          <cell r="L79">
            <v>0</v>
          </cell>
          <cell r="M79">
            <v>0</v>
          </cell>
          <cell r="N79">
            <v>0</v>
          </cell>
          <cell r="P79">
            <v>0</v>
          </cell>
          <cell r="R79">
            <v>0</v>
          </cell>
          <cell r="T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Y79">
            <v>0</v>
          </cell>
          <cell r="BL79">
            <v>0</v>
          </cell>
        </row>
        <row r="80">
          <cell r="F80" t="str">
            <v>P11</v>
          </cell>
          <cell r="K80">
            <v>0</v>
          </cell>
          <cell r="L80">
            <v>2009066.1413622072</v>
          </cell>
          <cell r="M80">
            <v>7596832.8144482281</v>
          </cell>
          <cell r="N80">
            <v>0</v>
          </cell>
          <cell r="P80">
            <v>0</v>
          </cell>
          <cell r="R80">
            <v>0</v>
          </cell>
          <cell r="T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Y80">
            <v>0</v>
          </cell>
          <cell r="BL80">
            <v>0</v>
          </cell>
        </row>
        <row r="81">
          <cell r="F81" t="str">
            <v>P11</v>
          </cell>
          <cell r="K81">
            <v>0</v>
          </cell>
          <cell r="L81">
            <v>996077.73486461362</v>
          </cell>
          <cell r="M81">
            <v>7291110.5280912155</v>
          </cell>
          <cell r="N81">
            <v>0</v>
          </cell>
          <cell r="P81">
            <v>0</v>
          </cell>
          <cell r="R81">
            <v>0</v>
          </cell>
          <cell r="T81">
            <v>0</v>
          </cell>
          <cell r="V81">
            <v>0</v>
          </cell>
          <cell r="W81">
            <v>0</v>
          </cell>
          <cell r="X81">
            <v>0</v>
          </cell>
          <cell r="Y81">
            <v>0</v>
          </cell>
          <cell r="Z81">
            <v>0</v>
          </cell>
          <cell r="AA81">
            <v>0</v>
          </cell>
          <cell r="AB81">
            <v>0</v>
          </cell>
          <cell r="AC81">
            <v>0</v>
          </cell>
          <cell r="AD81">
            <v>0</v>
          </cell>
          <cell r="AE81">
            <v>14801.894992980253</v>
          </cell>
          <cell r="AF81">
            <v>0</v>
          </cell>
          <cell r="AG81">
            <v>0</v>
          </cell>
          <cell r="AH81">
            <v>0</v>
          </cell>
          <cell r="AI81">
            <v>0</v>
          </cell>
          <cell r="AJ81">
            <v>0</v>
          </cell>
          <cell r="AK81">
            <v>0</v>
          </cell>
          <cell r="AY81">
            <v>0</v>
          </cell>
          <cell r="BL81">
            <v>0</v>
          </cell>
        </row>
        <row r="82">
          <cell r="F82" t="str">
            <v>P02</v>
          </cell>
          <cell r="K82">
            <v>0</v>
          </cell>
          <cell r="L82">
            <v>103613.26495086176</v>
          </cell>
          <cell r="M82">
            <v>0</v>
          </cell>
          <cell r="N82">
            <v>0</v>
          </cell>
          <cell r="P82">
            <v>0</v>
          </cell>
          <cell r="R82">
            <v>0</v>
          </cell>
          <cell r="T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Y82">
            <v>0</v>
          </cell>
          <cell r="BL82">
            <v>0</v>
          </cell>
        </row>
        <row r="83">
          <cell r="F83" t="str">
            <v>P01</v>
          </cell>
          <cell r="K83">
            <v>0</v>
          </cell>
          <cell r="L83">
            <v>0</v>
          </cell>
          <cell r="M83">
            <v>0</v>
          </cell>
          <cell r="N83">
            <v>0</v>
          </cell>
          <cell r="P83">
            <v>0</v>
          </cell>
          <cell r="R83">
            <v>0</v>
          </cell>
          <cell r="T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Y83">
            <v>0</v>
          </cell>
          <cell r="BL83">
            <v>0</v>
          </cell>
        </row>
        <row r="84">
          <cell r="F84" t="str">
            <v>P01</v>
          </cell>
          <cell r="K84">
            <v>0</v>
          </cell>
          <cell r="L84">
            <v>49339.649976600842</v>
          </cell>
          <cell r="M84">
            <v>0</v>
          </cell>
          <cell r="N84">
            <v>0</v>
          </cell>
          <cell r="P84">
            <v>0</v>
          </cell>
          <cell r="R84">
            <v>0</v>
          </cell>
          <cell r="T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Y84">
            <v>0</v>
          </cell>
          <cell r="BL84">
            <v>0</v>
          </cell>
        </row>
        <row r="85">
          <cell r="F85" t="str">
            <v>P01</v>
          </cell>
          <cell r="K85">
            <v>0</v>
          </cell>
          <cell r="L85">
            <v>61674.562470751051</v>
          </cell>
          <cell r="M85">
            <v>0</v>
          </cell>
          <cell r="N85">
            <v>0</v>
          </cell>
          <cell r="P85">
            <v>0</v>
          </cell>
          <cell r="R85">
            <v>0</v>
          </cell>
          <cell r="T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Y85">
            <v>0</v>
          </cell>
          <cell r="BL85">
            <v>0</v>
          </cell>
        </row>
        <row r="86">
          <cell r="F86" t="str">
            <v>P01</v>
          </cell>
          <cell r="K86">
            <v>0</v>
          </cell>
          <cell r="L86">
            <v>0</v>
          </cell>
          <cell r="M86">
            <v>0</v>
          </cell>
          <cell r="N86">
            <v>0</v>
          </cell>
          <cell r="P86">
            <v>0</v>
          </cell>
          <cell r="R86">
            <v>0</v>
          </cell>
          <cell r="T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Y86">
            <v>0</v>
          </cell>
          <cell r="BL86">
            <v>0</v>
          </cell>
        </row>
        <row r="87">
          <cell r="F87" t="str">
            <v>P01</v>
          </cell>
          <cell r="K87">
            <v>0</v>
          </cell>
          <cell r="L87">
            <v>61674.562470751051</v>
          </cell>
          <cell r="M87">
            <v>0</v>
          </cell>
          <cell r="N87">
            <v>0</v>
          </cell>
          <cell r="P87">
            <v>0</v>
          </cell>
          <cell r="R87">
            <v>0</v>
          </cell>
          <cell r="T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Y87">
            <v>0</v>
          </cell>
          <cell r="BL87">
            <v>0</v>
          </cell>
        </row>
        <row r="88">
          <cell r="F88" t="str">
            <v>P02</v>
          </cell>
          <cell r="K88">
            <v>0</v>
          </cell>
          <cell r="L88">
            <v>59207.579971921012</v>
          </cell>
          <cell r="M88">
            <v>0</v>
          </cell>
          <cell r="N88">
            <v>0</v>
          </cell>
          <cell r="P88">
            <v>0</v>
          </cell>
          <cell r="R88">
            <v>0</v>
          </cell>
          <cell r="T88">
            <v>0</v>
          </cell>
          <cell r="V88">
            <v>0</v>
          </cell>
          <cell r="W88">
            <v>0</v>
          </cell>
          <cell r="X88">
            <v>0</v>
          </cell>
          <cell r="Y88">
            <v>0</v>
          </cell>
          <cell r="Z88">
            <v>0</v>
          </cell>
          <cell r="AA88">
            <v>0</v>
          </cell>
          <cell r="AB88">
            <v>0</v>
          </cell>
          <cell r="AC88">
            <v>0</v>
          </cell>
          <cell r="AD88">
            <v>0</v>
          </cell>
          <cell r="AE88">
            <v>0</v>
          </cell>
          <cell r="AF88">
            <v>0</v>
          </cell>
          <cell r="AG88">
            <v>7994.5034857086339</v>
          </cell>
          <cell r="AH88">
            <v>0</v>
          </cell>
          <cell r="AI88">
            <v>0</v>
          </cell>
          <cell r="AJ88">
            <v>0</v>
          </cell>
          <cell r="AK88">
            <v>0</v>
          </cell>
          <cell r="AY88">
            <v>0</v>
          </cell>
          <cell r="BL88">
            <v>0</v>
          </cell>
        </row>
        <row r="89">
          <cell r="F89" t="str">
            <v>P03</v>
          </cell>
          <cell r="BL89">
            <v>0</v>
          </cell>
        </row>
        <row r="90">
          <cell r="F90" t="str">
            <v>P01</v>
          </cell>
          <cell r="BL90">
            <v>0</v>
          </cell>
        </row>
        <row r="91">
          <cell r="F91" t="str">
            <v>P03</v>
          </cell>
          <cell r="BL91">
            <v>0</v>
          </cell>
        </row>
        <row r="92">
          <cell r="F92" t="str">
            <v>P01</v>
          </cell>
          <cell r="BL92">
            <v>0</v>
          </cell>
        </row>
        <row r="93">
          <cell r="F93" t="str">
            <v>P01</v>
          </cell>
          <cell r="BL93">
            <v>0</v>
          </cell>
        </row>
        <row r="94">
          <cell r="F94" t="str">
            <v>P11</v>
          </cell>
          <cell r="BL94">
            <v>0</v>
          </cell>
        </row>
        <row r="95">
          <cell r="F95" t="str">
            <v>P11</v>
          </cell>
          <cell r="BL95">
            <v>0</v>
          </cell>
        </row>
        <row r="96">
          <cell r="F96" t="str">
            <v>P01</v>
          </cell>
          <cell r="BL96">
            <v>0</v>
          </cell>
        </row>
        <row r="97">
          <cell r="F97" t="str">
            <v>P01</v>
          </cell>
          <cell r="BL97">
            <v>0</v>
          </cell>
        </row>
        <row r="98">
          <cell r="F98" t="str">
            <v>P01</v>
          </cell>
          <cell r="BL98">
            <v>0</v>
          </cell>
        </row>
        <row r="99">
          <cell r="F99" t="str">
            <v>P02</v>
          </cell>
          <cell r="BL99">
            <v>0</v>
          </cell>
        </row>
        <row r="100">
          <cell r="F100" t="str">
            <v>P06</v>
          </cell>
          <cell r="BL100">
            <v>0</v>
          </cell>
        </row>
        <row r="101">
          <cell r="F101" t="str">
            <v>P02</v>
          </cell>
          <cell r="BL101">
            <v>0</v>
          </cell>
        </row>
        <row r="102">
          <cell r="F102" t="str">
            <v>P02</v>
          </cell>
          <cell r="BL102">
            <v>0</v>
          </cell>
        </row>
        <row r="103">
          <cell r="F103" t="str">
            <v>P10</v>
          </cell>
          <cell r="BL103">
            <v>0</v>
          </cell>
        </row>
        <row r="104">
          <cell r="F104" t="str">
            <v>P02</v>
          </cell>
          <cell r="BL104">
            <v>0</v>
          </cell>
        </row>
        <row r="105">
          <cell r="F105" t="str">
            <v>P02</v>
          </cell>
          <cell r="BL105">
            <v>0</v>
          </cell>
        </row>
        <row r="106">
          <cell r="F106" t="str">
            <v>P02</v>
          </cell>
          <cell r="BL106">
            <v>0</v>
          </cell>
        </row>
        <row r="107">
          <cell r="F107" t="str">
            <v>P03</v>
          </cell>
          <cell r="BL107">
            <v>0</v>
          </cell>
        </row>
        <row r="108">
          <cell r="F108" t="str">
            <v>P03</v>
          </cell>
          <cell r="BL108">
            <v>0</v>
          </cell>
        </row>
        <row r="109">
          <cell r="F109" t="str">
            <v>P03</v>
          </cell>
          <cell r="BL109">
            <v>0</v>
          </cell>
        </row>
        <row r="110">
          <cell r="F110" t="str">
            <v>P03</v>
          </cell>
          <cell r="BL110">
            <v>0</v>
          </cell>
        </row>
        <row r="111">
          <cell r="F111" t="str">
            <v>P03</v>
          </cell>
          <cell r="BL111">
            <v>0</v>
          </cell>
        </row>
        <row r="112">
          <cell r="F112" t="str">
            <v>P03</v>
          </cell>
          <cell r="BL112">
            <v>0</v>
          </cell>
        </row>
        <row r="113">
          <cell r="F113" t="str">
            <v>P03</v>
          </cell>
          <cell r="BL113">
            <v>0</v>
          </cell>
        </row>
        <row r="114">
          <cell r="F114" t="str">
            <v>P03</v>
          </cell>
          <cell r="BL114">
            <v>0</v>
          </cell>
        </row>
        <row r="115">
          <cell r="F115" t="str">
            <v>P03</v>
          </cell>
          <cell r="BL115">
            <v>0</v>
          </cell>
        </row>
        <row r="116">
          <cell r="F116" t="str">
            <v>P04</v>
          </cell>
          <cell r="BL116">
            <v>0</v>
          </cell>
        </row>
        <row r="117">
          <cell r="F117" t="str">
            <v>P04</v>
          </cell>
          <cell r="BL117">
            <v>0</v>
          </cell>
        </row>
        <row r="118">
          <cell r="F118" t="str">
            <v>P04</v>
          </cell>
          <cell r="BL118">
            <v>0</v>
          </cell>
        </row>
        <row r="119">
          <cell r="F119" t="str">
            <v>P04</v>
          </cell>
          <cell r="BL119">
            <v>0</v>
          </cell>
        </row>
        <row r="120">
          <cell r="F120" t="str">
            <v>P05</v>
          </cell>
          <cell r="BL120">
            <v>0</v>
          </cell>
        </row>
        <row r="121">
          <cell r="F121" t="str">
            <v>P05</v>
          </cell>
          <cell r="BL121">
            <v>0</v>
          </cell>
        </row>
        <row r="122">
          <cell r="F122" t="str">
            <v>P05</v>
          </cell>
          <cell r="BL122">
            <v>0</v>
          </cell>
        </row>
        <row r="123">
          <cell r="F123" t="str">
            <v>P05</v>
          </cell>
          <cell r="BL123">
            <v>0</v>
          </cell>
        </row>
        <row r="124">
          <cell r="F124" t="str">
            <v>P05</v>
          </cell>
          <cell r="BL124">
            <v>0</v>
          </cell>
        </row>
        <row r="125">
          <cell r="F125" t="str">
            <v>P03</v>
          </cell>
          <cell r="BL125">
            <v>0</v>
          </cell>
        </row>
        <row r="126">
          <cell r="F126" t="str">
            <v>P09</v>
          </cell>
          <cell r="BL126">
            <v>0</v>
          </cell>
        </row>
        <row r="127">
          <cell r="F127" t="str">
            <v>P06</v>
          </cell>
          <cell r="BL127">
            <v>0</v>
          </cell>
        </row>
        <row r="128">
          <cell r="F128" t="str">
            <v>P06</v>
          </cell>
          <cell r="BL128">
            <v>0</v>
          </cell>
        </row>
        <row r="129">
          <cell r="F129" t="str">
            <v>P07</v>
          </cell>
          <cell r="BL129">
            <v>0</v>
          </cell>
        </row>
        <row r="130">
          <cell r="F130" t="str">
            <v>P06</v>
          </cell>
          <cell r="BL130">
            <v>0</v>
          </cell>
        </row>
        <row r="131">
          <cell r="F131" t="str">
            <v>P06</v>
          </cell>
          <cell r="BL131">
            <v>0</v>
          </cell>
        </row>
        <row r="132">
          <cell r="F132" t="str">
            <v>P08</v>
          </cell>
        </row>
        <row r="133">
          <cell r="F133" t="str">
            <v>P07</v>
          </cell>
        </row>
        <row r="134">
          <cell r="F134" t="str">
            <v>P07</v>
          </cell>
        </row>
        <row r="135">
          <cell r="F135" t="str">
            <v>P08</v>
          </cell>
        </row>
        <row r="136">
          <cell r="F136" t="str">
            <v>P08</v>
          </cell>
        </row>
      </sheetData>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CY182"/>
  <sheetViews>
    <sheetView tabSelected="1" zoomScale="90" zoomScaleNormal="90" workbookViewId="0">
      <pane xSplit="3" ySplit="10" topLeftCell="D168" activePane="bottomRight" state="frozen"/>
      <selection pane="topRight" activeCell="D1" sqref="D1"/>
      <selection pane="bottomLeft" activeCell="A11" sqref="A11"/>
      <selection pane="bottomRight" activeCell="I178" sqref="I178"/>
    </sheetView>
  </sheetViews>
  <sheetFormatPr defaultColWidth="9.140625" defaultRowHeight="16.5" customHeight="1"/>
  <cols>
    <col min="1" max="1" width="4.42578125" style="158" customWidth="1"/>
    <col min="2" max="2" width="15.28515625" style="147" customWidth="1"/>
    <col min="3" max="3" width="25.42578125" style="147" customWidth="1"/>
    <col min="4" max="4" width="13.28515625" style="148" customWidth="1"/>
    <col min="5" max="5" width="10.85546875" style="159" customWidth="1"/>
    <col min="6" max="6" width="14.5703125" style="160" customWidth="1"/>
    <col min="7" max="7" width="12.42578125" style="150" customWidth="1"/>
    <col min="8" max="8" width="11.42578125" style="1317" customWidth="1"/>
    <col min="9" max="10" width="14.140625" style="1317" customWidth="1"/>
    <col min="11" max="11" width="21.5703125" style="154" customWidth="1"/>
    <col min="12" max="12" width="18.85546875" style="154" customWidth="1"/>
    <col min="13" max="13" width="22" style="154" hidden="1" customWidth="1"/>
    <col min="14" max="14" width="13" style="154" hidden="1" customWidth="1"/>
    <col min="15" max="15" width="13.85546875" style="154" hidden="1" customWidth="1"/>
    <col min="16" max="16" width="21.140625" style="154" hidden="1" customWidth="1"/>
    <col min="17" max="17" width="20.42578125" style="154" hidden="1" customWidth="1"/>
    <col min="18" max="18" width="21.85546875" style="154" hidden="1" customWidth="1"/>
    <col min="19" max="20" width="14" style="154" hidden="1" customWidth="1"/>
    <col min="21" max="21" width="13.7109375" style="154" hidden="1" customWidth="1"/>
    <col min="22" max="23" width="22.42578125" style="154" hidden="1" customWidth="1"/>
    <col min="24" max="24" width="20.85546875" style="154" customWidth="1"/>
    <col min="25" max="25" width="22.5703125" style="154" customWidth="1"/>
    <col min="26" max="26" width="18.5703125" style="154" customWidth="1"/>
    <col min="27" max="27" width="15.85546875" style="1446" customWidth="1"/>
    <col min="28" max="28" width="16.85546875" style="154" customWidth="1"/>
    <col min="29" max="29" width="15.140625" style="154" hidden="1" customWidth="1"/>
    <col min="30" max="30" width="14.140625" style="163" hidden="1" customWidth="1"/>
    <col min="31" max="31" width="15.42578125" style="163" hidden="1" customWidth="1"/>
    <col min="32" max="35" width="12.7109375" style="163" hidden="1" customWidth="1"/>
    <col min="36" max="36" width="16.140625" style="159" customWidth="1"/>
    <col min="37" max="37" width="13.85546875" style="1317" customWidth="1"/>
    <col min="38" max="38" width="14.28515625" style="163" customWidth="1"/>
    <col min="39" max="41" width="12.5703125" style="163" customWidth="1"/>
    <col min="42" max="42" width="15.7109375" style="1317" customWidth="1"/>
    <col min="43" max="43" width="12.7109375" style="163" customWidth="1"/>
    <col min="44" max="44" width="17.5703125" style="163" customWidth="1"/>
    <col min="45" max="45" width="16.42578125" style="163" customWidth="1"/>
    <col min="46" max="46" width="14.42578125" style="163" customWidth="1"/>
    <col min="47" max="47" width="17.85546875" style="163" customWidth="1"/>
    <col min="48" max="48" width="12.85546875" style="163" customWidth="1"/>
    <col min="49" max="49" width="14.28515625" style="163" customWidth="1"/>
    <col min="50" max="51" width="15.7109375" style="163" customWidth="1"/>
    <col min="52" max="52" width="12.7109375" style="163" customWidth="1"/>
    <col min="53" max="56" width="12.7109375" style="1317" customWidth="1"/>
    <col min="57" max="57" width="4.28515625" style="163" customWidth="1"/>
    <col min="58" max="58" width="11.28515625" style="163" customWidth="1"/>
    <col min="59" max="59" width="13.7109375" style="163" customWidth="1"/>
    <col min="60" max="60" width="12.28515625" style="163" customWidth="1"/>
    <col min="61" max="61" width="12.140625" style="163" customWidth="1"/>
    <col min="62" max="62" width="14.28515625" style="163" customWidth="1"/>
    <col min="63" max="63" width="16" style="163" customWidth="1"/>
    <col min="64" max="64" width="15.7109375" style="163" customWidth="1"/>
    <col min="65" max="65" width="15.5703125" style="163" customWidth="1"/>
    <col min="66" max="66" width="8" style="163" customWidth="1"/>
    <col min="67" max="69" width="15.5703125" style="163" customWidth="1"/>
    <col min="70" max="70" width="18.140625" style="163" customWidth="1"/>
    <col min="71" max="71" width="15.5703125" style="163" customWidth="1"/>
    <col min="72" max="72" width="12.85546875" style="163" customWidth="1"/>
    <col min="73" max="73" width="19.140625" style="163" customWidth="1"/>
    <col min="74" max="74" width="11.140625" style="163" customWidth="1"/>
    <col min="75" max="75" width="9.140625" style="163" customWidth="1"/>
    <col min="76" max="76" width="14.140625" style="163" customWidth="1"/>
    <col min="77" max="91" width="9.140625" style="163" customWidth="1"/>
    <col min="92" max="92" width="9.140625" style="1318" customWidth="1"/>
    <col min="93" max="94" width="9.140625" style="163" customWidth="1"/>
    <col min="95" max="95" width="14" style="163" customWidth="1"/>
    <col min="96" max="96" width="14.5703125" style="163" customWidth="1"/>
    <col min="97" max="97" width="12.28515625" style="1317" customWidth="1"/>
    <col min="98" max="98" width="9.140625" style="1319" customWidth="1"/>
    <col min="99" max="102" width="9.140625" style="163" customWidth="1"/>
    <col min="103" max="16384" width="9.140625" style="163"/>
  </cols>
  <sheetData>
    <row r="1" spans="1:99" ht="21" customHeight="1">
      <c r="A1" s="1468" t="s">
        <v>191</v>
      </c>
      <c r="B1" s="1468"/>
      <c r="C1" s="1468"/>
      <c r="D1" s="1468"/>
      <c r="E1" s="1468"/>
      <c r="F1" s="1468"/>
      <c r="G1" s="1468"/>
      <c r="H1" s="27"/>
      <c r="I1" s="27"/>
      <c r="J1" s="27"/>
      <c r="K1" s="162"/>
      <c r="L1" s="162"/>
      <c r="M1" s="162"/>
      <c r="N1" s="162"/>
      <c r="O1" s="162"/>
      <c r="P1" s="162"/>
      <c r="Q1" s="162"/>
      <c r="R1" s="162"/>
      <c r="S1" s="162"/>
      <c r="T1" s="162"/>
      <c r="U1" s="162"/>
      <c r="V1" s="162"/>
      <c r="W1" s="162"/>
      <c r="X1" s="162"/>
      <c r="Y1" s="162"/>
      <c r="Z1" s="162"/>
      <c r="AA1" s="1420"/>
      <c r="AB1" s="162"/>
      <c r="AC1" s="162"/>
      <c r="AD1" s="162"/>
      <c r="AE1" s="162"/>
      <c r="AF1" s="162"/>
      <c r="AG1" s="162"/>
      <c r="AH1" s="162"/>
      <c r="AI1" s="162"/>
      <c r="AJ1" s="149"/>
    </row>
    <row r="2" spans="1:99" ht="16.5" customHeight="1">
      <c r="A2" s="1469" t="s">
        <v>2081</v>
      </c>
      <c r="B2" s="1469"/>
      <c r="C2" s="1469"/>
      <c r="D2" s="1469"/>
      <c r="E2" s="1469"/>
      <c r="F2" s="1469"/>
      <c r="G2" s="1469"/>
      <c r="H2" s="27"/>
      <c r="I2" s="27"/>
      <c r="J2" s="27"/>
      <c r="K2" s="162"/>
      <c r="L2" s="162"/>
      <c r="M2" s="162"/>
      <c r="N2" s="162"/>
      <c r="O2" s="162"/>
      <c r="P2" s="162"/>
      <c r="Q2" s="162"/>
      <c r="R2" s="162"/>
      <c r="S2" s="162"/>
      <c r="T2" s="162"/>
      <c r="U2" s="162"/>
      <c r="V2" s="162"/>
      <c r="W2" s="162"/>
      <c r="X2" s="162"/>
      <c r="Y2" s="162"/>
      <c r="Z2" s="162"/>
      <c r="AA2" s="1420"/>
      <c r="AB2" s="162"/>
      <c r="AC2" s="162"/>
      <c r="AD2" s="162"/>
      <c r="AE2" s="162"/>
      <c r="AF2" s="162"/>
      <c r="AG2" s="162"/>
      <c r="AH2" s="162"/>
      <c r="AI2" s="162"/>
      <c r="AJ2" s="149"/>
    </row>
    <row r="3" spans="1:99" s="1322" customFormat="1" ht="28.5" customHeight="1">
      <c r="A3" s="1477" t="s">
        <v>2082</v>
      </c>
      <c r="B3" s="1477"/>
      <c r="C3" s="1477"/>
      <c r="D3" s="1477"/>
      <c r="E3" s="1477"/>
      <c r="F3" s="1477"/>
      <c r="G3" s="1477"/>
      <c r="H3" s="1477"/>
      <c r="I3" s="1477"/>
      <c r="J3" s="1477"/>
      <c r="K3" s="1477"/>
      <c r="L3" s="1477"/>
      <c r="M3" s="1477"/>
      <c r="N3" s="1477"/>
      <c r="O3" s="1477"/>
      <c r="P3" s="1477"/>
      <c r="Q3" s="1477"/>
      <c r="R3" s="1477"/>
      <c r="S3" s="1477"/>
      <c r="T3" s="1477"/>
      <c r="U3" s="1477"/>
      <c r="V3" s="1477"/>
      <c r="W3" s="1477"/>
      <c r="X3" s="1477"/>
      <c r="Y3" s="1477"/>
      <c r="Z3" s="1477"/>
      <c r="AA3" s="1477"/>
      <c r="AB3" s="1477"/>
      <c r="AC3" s="1477"/>
      <c r="AD3" s="1477"/>
      <c r="AE3" s="1477"/>
      <c r="AF3" s="1477"/>
      <c r="AG3" s="1477"/>
      <c r="AH3" s="1477"/>
      <c r="AI3" s="1477"/>
      <c r="AJ3" s="1477"/>
      <c r="AK3" s="1477"/>
      <c r="AL3" s="1477"/>
      <c r="AM3" s="1477"/>
      <c r="AN3" s="1477"/>
      <c r="AO3" s="1477"/>
      <c r="AP3" s="1477"/>
      <c r="AQ3" s="1477"/>
      <c r="AR3" s="1477"/>
      <c r="AS3" s="1477"/>
      <c r="AT3" s="1477"/>
      <c r="AU3" s="1477"/>
      <c r="AV3" s="1477"/>
      <c r="AW3" s="1477"/>
      <c r="AX3" s="1320"/>
      <c r="AY3" s="1320"/>
      <c r="AZ3" s="1320"/>
      <c r="BA3" s="1321"/>
      <c r="BB3" s="1321"/>
      <c r="BC3" s="1321"/>
      <c r="BD3" s="1321"/>
      <c r="BE3" s="1320"/>
      <c r="BF3" s="1320"/>
      <c r="BG3" s="1320"/>
      <c r="BR3" s="1323" t="e">
        <f>BJ21+BR21+BS21</f>
        <v>#REF!</v>
      </c>
      <c r="CN3" s="1324"/>
      <c r="CS3" s="1325"/>
      <c r="CT3" s="1326"/>
    </row>
    <row r="4" spans="1:99" s="1322" customFormat="1" ht="16.5" customHeight="1">
      <c r="A4" s="1327"/>
      <c r="B4" s="1327"/>
      <c r="C4" s="1327"/>
      <c r="D4" s="1327"/>
      <c r="E4" s="1327"/>
      <c r="F4" s="1328"/>
      <c r="G4" s="1328"/>
      <c r="H4" s="1328"/>
      <c r="I4" s="1328"/>
      <c r="J4" s="1328"/>
      <c r="K4" s="1327"/>
      <c r="L4" s="1327"/>
      <c r="M4" s="1327"/>
      <c r="N4" s="1327"/>
      <c r="O4" s="1327"/>
      <c r="P4" s="1327"/>
      <c r="Q4" s="1327"/>
      <c r="R4" s="1327"/>
      <c r="S4" s="1327"/>
      <c r="T4" s="1327"/>
      <c r="U4" s="1327"/>
      <c r="V4" s="1327"/>
      <c r="W4" s="1327"/>
      <c r="X4" s="1327"/>
      <c r="Y4" s="1327"/>
      <c r="Z4" s="1327"/>
      <c r="AA4" s="1327"/>
      <c r="AB4" s="1327"/>
      <c r="AC4" s="1327"/>
      <c r="AD4" s="1327"/>
      <c r="AE4" s="1327"/>
      <c r="AF4" s="1327"/>
      <c r="AG4" s="1327"/>
      <c r="AH4" s="1327"/>
      <c r="AI4" s="1327"/>
      <c r="AJ4" s="1329"/>
      <c r="AK4" s="1328"/>
      <c r="AL4" s="1327"/>
      <c r="AM4" s="1327"/>
      <c r="AN4" s="1327"/>
      <c r="AO4" s="1327"/>
      <c r="AP4" s="1327"/>
      <c r="AQ4" s="1327"/>
      <c r="AR4" s="1327"/>
      <c r="AS4" s="1327"/>
      <c r="AT4" s="1327"/>
      <c r="AU4" s="1327"/>
      <c r="AV4" s="1327"/>
      <c r="AW4" s="1327"/>
      <c r="AX4" s="1327"/>
      <c r="AY4" s="1327"/>
      <c r="AZ4" s="1327"/>
      <c r="BA4" s="1328"/>
      <c r="BB4" s="1328"/>
      <c r="BC4" s="1328"/>
      <c r="BD4" s="1328"/>
      <c r="BE4" s="1327"/>
      <c r="BF4" s="1327"/>
      <c r="BG4" s="1327"/>
      <c r="CN4" s="1324"/>
      <c r="CS4" s="1325"/>
      <c r="CT4" s="1326"/>
    </row>
    <row r="5" spans="1:99" ht="12.75" customHeight="1">
      <c r="A5" s="1327"/>
      <c r="B5" s="1327"/>
      <c r="C5" s="1327"/>
      <c r="D5" s="1327"/>
      <c r="E5" s="1327"/>
      <c r="F5" s="1328"/>
      <c r="G5" s="1328"/>
      <c r="H5" s="1328"/>
      <c r="I5" s="1328"/>
      <c r="J5" s="1328"/>
      <c r="K5" s="1327"/>
      <c r="L5" s="1327"/>
      <c r="M5" s="1327"/>
      <c r="N5" s="1327"/>
      <c r="O5" s="1327"/>
      <c r="P5" s="1327"/>
      <c r="Q5" s="1327"/>
      <c r="R5" s="1327"/>
      <c r="S5" s="1327"/>
      <c r="T5" s="1327"/>
      <c r="U5" s="1327"/>
      <c r="V5" s="1327"/>
      <c r="W5" s="1327"/>
      <c r="X5" s="1327"/>
      <c r="Y5" s="1327"/>
      <c r="Z5" s="1327"/>
      <c r="AA5" s="1421"/>
      <c r="AB5" s="1327"/>
      <c r="AC5" s="1327"/>
      <c r="AD5" s="1327"/>
      <c r="AE5" s="1327"/>
      <c r="AF5" s="1327"/>
      <c r="AG5" s="1327"/>
      <c r="AH5" s="1327"/>
      <c r="AI5" s="1327"/>
      <c r="AJ5" s="1329"/>
      <c r="AK5" s="1328"/>
      <c r="AL5" s="1327"/>
      <c r="AM5" s="1327"/>
      <c r="AN5" s="1327"/>
      <c r="AO5" s="1327"/>
      <c r="AP5" s="1327"/>
      <c r="AQ5" s="1327"/>
      <c r="AR5" s="1327"/>
      <c r="AS5" s="1327"/>
      <c r="AT5" s="1327"/>
      <c r="AU5" s="1327"/>
      <c r="AV5" s="1327"/>
      <c r="AW5" s="1327"/>
      <c r="AX5" s="1327"/>
      <c r="AY5" s="1327"/>
      <c r="AZ5" s="1327"/>
      <c r="BA5" s="1328"/>
      <c r="BB5" s="1328"/>
      <c r="BC5" s="1328"/>
      <c r="BD5" s="1328"/>
      <c r="BE5" s="1327"/>
      <c r="BF5" s="1327"/>
      <c r="BG5" s="1327"/>
      <c r="BO5" s="1330"/>
      <c r="BP5" s="1330"/>
      <c r="BQ5" s="1330"/>
      <c r="BR5" s="1330"/>
      <c r="BS5" s="1330"/>
    </row>
    <row r="6" spans="1:99" s="154" customFormat="1" ht="61.5" customHeight="1">
      <c r="D6" s="1331" t="s">
        <v>3</v>
      </c>
      <c r="E6" s="1332"/>
      <c r="F6" s="1333"/>
      <c r="G6" s="1333"/>
      <c r="H6" s="1333"/>
      <c r="I6" s="1333"/>
      <c r="J6" s="1333"/>
      <c r="K6" s="1332"/>
      <c r="L6" s="1332"/>
      <c r="M6" s="1332"/>
      <c r="N6" s="1332"/>
      <c r="O6" s="1332"/>
      <c r="P6" s="1332"/>
      <c r="Q6" s="1332"/>
      <c r="R6" s="1332"/>
      <c r="S6" s="1332"/>
      <c r="T6" s="1332"/>
      <c r="U6" s="1332"/>
      <c r="V6" s="1332"/>
      <c r="W6" s="1332"/>
      <c r="X6" s="1332"/>
      <c r="Y6" s="1332"/>
      <c r="Z6" s="1332"/>
      <c r="AA6" s="1422"/>
      <c r="AB6" s="1332"/>
      <c r="AC6" s="1332"/>
      <c r="AD6" s="1332"/>
      <c r="AE6" s="1332"/>
      <c r="AF6" s="1332"/>
      <c r="AG6" s="1332"/>
      <c r="AH6" s="1332"/>
      <c r="AI6" s="1332"/>
      <c r="AJ6" s="1334"/>
      <c r="AK6" s="1317"/>
      <c r="AL6" s="163"/>
      <c r="AM6" s="163"/>
      <c r="AN6" s="163"/>
      <c r="AO6" s="163"/>
      <c r="AP6" s="1317"/>
      <c r="AQ6" s="163"/>
      <c r="AR6" s="163"/>
      <c r="AS6" s="163"/>
      <c r="AT6" s="163"/>
      <c r="AU6" s="163"/>
      <c r="AV6" s="163"/>
      <c r="AW6" s="163"/>
      <c r="AX6" s="163"/>
      <c r="AY6" s="163"/>
      <c r="AZ6" s="163"/>
      <c r="BA6" s="1317"/>
      <c r="BB6" s="1317"/>
      <c r="BC6" s="1317"/>
      <c r="BD6" s="1317"/>
      <c r="BE6" s="163"/>
      <c r="BF6" s="163"/>
      <c r="BG6" s="163"/>
      <c r="CN6" s="1335"/>
      <c r="CS6" s="27"/>
      <c r="CT6" s="1336"/>
    </row>
    <row r="7" spans="1:99" s="154" customFormat="1" ht="69.599999999999994" customHeight="1">
      <c r="A7" s="1470" t="s">
        <v>0</v>
      </c>
      <c r="B7" s="1474" t="s">
        <v>1</v>
      </c>
      <c r="C7" s="1474" t="s">
        <v>2</v>
      </c>
      <c r="D7" s="1470" t="s">
        <v>6</v>
      </c>
      <c r="E7" s="1472" t="s">
        <v>124</v>
      </c>
      <c r="F7" s="1466" t="s">
        <v>125</v>
      </c>
      <c r="G7" s="1466" t="s">
        <v>2227</v>
      </c>
      <c r="H7" s="1466" t="s">
        <v>438</v>
      </c>
      <c r="I7" s="1466" t="s">
        <v>436</v>
      </c>
      <c r="J7" s="1337"/>
      <c r="K7" s="1466" t="s">
        <v>2172</v>
      </c>
      <c r="L7" s="1466" t="s">
        <v>2184</v>
      </c>
      <c r="M7" s="1466"/>
      <c r="N7" s="1466"/>
      <c r="O7" s="1466"/>
      <c r="P7" s="1423"/>
      <c r="Q7" s="1423"/>
      <c r="R7" s="1423"/>
      <c r="S7" s="1453"/>
      <c r="T7" s="1453"/>
      <c r="U7" s="1453"/>
      <c r="V7" s="1423"/>
      <c r="W7" s="1423"/>
      <c r="X7" s="1453" t="s">
        <v>2171</v>
      </c>
      <c r="Y7" s="1453" t="s">
        <v>2183</v>
      </c>
      <c r="Z7" s="1453" t="s">
        <v>2185</v>
      </c>
      <c r="AA7" s="1453" t="s">
        <v>2186</v>
      </c>
      <c r="AB7" s="1453" t="s">
        <v>2187</v>
      </c>
      <c r="AC7" s="1453"/>
      <c r="AD7" s="1453"/>
      <c r="AE7" s="1423"/>
      <c r="AF7" s="1423"/>
      <c r="AG7" s="1423"/>
      <c r="AH7" s="1423"/>
      <c r="AI7" s="1423"/>
      <c r="AJ7" s="1459" t="s">
        <v>7</v>
      </c>
      <c r="AK7" s="1455" t="s">
        <v>4</v>
      </c>
      <c r="AL7" s="1456"/>
      <c r="AM7" s="1457" t="s">
        <v>2212</v>
      </c>
      <c r="AN7" s="1457" t="s">
        <v>2228</v>
      </c>
      <c r="AO7" s="1457" t="s">
        <v>2229</v>
      </c>
      <c r="AP7" s="1461" t="s">
        <v>2213</v>
      </c>
      <c r="AQ7" s="1463" t="s">
        <v>5</v>
      </c>
      <c r="AR7" s="1464"/>
      <c r="AS7" s="1464"/>
      <c r="AT7" s="1465"/>
      <c r="AU7" s="1457" t="s">
        <v>2234</v>
      </c>
      <c r="AV7" s="1455" t="s">
        <v>2211</v>
      </c>
      <c r="AW7" s="1456"/>
      <c r="AX7" s="1338"/>
      <c r="AY7" s="1338"/>
      <c r="AZ7" s="1338"/>
      <c r="BA7" s="1338"/>
      <c r="BB7" s="1338"/>
      <c r="BC7" s="1338"/>
      <c r="BD7" s="1338"/>
      <c r="BE7" s="1338"/>
      <c r="BF7" s="1338"/>
      <c r="BG7" s="1338"/>
      <c r="BJ7" s="27"/>
      <c r="CN7" s="1335"/>
      <c r="CS7" s="27"/>
      <c r="CT7" s="1336"/>
    </row>
    <row r="8" spans="1:99" s="154" customFormat="1" ht="81.75" customHeight="1">
      <c r="A8" s="1471"/>
      <c r="B8" s="1475"/>
      <c r="C8" s="1475"/>
      <c r="D8" s="1471"/>
      <c r="E8" s="1473"/>
      <c r="F8" s="1467"/>
      <c r="G8" s="1467"/>
      <c r="H8" s="1467"/>
      <c r="I8" s="1467"/>
      <c r="J8" s="1339" t="s">
        <v>2170</v>
      </c>
      <c r="K8" s="1462"/>
      <c r="L8" s="1462"/>
      <c r="M8" s="1462"/>
      <c r="N8" s="1462"/>
      <c r="O8" s="1462"/>
      <c r="P8" s="1424"/>
      <c r="Q8" s="1424"/>
      <c r="R8" s="1424"/>
      <c r="S8" s="1454"/>
      <c r="T8" s="1454"/>
      <c r="U8" s="1454"/>
      <c r="V8" s="1424"/>
      <c r="W8" s="1424"/>
      <c r="X8" s="1454"/>
      <c r="Y8" s="1454"/>
      <c r="Z8" s="1454"/>
      <c r="AA8" s="1454"/>
      <c r="AB8" s="1454"/>
      <c r="AC8" s="1454"/>
      <c r="AD8" s="1454"/>
      <c r="AE8" s="1424"/>
      <c r="AF8" s="1424"/>
      <c r="AG8" s="1424"/>
      <c r="AH8" s="1424"/>
      <c r="AI8" s="1424"/>
      <c r="AJ8" s="1460"/>
      <c r="AK8" s="1341" t="s">
        <v>8</v>
      </c>
      <c r="AL8" s="1331" t="s">
        <v>9</v>
      </c>
      <c r="AM8" s="1458"/>
      <c r="AN8" s="1458"/>
      <c r="AO8" s="1458"/>
      <c r="AP8" s="1462"/>
      <c r="AQ8" s="1331" t="s">
        <v>10</v>
      </c>
      <c r="AR8" s="1331" t="s">
        <v>11</v>
      </c>
      <c r="AS8" s="1331" t="s">
        <v>2217</v>
      </c>
      <c r="AT8" s="1343" t="s">
        <v>190</v>
      </c>
      <c r="AU8" s="1458"/>
      <c r="AV8" s="1341" t="s">
        <v>223</v>
      </c>
      <c r="AW8" s="1344" t="s">
        <v>2230</v>
      </c>
      <c r="AX8" s="1345" t="s">
        <v>432</v>
      </c>
      <c r="AY8" s="1345"/>
      <c r="AZ8" s="1345"/>
      <c r="BA8" s="1346"/>
      <c r="BB8" s="1346"/>
      <c r="BC8" s="1346"/>
      <c r="BD8" s="1346"/>
      <c r="BE8" s="1345"/>
      <c r="BF8" s="1345"/>
      <c r="BG8" s="1345"/>
      <c r="BJ8" s="1347" t="s">
        <v>198</v>
      </c>
      <c r="BK8" s="1347" t="s">
        <v>203</v>
      </c>
      <c r="BL8" s="1347" t="s">
        <v>199</v>
      </c>
      <c r="BM8" s="1347" t="s">
        <v>201</v>
      </c>
      <c r="BN8" s="1347" t="s">
        <v>219</v>
      </c>
      <c r="BO8" s="1347" t="s">
        <v>202</v>
      </c>
      <c r="BP8" s="1347"/>
      <c r="BQ8" s="1347"/>
      <c r="BR8" s="1347"/>
      <c r="BS8" s="1347"/>
      <c r="BT8" s="1348"/>
      <c r="BU8" s="1348"/>
      <c r="BV8" s="1348"/>
      <c r="CN8" s="1335"/>
      <c r="CS8" s="27"/>
      <c r="CT8" s="1336"/>
    </row>
    <row r="9" spans="1:99" s="154" customFormat="1" ht="39.75" customHeight="1">
      <c r="A9" s="1458"/>
      <c r="B9" s="1476"/>
      <c r="C9" s="1476"/>
      <c r="D9" s="1458"/>
      <c r="E9" s="1460"/>
      <c r="F9" s="1462"/>
      <c r="G9" s="1462"/>
      <c r="H9" s="1462"/>
      <c r="I9" s="1462"/>
      <c r="J9" s="133"/>
      <c r="K9" s="1424" t="s">
        <v>2076</v>
      </c>
      <c r="L9" s="1424" t="s">
        <v>2076</v>
      </c>
      <c r="M9" s="1424" t="s">
        <v>2076</v>
      </c>
      <c r="N9" s="1424" t="s">
        <v>2076</v>
      </c>
      <c r="O9" s="1424" t="s">
        <v>2076</v>
      </c>
      <c r="P9" s="1424" t="s">
        <v>2076</v>
      </c>
      <c r="Q9" s="1424" t="s">
        <v>2076</v>
      </c>
      <c r="R9" s="1424" t="s">
        <v>2076</v>
      </c>
      <c r="S9" s="1424" t="s">
        <v>2077</v>
      </c>
      <c r="T9" s="1424" t="s">
        <v>2077</v>
      </c>
      <c r="U9" s="1424" t="s">
        <v>2077</v>
      </c>
      <c r="V9" s="1424" t="s">
        <v>270</v>
      </c>
      <c r="W9" s="1424" t="s">
        <v>270</v>
      </c>
      <c r="X9" s="1424" t="s">
        <v>270</v>
      </c>
      <c r="Y9" s="1424" t="s">
        <v>270</v>
      </c>
      <c r="Z9" s="1425" t="s">
        <v>270</v>
      </c>
      <c r="AA9" s="1426" t="s">
        <v>270</v>
      </c>
      <c r="AB9" s="1425" t="s">
        <v>270</v>
      </c>
      <c r="AC9" s="1425" t="s">
        <v>270</v>
      </c>
      <c r="AD9" s="1425" t="s">
        <v>270</v>
      </c>
      <c r="AE9" s="1425"/>
      <c r="AF9" s="1424"/>
      <c r="AG9" s="1424"/>
      <c r="AH9" s="1424"/>
      <c r="AI9" s="1424"/>
      <c r="AJ9" s="1340"/>
      <c r="AK9" s="1341"/>
      <c r="AL9" s="1331"/>
      <c r="AM9" s="1342"/>
      <c r="AN9" s="1342"/>
      <c r="AO9" s="1342"/>
      <c r="AP9" s="133"/>
      <c r="AQ9" s="1331"/>
      <c r="AR9" s="1331"/>
      <c r="AS9" s="1331"/>
      <c r="AT9" s="1343"/>
      <c r="AU9" s="1342"/>
      <c r="AV9" s="1341"/>
      <c r="AW9" s="1344"/>
      <c r="AX9" s="1345"/>
      <c r="AY9" s="1345"/>
      <c r="AZ9" s="1345"/>
      <c r="BA9" s="1346"/>
      <c r="BB9" s="1346"/>
      <c r="BC9" s="1346"/>
      <c r="BD9" s="1346"/>
      <c r="BE9" s="1345"/>
      <c r="BF9" s="1345"/>
      <c r="BG9" s="1345"/>
      <c r="BJ9" s="1347"/>
      <c r="BK9" s="1347"/>
      <c r="BL9" s="1347"/>
      <c r="BM9" s="1347"/>
      <c r="BN9" s="1347"/>
      <c r="BO9" s="1347"/>
      <c r="BP9" s="1347"/>
      <c r="BQ9" s="1347"/>
      <c r="BR9" s="1347"/>
      <c r="BS9" s="1347"/>
      <c r="BT9" s="1348"/>
      <c r="BU9" s="1348"/>
      <c r="BV9" s="1348"/>
      <c r="CN9" s="1335"/>
      <c r="CS9" s="27"/>
      <c r="CT9" s="1336"/>
    </row>
    <row r="10" spans="1:99" s="1351" customFormat="1" ht="33" customHeight="1">
      <c r="A10" s="134" t="s">
        <v>259</v>
      </c>
      <c r="B10" s="134" t="s">
        <v>260</v>
      </c>
      <c r="C10" s="134" t="s">
        <v>224</v>
      </c>
      <c r="D10" s="1349" t="s">
        <v>261</v>
      </c>
      <c r="E10" s="1350" t="s">
        <v>265</v>
      </c>
      <c r="F10" s="1341">
        <v>1</v>
      </c>
      <c r="G10" s="1341" t="s">
        <v>292</v>
      </c>
      <c r="H10" s="1427" t="s">
        <v>286</v>
      </c>
      <c r="I10" s="1427" t="s">
        <v>416</v>
      </c>
      <c r="J10" s="1427"/>
      <c r="K10" s="1428" t="s">
        <v>417</v>
      </c>
      <c r="L10" s="1428" t="s">
        <v>418</v>
      </c>
      <c r="M10" s="1428" t="s">
        <v>419</v>
      </c>
      <c r="N10" s="1428" t="s">
        <v>420</v>
      </c>
      <c r="O10" s="1428" t="s">
        <v>421</v>
      </c>
      <c r="P10" s="1429" t="s">
        <v>408</v>
      </c>
      <c r="Q10" s="1429" t="s">
        <v>409</v>
      </c>
      <c r="R10" s="1429" t="s">
        <v>410</v>
      </c>
      <c r="S10" s="1429" t="s">
        <v>411</v>
      </c>
      <c r="T10" s="1429" t="s">
        <v>412</v>
      </c>
      <c r="U10" s="1429" t="s">
        <v>413</v>
      </c>
      <c r="V10" s="1429" t="s">
        <v>414</v>
      </c>
      <c r="W10" s="1429" t="s">
        <v>415</v>
      </c>
      <c r="X10" s="1429">
        <v>17</v>
      </c>
      <c r="Y10" s="1429">
        <v>18</v>
      </c>
      <c r="Z10" s="1429">
        <v>19</v>
      </c>
      <c r="AA10" s="1430">
        <v>20</v>
      </c>
      <c r="AB10" s="1429">
        <v>21</v>
      </c>
      <c r="AC10" s="1429">
        <v>25</v>
      </c>
      <c r="AD10" s="1429"/>
      <c r="AE10" s="1429">
        <v>22</v>
      </c>
      <c r="AF10" s="1429"/>
      <c r="AG10" s="1429"/>
      <c r="AH10" s="1429"/>
      <c r="AI10" s="1429"/>
      <c r="AJ10" s="1431" t="s">
        <v>2231</v>
      </c>
      <c r="AK10" s="1432" t="s">
        <v>296</v>
      </c>
      <c r="AL10" s="1433" t="s">
        <v>297</v>
      </c>
      <c r="AM10" s="1433">
        <v>21</v>
      </c>
      <c r="AN10" s="1433" t="s">
        <v>2215</v>
      </c>
      <c r="AO10" s="1433" t="s">
        <v>2216</v>
      </c>
      <c r="AP10" s="1341" t="s">
        <v>2219</v>
      </c>
      <c r="AQ10" s="134" t="s">
        <v>298</v>
      </c>
      <c r="AR10" s="134" t="s">
        <v>299</v>
      </c>
      <c r="AS10" s="134">
        <v>27</v>
      </c>
      <c r="AT10" s="1344" t="s">
        <v>300</v>
      </c>
      <c r="AU10" s="134" t="s">
        <v>301</v>
      </c>
      <c r="AV10" s="1433">
        <v>30</v>
      </c>
      <c r="AW10" s="1344" t="s">
        <v>2218</v>
      </c>
      <c r="AX10" s="1345"/>
      <c r="AY10" s="1345"/>
      <c r="AZ10" s="1345"/>
      <c r="BA10" s="1346" t="s">
        <v>997</v>
      </c>
      <c r="BB10" s="1346" t="s">
        <v>1464</v>
      </c>
      <c r="BC10" s="1346"/>
      <c r="BD10" s="1346" t="s">
        <v>998</v>
      </c>
      <c r="BE10" s="1345"/>
      <c r="BF10" s="1345"/>
      <c r="BI10" s="1352" t="s">
        <v>197</v>
      </c>
      <c r="BJ10" s="1352" t="s">
        <v>195</v>
      </c>
      <c r="BK10" s="1352" t="s">
        <v>196</v>
      </c>
      <c r="BL10" s="1352" t="s">
        <v>200</v>
      </c>
      <c r="BM10" s="1352"/>
      <c r="BN10" s="1352"/>
      <c r="BO10" s="1352"/>
      <c r="BP10" s="1352"/>
      <c r="BQ10" s="1352"/>
      <c r="BR10" s="1352"/>
      <c r="BS10" s="1352"/>
      <c r="BT10" s="1352"/>
      <c r="BU10" s="1352"/>
      <c r="CM10" s="1353"/>
      <c r="CR10" s="1354"/>
      <c r="CS10" s="1355"/>
    </row>
    <row r="11" spans="1:99" s="1367" customFormat="1" ht="21" customHeight="1">
      <c r="A11" s="1356">
        <v>1</v>
      </c>
      <c r="B11" s="1357" t="s">
        <v>13</v>
      </c>
      <c r="C11" s="1358" t="s">
        <v>14</v>
      </c>
      <c r="D11" s="1359">
        <f>IFERROR(VLOOKUP(B11,'[10]Danh sách CTV'!A$3:G$81,7,0),0)</f>
        <v>4718700</v>
      </c>
      <c r="E11" s="1434" t="str">
        <f>VLOOKUP(C11,[11]NhanSu!$D$4:$E$86,2,0)</f>
        <v>8323045503</v>
      </c>
      <c r="F11" s="1360">
        <f>IFERROR(VLOOKUP(B11,'Bảng lương t1.2025'!$B$10:$H$89,7,0),0)</f>
        <v>10490651</v>
      </c>
      <c r="G11" s="1360"/>
      <c r="H11" s="1364"/>
      <c r="I11" s="1452">
        <f>IFERROR(VLOOKUP(B11,'Bảng lương t1.2025'!$B$10:$I$89,8,0),0)</f>
        <v>49340</v>
      </c>
      <c r="J11" s="1452"/>
      <c r="K11" s="1435">
        <f>SUMIFS('64'!$E:$E,'64'!$B:$B,'DSOAT-T1.2025'!C11)</f>
        <v>0</v>
      </c>
      <c r="L11" s="1365"/>
      <c r="M11" s="1365"/>
      <c r="N11" s="1365"/>
      <c r="O11" s="1365"/>
      <c r="P11" s="1365"/>
      <c r="Q11" s="1365"/>
      <c r="R11" s="1365"/>
      <c r="S11" s="1365"/>
      <c r="T11" s="1365"/>
      <c r="U11" s="1365"/>
      <c r="V11" s="1365"/>
      <c r="W11" s="1365"/>
      <c r="X11" s="1365"/>
      <c r="Y11" s="1365"/>
      <c r="Z11" s="1365">
        <f>IFERROR(VLOOKUP(B11,'[12]CTV thuê lại'!B$9:F$90,5,0),0)</f>
        <v>2422054</v>
      </c>
      <c r="AA11" s="1436"/>
      <c r="AB11" s="1365">
        <f>SUMIFS('210'!$G:$G,'210'!$B:$B,'DSOAT-T1.2025'!C11)</f>
        <v>200000</v>
      </c>
      <c r="AC11" s="1365"/>
      <c r="AD11" s="1365"/>
      <c r="AE11" s="1365"/>
      <c r="AF11" s="1365"/>
      <c r="AG11" s="1365"/>
      <c r="AH11" s="1365"/>
      <c r="AI11" s="1365"/>
      <c r="AJ11" s="1361">
        <f t="shared" ref="AJ11:AJ42" si="0">ROUND(SUM(F11:AI11),0)</f>
        <v>13162045</v>
      </c>
      <c r="AK11" s="1362">
        <f t="shared" ref="AK11:AK42" si="1">ROUND(D11*21.5%,0)</f>
        <v>1014521</v>
      </c>
      <c r="AL11" s="1363">
        <f t="shared" ref="AL11:AL42" si="2">D11*2%</f>
        <v>94374</v>
      </c>
      <c r="AM11" s="1363">
        <v>300000</v>
      </c>
      <c r="AN11" s="1363">
        <f>AM11*8%</f>
        <v>24000</v>
      </c>
      <c r="AO11" s="1363">
        <f>AM11+AN11</f>
        <v>324000</v>
      </c>
      <c r="AP11" s="1362">
        <f t="shared" ref="AP11:AP42" si="3">ROUND(SUM(F11:L11)+AK11+AL11,0)</f>
        <v>11648886</v>
      </c>
      <c r="AQ11" s="1363">
        <f t="shared" ref="AQ11:AQ42" si="4">ROUND(D11*10.5%,0)</f>
        <v>495464</v>
      </c>
      <c r="AR11" s="1363">
        <f t="shared" ref="AR11:AR42" si="5">D11*1%</f>
        <v>47187</v>
      </c>
      <c r="AS11" s="1363">
        <f>VLOOKUP(B11,'Thuế TNCN _T1'!$B$9:$K$86,10,0)</f>
        <v>0</v>
      </c>
      <c r="AT11" s="1366">
        <f t="shared" ref="AT11:AT42" si="6">AJ11-AQ11-AR11-AS11</f>
        <v>12619394</v>
      </c>
      <c r="AU11" s="1363">
        <f t="shared" ref="AU11:AU42" si="7">AL11+AR11</f>
        <v>141561</v>
      </c>
      <c r="AV11" s="1363">
        <f>VLOOKUP(C11,'[13]1'!$B$7:$F$83,5,0)</f>
        <v>1509984</v>
      </c>
      <c r="AW11" s="1366">
        <f>AK11+AM11+AN11+AQ11+AS11-AV11</f>
        <v>324001</v>
      </c>
      <c r="AX11" s="1374">
        <f t="shared" ref="AX11:AX39" si="8">SUM(F11:I11)</f>
        <v>10539991</v>
      </c>
      <c r="AY11" s="1374">
        <f>AP11-AK11-AL11</f>
        <v>10539991</v>
      </c>
      <c r="AZ11" s="1374"/>
      <c r="BA11" s="1437">
        <f t="shared" ref="BA11:BA42" si="9">J11+K11+L11+AK11+AL11+AO11</f>
        <v>1432895</v>
      </c>
      <c r="BB11" s="1437" t="e">
        <f>#REF!</f>
        <v>#REF!</v>
      </c>
      <c r="BC11" s="1437" t="e">
        <f>#REF!</f>
        <v>#REF!</v>
      </c>
      <c r="BD11" s="1437">
        <f t="shared" ref="BD11:BD42" si="10">AK11+AL11+AM11</f>
        <v>1408895</v>
      </c>
      <c r="BE11" s="1374"/>
      <c r="BF11" s="1374">
        <f>IFERROR(VLOOKUP(B11,'Bảng lương T5.2024'!$B$10:$N$85,13,0),0)</f>
        <v>44512</v>
      </c>
      <c r="BG11" s="1374">
        <f t="shared" ref="BG11:BG41" si="11">AR11-BF11</f>
        <v>2675</v>
      </c>
      <c r="BH11" s="1367" t="s">
        <v>15</v>
      </c>
      <c r="BI11" s="1367" t="s">
        <v>15</v>
      </c>
      <c r="BJ11" s="1373">
        <f t="shared" ref="BJ11:BJ20" si="12">SUMIFS($F$11:$F$77,$BH$11:$BH$77,BI11)</f>
        <v>58698903</v>
      </c>
      <c r="BK11" s="1373" t="e">
        <f>+BO11-BJ11-BL11-BM11-BN11</f>
        <v>#REF!</v>
      </c>
      <c r="BL11" s="1373" t="e">
        <f>SUMIFS(#REF!,$BH$11:$BH$77,BI11)</f>
        <v>#REF!</v>
      </c>
      <c r="BM11" s="1373">
        <f t="shared" ref="BM11:BM20" si="13">SUMIFS($BT$11:$BT$77,$BH$11:$BH$77,BI11)</f>
        <v>8453370</v>
      </c>
      <c r="BN11" s="1373"/>
      <c r="BO11" s="1373">
        <f t="shared" ref="BO11:BO20" si="14">SUMIFS($AP$11:$AP$77,$BH$11:$BH$77,BI11)</f>
        <v>65583187</v>
      </c>
      <c r="BP11" s="1373">
        <f>BO11-BJ11</f>
        <v>6884284</v>
      </c>
      <c r="BQ11" s="1373">
        <f t="shared" ref="BQ11:BQ20" si="15">SUMIFS($BA:$BA,$BH:$BH,BI11)</f>
        <v>10030265</v>
      </c>
      <c r="BR11" s="1373" t="e">
        <f>SUMIFS(#REF!,#REF!,'DSOAT-T1.2025'!BI11)</f>
        <v>#REF!</v>
      </c>
      <c r="BS11" s="1373" t="e">
        <f>BP11-BR11</f>
        <v>#REF!</v>
      </c>
      <c r="BT11" s="1373">
        <f t="shared" ref="BT11:BT42" si="16">+AK11+AL11+AM11</f>
        <v>1408895</v>
      </c>
      <c r="BU11" s="1373">
        <f>IFERROR(VLOOKUP(B11,#REF!,13,0),0)</f>
        <v>0</v>
      </c>
      <c r="BV11" s="1373">
        <f t="shared" ref="BV11:BV41" si="17">AQ11-BU11</f>
        <v>495464</v>
      </c>
      <c r="BW11" s="1368" t="e">
        <f t="shared" ref="BW11:BW20" si="18">BK11/$BK$21</f>
        <v>#REF!</v>
      </c>
      <c r="BX11" s="1371" t="e">
        <f t="shared" ref="BX11:BX20" si="19">+BW11*$BX$21</f>
        <v>#REF!</v>
      </c>
      <c r="CA11" s="1367">
        <v>5.5</v>
      </c>
      <c r="CB11" s="1369">
        <f>CA11-E11</f>
        <v>-8323045497.5</v>
      </c>
      <c r="CH11" s="1367">
        <v>0</v>
      </c>
      <c r="CI11" s="1369">
        <f>E11-CH11</f>
        <v>8323045503</v>
      </c>
      <c r="CN11" s="1370">
        <f>IFERROR(VLOOKUP(B11,#REF!,6,0),0)</f>
        <v>0</v>
      </c>
      <c r="CO11" s="1369">
        <f>E11-CN11</f>
        <v>8323045503</v>
      </c>
      <c r="CQ11" s="1371">
        <v>8000000</v>
      </c>
      <c r="CR11" s="1372">
        <f>AJ11-CQ11</f>
        <v>5162045</v>
      </c>
      <c r="CS11" s="1371"/>
      <c r="CT11" s="1375">
        <f>IFERROR(VLOOKUP(B11,#REF!,6,0),0)</f>
        <v>0</v>
      </c>
      <c r="CU11" s="1369">
        <f>E11-CT11</f>
        <v>8323045503</v>
      </c>
    </row>
    <row r="12" spans="1:99" s="1367" customFormat="1" ht="21" customHeight="1">
      <c r="A12" s="1356">
        <v>2</v>
      </c>
      <c r="B12" s="1357" t="s">
        <v>55</v>
      </c>
      <c r="C12" s="1358" t="s">
        <v>56</v>
      </c>
      <c r="D12" s="1359">
        <f>IFERROR(VLOOKUP(B12,'[10]Danh sách CTV'!A$3:G$81,7,0),0)</f>
        <v>4130200.0000000005</v>
      </c>
      <c r="E12" s="1434" t="str">
        <f>VLOOKUP(C12,[11]NhanSu!$D$4:$E$86,2,0)</f>
        <v>7908392153</v>
      </c>
      <c r="F12" s="1360">
        <f>IFERROR(VLOOKUP(B12,'Bảng lương t1.2025'!$B$10:$H$89,7,0),0)</f>
        <v>3368496</v>
      </c>
      <c r="G12" s="1360"/>
      <c r="H12" s="1364"/>
      <c r="I12" s="1452">
        <f>IFERROR(VLOOKUP(B12,'Bảng lương t1.2025'!$B$10:$I$89,8,0),0)</f>
        <v>9925585</v>
      </c>
      <c r="J12" s="1452"/>
      <c r="K12" s="1435">
        <f>SUMIFS('64'!$E:$E,'64'!$B:$B,'DSOAT-T1.2025'!C12)</f>
        <v>300000</v>
      </c>
      <c r="L12" s="1365"/>
      <c r="M12" s="1365"/>
      <c r="N12" s="1365"/>
      <c r="O12" s="1365"/>
      <c r="P12" s="1365"/>
      <c r="Q12" s="1365"/>
      <c r="R12" s="1365"/>
      <c r="S12" s="1365"/>
      <c r="T12" s="1365"/>
      <c r="U12" s="1365"/>
      <c r="V12" s="1365"/>
      <c r="W12" s="1365"/>
      <c r="X12" s="1365"/>
      <c r="Y12" s="1365"/>
      <c r="Z12" s="1365">
        <f>IFERROR(VLOOKUP(B12,'[12]CTV thuê lại'!B$9:F$90,5,0),0)</f>
        <v>2953279</v>
      </c>
      <c r="AA12" s="1436">
        <v>300000</v>
      </c>
      <c r="AB12" s="1365">
        <f>SUMIFS('210'!$G:$G,'210'!$B:$B,'DSOAT-T1.2025'!C12)</f>
        <v>500000</v>
      </c>
      <c r="AC12" s="1365"/>
      <c r="AD12" s="1365"/>
      <c r="AE12" s="1365"/>
      <c r="AF12" s="1365"/>
      <c r="AG12" s="1365"/>
      <c r="AH12" s="1365"/>
      <c r="AI12" s="1365"/>
      <c r="AJ12" s="1361">
        <f t="shared" si="0"/>
        <v>17347360</v>
      </c>
      <c r="AK12" s="1362">
        <f t="shared" si="1"/>
        <v>887993</v>
      </c>
      <c r="AL12" s="1363">
        <f t="shared" si="2"/>
        <v>82604.000000000015</v>
      </c>
      <c r="AM12" s="1363">
        <v>300000</v>
      </c>
      <c r="AN12" s="1363">
        <f t="shared" ref="AN12:AN70" si="20">AM12*8%</f>
        <v>24000</v>
      </c>
      <c r="AO12" s="1363">
        <f t="shared" ref="AO12:AO70" si="21">AM12+AN12</f>
        <v>324000</v>
      </c>
      <c r="AP12" s="1362">
        <f t="shared" si="3"/>
        <v>14564678</v>
      </c>
      <c r="AQ12" s="1363">
        <f t="shared" si="4"/>
        <v>433671</v>
      </c>
      <c r="AR12" s="1363">
        <f t="shared" si="5"/>
        <v>41302.000000000007</v>
      </c>
      <c r="AS12" s="1363">
        <f>VLOOKUP(B12,'Thuế TNCN _T1'!$B$9:$K$86,10,0)</f>
        <v>0</v>
      </c>
      <c r="AT12" s="1366">
        <f t="shared" si="6"/>
        <v>16872387</v>
      </c>
      <c r="AU12" s="1363">
        <f t="shared" si="7"/>
        <v>123906.00000000003</v>
      </c>
      <c r="AV12" s="1363">
        <f>VLOOKUP(C12,'[13]1'!$B$7:$F$83,5,0)</f>
        <v>1321664</v>
      </c>
      <c r="AW12" s="1366">
        <f t="shared" ref="AW12:AW42" si="22">AK12+AM12+AN12+AQ12+AS12-AV12</f>
        <v>324000</v>
      </c>
      <c r="AX12" s="1374">
        <f t="shared" si="8"/>
        <v>13294081</v>
      </c>
      <c r="AY12" s="1374">
        <f t="shared" ref="AY12:AY75" si="23">AP12-AK12-AL12</f>
        <v>13594081</v>
      </c>
      <c r="AZ12" s="1374"/>
      <c r="BA12" s="1437">
        <f t="shared" si="9"/>
        <v>1594597</v>
      </c>
      <c r="BB12" s="1437" t="e">
        <f>#REF!</f>
        <v>#REF!</v>
      </c>
      <c r="BC12" s="1437" t="e">
        <f>#REF!</f>
        <v>#REF!</v>
      </c>
      <c r="BD12" s="1437">
        <f t="shared" si="10"/>
        <v>1270597</v>
      </c>
      <c r="BE12" s="1374"/>
      <c r="BF12" s="1374">
        <f>IFERROR(VLOOKUP(B12,'Bảng lương T5.2024'!$B$10:$N$85,13,0),0)</f>
        <v>38948</v>
      </c>
      <c r="BG12" s="1374">
        <f t="shared" si="11"/>
        <v>2354.0000000000073</v>
      </c>
      <c r="BH12" s="1367" t="s">
        <v>42</v>
      </c>
      <c r="BI12" s="1367" t="s">
        <v>23</v>
      </c>
      <c r="BJ12" s="1373">
        <f t="shared" si="12"/>
        <v>60402508</v>
      </c>
      <c r="BK12" s="1373" t="e">
        <f t="shared" ref="BK12:BK20" si="24">+BO12-BJ12-BL12-BM12-BN12</f>
        <v>#REF!</v>
      </c>
      <c r="BL12" s="1373" t="e">
        <f>SUMIFS(#REF!,$BH$11:$BH$77,BI12)</f>
        <v>#REF!</v>
      </c>
      <c r="BM12" s="1373">
        <f t="shared" si="13"/>
        <v>9862265</v>
      </c>
      <c r="BN12" s="1373"/>
      <c r="BO12" s="1373">
        <f t="shared" si="14"/>
        <v>114773981</v>
      </c>
      <c r="BP12" s="1373">
        <f t="shared" ref="BP12:BP20" si="25">BO12-BJ12</f>
        <v>54371473</v>
      </c>
      <c r="BQ12" s="1373">
        <f t="shared" si="15"/>
        <v>20519138</v>
      </c>
      <c r="BR12" s="1373" t="e">
        <f>SUMIFS(#REF!,#REF!,'DSOAT-T1.2025'!BI12)</f>
        <v>#REF!</v>
      </c>
      <c r="BS12" s="1373" t="e">
        <f t="shared" ref="BS12:BS20" si="26">BP12-BR12</f>
        <v>#REF!</v>
      </c>
      <c r="BT12" s="1373">
        <f t="shared" si="16"/>
        <v>1270597</v>
      </c>
      <c r="BU12" s="1373">
        <f>IFERROR(VLOOKUP(B12,#REF!,13,0),0)</f>
        <v>0</v>
      </c>
      <c r="BV12" s="1373">
        <f t="shared" si="17"/>
        <v>433671</v>
      </c>
      <c r="BW12" s="1368" t="e">
        <f t="shared" si="18"/>
        <v>#REF!</v>
      </c>
      <c r="BX12" s="1371" t="e">
        <f t="shared" si="19"/>
        <v>#REF!</v>
      </c>
      <c r="CB12" s="1369"/>
      <c r="CI12" s="1369"/>
      <c r="CN12" s="1370"/>
      <c r="CO12" s="1369"/>
      <c r="CQ12" s="1371"/>
      <c r="CR12" s="1372"/>
      <c r="CS12" s="1371"/>
      <c r="CT12" s="1375"/>
      <c r="CU12" s="1369"/>
    </row>
    <row r="13" spans="1:99" s="1367" customFormat="1" ht="21" customHeight="1">
      <c r="A13" s="1356">
        <v>3</v>
      </c>
      <c r="B13" s="1357" t="s">
        <v>16</v>
      </c>
      <c r="C13" s="1358" t="s">
        <v>17</v>
      </c>
      <c r="D13" s="1359">
        <f>IFERROR(VLOOKUP(B13,'[10]Danh sách CTV'!A$3:G$81,7,0),0)</f>
        <v>4718700</v>
      </c>
      <c r="E13" s="1434" t="str">
        <f>VLOOKUP(C13,[11]NhanSu!$D$4:$E$86,2,0)</f>
        <v xml:space="preserve">7938157197  </v>
      </c>
      <c r="F13" s="1360">
        <f>IFERROR(VLOOKUP(B13,'Bảng lương t1.2025'!$B$10:$H$89,7,0),0)</f>
        <v>9852064</v>
      </c>
      <c r="G13" s="1360"/>
      <c r="H13" s="1364"/>
      <c r="I13" s="1452">
        <f>IFERROR(VLOOKUP(B13,'Bảng lương t1.2025'!$B$10:$I$89,8,0),0)</f>
        <v>0</v>
      </c>
      <c r="J13" s="1452"/>
      <c r="K13" s="1435">
        <f>SUMIFS('64'!$E:$E,'64'!$B:$B,'DSOAT-T1.2025'!C13)</f>
        <v>0</v>
      </c>
      <c r="L13" s="1365"/>
      <c r="M13" s="1365"/>
      <c r="N13" s="1365"/>
      <c r="O13" s="1365"/>
      <c r="P13" s="1365"/>
      <c r="Q13" s="1365"/>
      <c r="R13" s="1365"/>
      <c r="S13" s="1365"/>
      <c r="T13" s="1365"/>
      <c r="U13" s="1365"/>
      <c r="V13" s="1365"/>
      <c r="W13" s="1365"/>
      <c r="X13" s="1365"/>
      <c r="Y13" s="1365"/>
      <c r="Z13" s="1365">
        <f>IFERROR(VLOOKUP(B13,'[12]CTV thuê lại'!B$9:F$90,5,0),0)</f>
        <v>2318541</v>
      </c>
      <c r="AA13" s="1436"/>
      <c r="AB13" s="1365">
        <f>SUMIFS('210'!$G:$G,'210'!$B:$B,'DSOAT-T1.2025'!C13)</f>
        <v>200000</v>
      </c>
      <c r="AC13" s="1365"/>
      <c r="AD13" s="1365"/>
      <c r="AE13" s="1365"/>
      <c r="AF13" s="1365"/>
      <c r="AG13" s="1365"/>
      <c r="AH13" s="1365"/>
      <c r="AI13" s="1365"/>
      <c r="AJ13" s="1361">
        <f t="shared" si="0"/>
        <v>12370605</v>
      </c>
      <c r="AK13" s="1362">
        <f t="shared" si="1"/>
        <v>1014521</v>
      </c>
      <c r="AL13" s="1363">
        <f t="shared" si="2"/>
        <v>94374</v>
      </c>
      <c r="AM13" s="1363">
        <v>300000</v>
      </c>
      <c r="AN13" s="1363">
        <f t="shared" si="20"/>
        <v>24000</v>
      </c>
      <c r="AO13" s="1363">
        <f t="shared" si="21"/>
        <v>324000</v>
      </c>
      <c r="AP13" s="1362">
        <f t="shared" si="3"/>
        <v>10960959</v>
      </c>
      <c r="AQ13" s="1363">
        <f t="shared" si="4"/>
        <v>495464</v>
      </c>
      <c r="AR13" s="1363">
        <f t="shared" si="5"/>
        <v>47187</v>
      </c>
      <c r="AS13" s="1363">
        <f>VLOOKUP(B13,'Thuế TNCN _T1'!$B$9:$K$86,10,0)</f>
        <v>43757</v>
      </c>
      <c r="AT13" s="1366">
        <f t="shared" si="6"/>
        <v>11784197</v>
      </c>
      <c r="AU13" s="1363">
        <f t="shared" si="7"/>
        <v>141561</v>
      </c>
      <c r="AV13" s="1363">
        <f>VLOOKUP(C13,'[13]1'!$B$7:$F$83,5,0)</f>
        <v>1509984</v>
      </c>
      <c r="AW13" s="1366">
        <f t="shared" si="22"/>
        <v>367758</v>
      </c>
      <c r="AX13" s="1374">
        <f t="shared" si="8"/>
        <v>9852064</v>
      </c>
      <c r="AY13" s="1374">
        <f t="shared" si="23"/>
        <v>9852064</v>
      </c>
      <c r="AZ13" s="1374"/>
      <c r="BA13" s="1437">
        <f t="shared" si="9"/>
        <v>1432895</v>
      </c>
      <c r="BB13" s="1437" t="e">
        <f>#REF!</f>
        <v>#REF!</v>
      </c>
      <c r="BC13" s="1437" t="e">
        <f>#REF!</f>
        <v>#REF!</v>
      </c>
      <c r="BD13" s="1437">
        <f t="shared" si="10"/>
        <v>1408895</v>
      </c>
      <c r="BE13" s="1374"/>
      <c r="BF13" s="1374">
        <f>IFERROR(VLOOKUP(B13,'Bảng lương T5.2024'!$B$10:$N$85,13,0),0)</f>
        <v>44512</v>
      </c>
      <c r="BG13" s="1374">
        <f t="shared" si="11"/>
        <v>2675</v>
      </c>
      <c r="BH13" s="1367" t="s">
        <v>15</v>
      </c>
      <c r="BI13" s="1367" t="s">
        <v>42</v>
      </c>
      <c r="BJ13" s="1373">
        <f t="shared" si="12"/>
        <v>56221367</v>
      </c>
      <c r="BK13" s="1373" t="e">
        <f t="shared" si="24"/>
        <v>#REF!</v>
      </c>
      <c r="BL13" s="1373" t="e">
        <f>SUMIFS(#REF!,$BH$11:$BH$77,BI13)</f>
        <v>#REF!</v>
      </c>
      <c r="BM13" s="1373">
        <f t="shared" si="13"/>
        <v>13976567</v>
      </c>
      <c r="BN13" s="1373"/>
      <c r="BO13" s="1373">
        <f t="shared" si="14"/>
        <v>151908399</v>
      </c>
      <c r="BP13" s="1373">
        <f t="shared" si="25"/>
        <v>95687032</v>
      </c>
      <c r="BQ13" s="1373">
        <f t="shared" si="15"/>
        <v>33950698</v>
      </c>
      <c r="BR13" s="1373" t="e">
        <f>SUMIFS(#REF!,#REF!,'DSOAT-T1.2025'!BI13)</f>
        <v>#REF!</v>
      </c>
      <c r="BS13" s="1373" t="e">
        <f t="shared" si="26"/>
        <v>#REF!</v>
      </c>
      <c r="BT13" s="1373">
        <f t="shared" si="16"/>
        <v>1408895</v>
      </c>
      <c r="BU13" s="1373">
        <f>IFERROR(VLOOKUP(B13,#REF!,13,0),0)</f>
        <v>0</v>
      </c>
      <c r="BV13" s="1373">
        <f t="shared" si="17"/>
        <v>495464</v>
      </c>
      <c r="BW13" s="1368" t="e">
        <f t="shared" si="18"/>
        <v>#REF!</v>
      </c>
      <c r="BX13" s="1371" t="e">
        <f t="shared" si="19"/>
        <v>#REF!</v>
      </c>
      <c r="CA13" s="1367">
        <v>22</v>
      </c>
      <c r="CB13" s="1369">
        <f t="shared" ref="CB13:CB44" si="27">CA13-E13</f>
        <v>-7938157175</v>
      </c>
      <c r="CH13" s="1367">
        <v>22</v>
      </c>
      <c r="CI13" s="1369">
        <f t="shared" ref="CI13:CI44" si="28">E13-CH13</f>
        <v>7938157175</v>
      </c>
      <c r="CL13" s="1367" t="e">
        <f>VLOOKUP(B13,#REF!,4,0)</f>
        <v>#REF!</v>
      </c>
      <c r="CN13" s="1370">
        <f>IFERROR(VLOOKUP(B13,#REF!,6,0),0)</f>
        <v>0</v>
      </c>
      <c r="CO13" s="1369">
        <f t="shared" ref="CO13:CO44" si="29">E13-CN13</f>
        <v>7938157197</v>
      </c>
      <c r="CQ13" s="1371">
        <v>16327230.753117992</v>
      </c>
      <c r="CR13" s="1372">
        <f t="shared" ref="CR13:CR44" si="30">AJ13-CQ13</f>
        <v>-3956625.7531179916</v>
      </c>
      <c r="CS13" s="1371"/>
      <c r="CT13" s="1375">
        <f>IFERROR(VLOOKUP(B13,#REF!,6,0),0)</f>
        <v>0</v>
      </c>
      <c r="CU13" s="1369">
        <f t="shared" ref="CU13:CU44" si="31">E13-CT13</f>
        <v>7938157197</v>
      </c>
    </row>
    <row r="14" spans="1:99" s="1367" customFormat="1" ht="21" customHeight="1">
      <c r="A14" s="1356">
        <v>4</v>
      </c>
      <c r="B14" s="1357" t="s">
        <v>21</v>
      </c>
      <c r="C14" s="1358" t="s">
        <v>22</v>
      </c>
      <c r="D14" s="1359">
        <f>IFERROR(VLOOKUP(B14,'[10]Danh sách CTV'!A$3:G$81,7,0),0)</f>
        <v>4718700</v>
      </c>
      <c r="E14" s="1434" t="str">
        <f>VLOOKUP(C14,[11]NhanSu!$D$4:$E$86,2,0)</f>
        <v>8316007808</v>
      </c>
      <c r="F14" s="1360">
        <f>IFERROR(VLOOKUP(B14,'Bảng lương t1.2025'!$B$10:$H$89,7,0),0)</f>
        <v>6295739</v>
      </c>
      <c r="G14" s="1360"/>
      <c r="H14" s="1364"/>
      <c r="I14" s="1452">
        <f>IFERROR(VLOOKUP(B14,'Bảng lương t1.2025'!$B$10:$I$89,8,0),0)</f>
        <v>61675</v>
      </c>
      <c r="J14" s="1452"/>
      <c r="K14" s="1435">
        <f>SUMIFS('64'!$E:$E,'64'!$B:$B,'DSOAT-T1.2025'!C14)</f>
        <v>0</v>
      </c>
      <c r="L14" s="1365"/>
      <c r="M14" s="1365"/>
      <c r="N14" s="1365"/>
      <c r="O14" s="1365"/>
      <c r="P14" s="1365"/>
      <c r="Q14" s="1365"/>
      <c r="R14" s="1365"/>
      <c r="S14" s="1365"/>
      <c r="T14" s="1365"/>
      <c r="U14" s="1365"/>
      <c r="V14" s="1365"/>
      <c r="W14" s="1365"/>
      <c r="X14" s="1365"/>
      <c r="Y14" s="1365"/>
      <c r="Z14" s="1365">
        <f>IFERROR(VLOOKUP(B14,'[12]CTV thuê lại'!B$9:F$90,5,0),0)</f>
        <v>1514943</v>
      </c>
      <c r="AA14" s="1436"/>
      <c r="AB14" s="1365">
        <f>SUMIFS('210'!$G:$G,'210'!$B:$B,'DSOAT-T1.2025'!C14)</f>
        <v>200000</v>
      </c>
      <c r="AC14" s="1365"/>
      <c r="AD14" s="1365"/>
      <c r="AE14" s="1365"/>
      <c r="AF14" s="1365"/>
      <c r="AG14" s="1365"/>
      <c r="AH14" s="1365"/>
      <c r="AI14" s="1365"/>
      <c r="AJ14" s="1361">
        <f t="shared" si="0"/>
        <v>8072357</v>
      </c>
      <c r="AK14" s="1362">
        <f t="shared" si="1"/>
        <v>1014521</v>
      </c>
      <c r="AL14" s="1363">
        <f t="shared" si="2"/>
        <v>94374</v>
      </c>
      <c r="AM14" s="1363">
        <v>300000</v>
      </c>
      <c r="AN14" s="1363">
        <f t="shared" si="20"/>
        <v>24000</v>
      </c>
      <c r="AO14" s="1363">
        <f t="shared" si="21"/>
        <v>324000</v>
      </c>
      <c r="AP14" s="1362">
        <f t="shared" si="3"/>
        <v>7466309</v>
      </c>
      <c r="AQ14" s="1363">
        <f t="shared" si="4"/>
        <v>495464</v>
      </c>
      <c r="AR14" s="1363">
        <f t="shared" si="5"/>
        <v>47187</v>
      </c>
      <c r="AS14" s="1363">
        <f>VLOOKUP(B14,'Thuế TNCN _T1'!$B$9:$K$86,10,0)</f>
        <v>0</v>
      </c>
      <c r="AT14" s="1366">
        <f t="shared" si="6"/>
        <v>7529706</v>
      </c>
      <c r="AU14" s="1363">
        <f t="shared" si="7"/>
        <v>141561</v>
      </c>
      <c r="AV14" s="1363">
        <f>VLOOKUP(C14,'[13]1'!$B$7:$F$83,5,0)</f>
        <v>1509984</v>
      </c>
      <c r="AW14" s="1366">
        <f t="shared" si="22"/>
        <v>324001</v>
      </c>
      <c r="AX14" s="1374">
        <f t="shared" si="8"/>
        <v>6357414</v>
      </c>
      <c r="AY14" s="1374">
        <f t="shared" si="23"/>
        <v>6357414</v>
      </c>
      <c r="AZ14" s="1374"/>
      <c r="BA14" s="1437">
        <f t="shared" si="9"/>
        <v>1432895</v>
      </c>
      <c r="BB14" s="1437" t="e">
        <f>#REF!</f>
        <v>#REF!</v>
      </c>
      <c r="BC14" s="1437" t="e">
        <f>#REF!</f>
        <v>#REF!</v>
      </c>
      <c r="BD14" s="1437">
        <f t="shared" si="10"/>
        <v>1408895</v>
      </c>
      <c r="BE14" s="1374"/>
      <c r="BF14" s="1374">
        <f>IFERROR(VLOOKUP(B14,'Bảng lương T5.2024'!$B$10:$N$85,13,0),0)</f>
        <v>44512</v>
      </c>
      <c r="BG14" s="1374">
        <f t="shared" si="11"/>
        <v>2675</v>
      </c>
      <c r="BH14" s="1367" t="s">
        <v>15</v>
      </c>
      <c r="BI14" s="1367" t="s">
        <v>63</v>
      </c>
      <c r="BJ14" s="1373">
        <f t="shared" si="12"/>
        <v>15517060</v>
      </c>
      <c r="BK14" s="1373" t="e">
        <f t="shared" si="24"/>
        <v>#REF!</v>
      </c>
      <c r="BL14" s="1373" t="e">
        <f>SUMIFS(#REF!,$BH$11:$BH$77,BI14)</f>
        <v>#REF!</v>
      </c>
      <c r="BM14" s="1373">
        <f t="shared" si="13"/>
        <v>4670012</v>
      </c>
      <c r="BN14" s="1373"/>
      <c r="BO14" s="1373">
        <f t="shared" si="14"/>
        <v>50612079</v>
      </c>
      <c r="BP14" s="1373">
        <f t="shared" si="25"/>
        <v>35095019</v>
      </c>
      <c r="BQ14" s="1373">
        <f t="shared" si="15"/>
        <v>9614524</v>
      </c>
      <c r="BR14" s="1373" t="e">
        <f>SUMIFS(#REF!,#REF!,'DSOAT-T1.2025'!BI14)</f>
        <v>#REF!</v>
      </c>
      <c r="BS14" s="1373" t="e">
        <f t="shared" si="26"/>
        <v>#REF!</v>
      </c>
      <c r="BT14" s="1373">
        <f t="shared" si="16"/>
        <v>1408895</v>
      </c>
      <c r="BU14" s="1373">
        <f>IFERROR(VLOOKUP(B14,#REF!,13,0),0)</f>
        <v>0</v>
      </c>
      <c r="BV14" s="1373">
        <f t="shared" si="17"/>
        <v>495464</v>
      </c>
      <c r="BW14" s="1368" t="e">
        <f t="shared" si="18"/>
        <v>#REF!</v>
      </c>
      <c r="BX14" s="1371" t="e">
        <f t="shared" si="19"/>
        <v>#REF!</v>
      </c>
      <c r="CA14" s="1367">
        <v>22</v>
      </c>
      <c r="CB14" s="1369">
        <f t="shared" si="27"/>
        <v>-8316007786</v>
      </c>
      <c r="CH14" s="1367">
        <v>22</v>
      </c>
      <c r="CI14" s="1369">
        <f t="shared" si="28"/>
        <v>8316007786</v>
      </c>
      <c r="CL14" s="1367" t="e">
        <f>VLOOKUP(B14,#REF!,4,0)</f>
        <v>#REF!</v>
      </c>
      <c r="CN14" s="1370">
        <f>IFERROR(VLOOKUP(B14,#REF!,6,0),0)</f>
        <v>0</v>
      </c>
      <c r="CO14" s="1369">
        <f t="shared" si="29"/>
        <v>8316007808</v>
      </c>
      <c r="CQ14" s="1371">
        <v>13306550.955146598</v>
      </c>
      <c r="CR14" s="1372">
        <f t="shared" si="30"/>
        <v>-5234193.9551465977</v>
      </c>
      <c r="CS14" s="1371"/>
      <c r="CT14" s="1375">
        <f>IFERROR(VLOOKUP(B14,#REF!,6,0),0)</f>
        <v>0</v>
      </c>
      <c r="CU14" s="1369">
        <f t="shared" si="31"/>
        <v>8316007808</v>
      </c>
    </row>
    <row r="15" spans="1:99" s="1367" customFormat="1" ht="21" customHeight="1">
      <c r="A15" s="1356">
        <v>5</v>
      </c>
      <c r="B15" s="1357" t="s">
        <v>155</v>
      </c>
      <c r="C15" s="1358" t="s">
        <v>142</v>
      </c>
      <c r="D15" s="1359">
        <f>IFERROR(VLOOKUP(B15,'[10]Danh sách CTV'!A$3:G$81,7,0),0)</f>
        <v>4718700</v>
      </c>
      <c r="E15" s="1434" t="str">
        <f>VLOOKUP(C15,[11]NhanSu!$D$4:$E$86,2,0)</f>
        <v>8322499399</v>
      </c>
      <c r="F15" s="1360">
        <f>IFERROR(VLOOKUP(B15,'Bảng lương t1.2025'!$B$10:$H$89,7,0),0)</f>
        <v>2193791</v>
      </c>
      <c r="G15" s="1360"/>
      <c r="H15" s="1364"/>
      <c r="I15" s="1452">
        <f>IFERROR(VLOOKUP(B15,'Bảng lương t1.2025'!$B$10:$I$89,8,0),0)</f>
        <v>9605899</v>
      </c>
      <c r="J15" s="1452"/>
      <c r="K15" s="1435">
        <f>SUMIFS('64'!$E:$E,'64'!$B:$B,'DSOAT-T1.2025'!C15)</f>
        <v>0</v>
      </c>
      <c r="L15" s="1365"/>
      <c r="M15" s="1365"/>
      <c r="N15" s="1365"/>
      <c r="O15" s="1365"/>
      <c r="P15" s="1365"/>
      <c r="Q15" s="1365"/>
      <c r="R15" s="1365"/>
      <c r="S15" s="1365"/>
      <c r="T15" s="1365"/>
      <c r="U15" s="1365"/>
      <c r="V15" s="1365"/>
      <c r="W15" s="1365"/>
      <c r="X15" s="1365"/>
      <c r="Y15" s="1365"/>
      <c r="Z15" s="1365">
        <f>IFERROR(VLOOKUP(B15,'[12]CTV thuê lại'!B$9:F$90,5,0),0)</f>
        <v>2323511</v>
      </c>
      <c r="AA15" s="1436"/>
      <c r="AB15" s="1365">
        <f>SUMIFS('210'!$G:$G,'210'!$B:$B,'DSOAT-T1.2025'!C15)</f>
        <v>200000</v>
      </c>
      <c r="AC15" s="1365"/>
      <c r="AD15" s="1365"/>
      <c r="AE15" s="1365"/>
      <c r="AF15" s="1365"/>
      <c r="AG15" s="1365"/>
      <c r="AH15" s="1365"/>
      <c r="AI15" s="1365"/>
      <c r="AJ15" s="1361">
        <f t="shared" si="0"/>
        <v>14323201</v>
      </c>
      <c r="AK15" s="1362">
        <f t="shared" si="1"/>
        <v>1014521</v>
      </c>
      <c r="AL15" s="1363">
        <f t="shared" si="2"/>
        <v>94374</v>
      </c>
      <c r="AM15" s="1363">
        <v>300000</v>
      </c>
      <c r="AN15" s="1363">
        <f t="shared" si="20"/>
        <v>24000</v>
      </c>
      <c r="AO15" s="1363">
        <f t="shared" si="21"/>
        <v>324000</v>
      </c>
      <c r="AP15" s="1362">
        <f t="shared" si="3"/>
        <v>12908585</v>
      </c>
      <c r="AQ15" s="1363">
        <f t="shared" si="4"/>
        <v>495464</v>
      </c>
      <c r="AR15" s="1363">
        <f t="shared" si="5"/>
        <v>47187</v>
      </c>
      <c r="AS15" s="1363">
        <f>VLOOKUP(B15,'Thuế TNCN _T1'!$B$9:$K$86,10,0)</f>
        <v>141387</v>
      </c>
      <c r="AT15" s="1366">
        <f t="shared" si="6"/>
        <v>13639163</v>
      </c>
      <c r="AU15" s="1363">
        <f t="shared" si="7"/>
        <v>141561</v>
      </c>
      <c r="AV15" s="1363">
        <f>VLOOKUP(C15,'[13]1'!$B$7:$F$83,5,0)</f>
        <v>1509984</v>
      </c>
      <c r="AW15" s="1366">
        <f t="shared" si="22"/>
        <v>465388</v>
      </c>
      <c r="AX15" s="1374">
        <f t="shared" si="8"/>
        <v>11799690</v>
      </c>
      <c r="AY15" s="1374">
        <f t="shared" si="23"/>
        <v>11799690</v>
      </c>
      <c r="AZ15" s="1374"/>
      <c r="BA15" s="1437">
        <f t="shared" si="9"/>
        <v>1432895</v>
      </c>
      <c r="BB15" s="1437" t="e">
        <f>#REF!</f>
        <v>#REF!</v>
      </c>
      <c r="BC15" s="1437" t="e">
        <f>#REF!</f>
        <v>#REF!</v>
      </c>
      <c r="BD15" s="1437">
        <f t="shared" si="10"/>
        <v>1408895</v>
      </c>
      <c r="BE15" s="1374"/>
      <c r="BF15" s="1374">
        <f>IFERROR(VLOOKUP(B15,'Bảng lương T5.2024'!$B$10:$N$85,13,0),0)</f>
        <v>44512</v>
      </c>
      <c r="BG15" s="1374">
        <f t="shared" si="11"/>
        <v>2675</v>
      </c>
      <c r="BH15" s="1367" t="s">
        <v>194</v>
      </c>
      <c r="BI15" s="1367" t="s">
        <v>70</v>
      </c>
      <c r="BJ15" s="1373">
        <f t="shared" si="12"/>
        <v>17030517</v>
      </c>
      <c r="BK15" s="1373" t="e">
        <f t="shared" si="24"/>
        <v>#REF!</v>
      </c>
      <c r="BL15" s="1373" t="e">
        <f>SUMIFS(#REF!,$BH$11:$BH$77,BI15)</f>
        <v>#REF!</v>
      </c>
      <c r="BM15" s="1373">
        <f t="shared" si="13"/>
        <v>5837515</v>
      </c>
      <c r="BN15" s="1373"/>
      <c r="BO15" s="1373">
        <f t="shared" si="14"/>
        <v>50746702</v>
      </c>
      <c r="BP15" s="1373">
        <f t="shared" si="25"/>
        <v>33716185</v>
      </c>
      <c r="BQ15" s="1373">
        <f t="shared" si="15"/>
        <v>7749018</v>
      </c>
      <c r="BR15" s="1373" t="e">
        <f>SUMIFS(#REF!,#REF!,'DSOAT-T1.2025'!BI15)</f>
        <v>#REF!</v>
      </c>
      <c r="BS15" s="1373" t="e">
        <f t="shared" si="26"/>
        <v>#REF!</v>
      </c>
      <c r="BT15" s="1373">
        <f t="shared" si="16"/>
        <v>1408895</v>
      </c>
      <c r="BU15" s="1373">
        <f>IFERROR(VLOOKUP(B15,#REF!,13,0),0)</f>
        <v>0</v>
      </c>
      <c r="BV15" s="1373">
        <f t="shared" si="17"/>
        <v>495464</v>
      </c>
      <c r="BW15" s="1368" t="e">
        <f t="shared" si="18"/>
        <v>#REF!</v>
      </c>
      <c r="BX15" s="1371" t="e">
        <f t="shared" si="19"/>
        <v>#REF!</v>
      </c>
      <c r="CA15" s="1367">
        <v>22</v>
      </c>
      <c r="CB15" s="1369">
        <f t="shared" si="27"/>
        <v>-8322499377</v>
      </c>
      <c r="CH15" s="1367">
        <v>22</v>
      </c>
      <c r="CI15" s="1369">
        <f t="shared" si="28"/>
        <v>8322499377</v>
      </c>
      <c r="CL15" s="1367" t="e">
        <f>VLOOKUP(B15,#REF!,4,0)</f>
        <v>#REF!</v>
      </c>
      <c r="CN15" s="1370">
        <f>IFERROR(VLOOKUP(B15,#REF!,6,0),0)</f>
        <v>0</v>
      </c>
      <c r="CO15" s="1369">
        <f t="shared" si="29"/>
        <v>8322499399</v>
      </c>
      <c r="CQ15" s="1371">
        <v>20976354.980024584</v>
      </c>
      <c r="CR15" s="1372">
        <f t="shared" si="30"/>
        <v>-6653153.9800245836</v>
      </c>
      <c r="CS15" s="1371"/>
      <c r="CT15" s="1375">
        <f>IFERROR(VLOOKUP(B15,#REF!,6,0),0)</f>
        <v>0</v>
      </c>
      <c r="CU15" s="1369">
        <f t="shared" si="31"/>
        <v>8322499399</v>
      </c>
    </row>
    <row r="16" spans="1:99" s="1367" customFormat="1" ht="21" customHeight="1">
      <c r="A16" s="1356">
        <v>6</v>
      </c>
      <c r="B16" s="1357" t="s">
        <v>156</v>
      </c>
      <c r="C16" s="1358" t="s">
        <v>143</v>
      </c>
      <c r="D16" s="1359">
        <f>IFERROR(VLOOKUP(B16,'[10]Danh sách CTV'!A$3:G$81,7,0),0)</f>
        <v>4718700</v>
      </c>
      <c r="E16" s="1434" t="str">
        <f>VLOOKUP(C16,[11]NhanSu!$D$4:$E$86,2,0)</f>
        <v>8321812591</v>
      </c>
      <c r="F16" s="1360">
        <f>IFERROR(VLOOKUP(B16,'Bảng lương t1.2025'!$B$10:$H$89,7,0),0)</f>
        <v>1865011</v>
      </c>
      <c r="G16" s="1360"/>
      <c r="H16" s="1364"/>
      <c r="I16" s="1452">
        <f>IFERROR(VLOOKUP(B16,'Bảng lương t1.2025'!$B$10:$I$89,8,0),0)</f>
        <v>8301990</v>
      </c>
      <c r="J16" s="1452"/>
      <c r="K16" s="1435">
        <f>SUMIFS('64'!$E:$E,'64'!$B:$B,'DSOAT-T1.2025'!C16)</f>
        <v>0</v>
      </c>
      <c r="L16" s="1365"/>
      <c r="M16" s="1365"/>
      <c r="N16" s="1365"/>
      <c r="O16" s="1365"/>
      <c r="P16" s="1365"/>
      <c r="Q16" s="1365"/>
      <c r="R16" s="1365"/>
      <c r="S16" s="1365"/>
      <c r="T16" s="1365"/>
      <c r="U16" s="1365"/>
      <c r="V16" s="1365"/>
      <c r="W16" s="1365"/>
      <c r="X16" s="1365"/>
      <c r="Y16" s="1365"/>
      <c r="Z16" s="1365">
        <f>IFERROR(VLOOKUP(B16,'[12]CTV thuê lại'!B$9:F$90,5,0),0)</f>
        <v>2318144</v>
      </c>
      <c r="AA16" s="1436"/>
      <c r="AB16" s="1365">
        <f>SUMIFS('210'!$G:$G,'210'!$B:$B,'DSOAT-T1.2025'!C16)</f>
        <v>500000</v>
      </c>
      <c r="AC16" s="1365"/>
      <c r="AD16" s="1365"/>
      <c r="AE16" s="1365"/>
      <c r="AF16" s="1365"/>
      <c r="AG16" s="1365"/>
      <c r="AH16" s="1365"/>
      <c r="AI16" s="1365"/>
      <c r="AJ16" s="1361">
        <f t="shared" si="0"/>
        <v>12985145</v>
      </c>
      <c r="AK16" s="1362">
        <f t="shared" si="1"/>
        <v>1014521</v>
      </c>
      <c r="AL16" s="1363">
        <f t="shared" si="2"/>
        <v>94374</v>
      </c>
      <c r="AM16" s="1363">
        <v>300000</v>
      </c>
      <c r="AN16" s="1363">
        <f t="shared" si="20"/>
        <v>24000</v>
      </c>
      <c r="AO16" s="1363">
        <f t="shared" si="21"/>
        <v>324000</v>
      </c>
      <c r="AP16" s="1362">
        <f t="shared" si="3"/>
        <v>11275896</v>
      </c>
      <c r="AQ16" s="1363">
        <f t="shared" si="4"/>
        <v>495464</v>
      </c>
      <c r="AR16" s="1363">
        <f t="shared" si="5"/>
        <v>47187</v>
      </c>
      <c r="AS16" s="1363">
        <f>VLOOKUP(B16,'Thuế TNCN _T1'!$B$9:$K$86,10,0)</f>
        <v>74484</v>
      </c>
      <c r="AT16" s="1366">
        <f t="shared" si="6"/>
        <v>12368010</v>
      </c>
      <c r="AU16" s="1363">
        <f t="shared" si="7"/>
        <v>141561</v>
      </c>
      <c r="AV16" s="1363">
        <f>VLOOKUP(C16,'[13]1'!$B$7:$F$83,5,0)</f>
        <v>1509984</v>
      </c>
      <c r="AW16" s="1366">
        <f t="shared" si="22"/>
        <v>398485</v>
      </c>
      <c r="AX16" s="1374">
        <f t="shared" si="8"/>
        <v>10167001</v>
      </c>
      <c r="AY16" s="1374">
        <f t="shared" si="23"/>
        <v>10167001</v>
      </c>
      <c r="AZ16" s="1374"/>
      <c r="BA16" s="1437">
        <f t="shared" si="9"/>
        <v>1432895</v>
      </c>
      <c r="BB16" s="1437" t="e">
        <f>#REF!</f>
        <v>#REF!</v>
      </c>
      <c r="BC16" s="1437" t="e">
        <f>#REF!</f>
        <v>#REF!</v>
      </c>
      <c r="BD16" s="1437">
        <f t="shared" si="10"/>
        <v>1408895</v>
      </c>
      <c r="BE16" s="1374"/>
      <c r="BF16" s="1374">
        <f>IFERROR(VLOOKUP(B16,'Bảng lương T5.2024'!$B$10:$N$85,13,0),0)</f>
        <v>44512</v>
      </c>
      <c r="BG16" s="1374">
        <f t="shared" si="11"/>
        <v>2675</v>
      </c>
      <c r="BH16" s="1367" t="s">
        <v>194</v>
      </c>
      <c r="BI16" s="1367" t="s">
        <v>79</v>
      </c>
      <c r="BJ16" s="1373">
        <f t="shared" si="12"/>
        <v>24470646</v>
      </c>
      <c r="BK16" s="1373" t="e">
        <f t="shared" si="24"/>
        <v>#REF!</v>
      </c>
      <c r="BL16" s="1373" t="e">
        <f>SUMIFS(#REF!,$BH$11:$BH$77,BI16)</f>
        <v>#REF!</v>
      </c>
      <c r="BM16" s="1373">
        <f t="shared" si="13"/>
        <v>8453370</v>
      </c>
      <c r="BN16" s="1373"/>
      <c r="BO16" s="1373">
        <f t="shared" si="14"/>
        <v>135039714</v>
      </c>
      <c r="BP16" s="1373">
        <f t="shared" si="25"/>
        <v>110569068</v>
      </c>
      <c r="BQ16" s="1373">
        <f t="shared" si="15"/>
        <v>51774369</v>
      </c>
      <c r="BR16" s="1373" t="e">
        <f>SUMIFS(#REF!,#REF!,'DSOAT-T1.2025'!BI16)</f>
        <v>#REF!</v>
      </c>
      <c r="BS16" s="1373" t="e">
        <f t="shared" si="26"/>
        <v>#REF!</v>
      </c>
      <c r="BT16" s="1373">
        <f t="shared" si="16"/>
        <v>1408895</v>
      </c>
      <c r="BU16" s="1373">
        <f>IFERROR(VLOOKUP(B16,#REF!,13,0),0)</f>
        <v>0</v>
      </c>
      <c r="BV16" s="1373">
        <f t="shared" si="17"/>
        <v>495464</v>
      </c>
      <c r="BW16" s="1368" t="e">
        <f t="shared" si="18"/>
        <v>#REF!</v>
      </c>
      <c r="BX16" s="1371" t="e">
        <f t="shared" si="19"/>
        <v>#REF!</v>
      </c>
      <c r="CA16" s="1367">
        <v>22</v>
      </c>
      <c r="CB16" s="1369">
        <f t="shared" si="27"/>
        <v>-8321812569</v>
      </c>
      <c r="CH16" s="1367">
        <v>22</v>
      </c>
      <c r="CI16" s="1369">
        <f t="shared" si="28"/>
        <v>8321812569</v>
      </c>
      <c r="CL16" s="1367" t="e">
        <f>VLOOKUP(B16,#REF!,4,0)</f>
        <v>#REF!</v>
      </c>
      <c r="CN16" s="1370">
        <f>IFERROR(VLOOKUP(B16,#REF!,6,0),0)</f>
        <v>0</v>
      </c>
      <c r="CO16" s="1369">
        <f t="shared" si="29"/>
        <v>8321812591</v>
      </c>
      <c r="CQ16" s="1371">
        <v>19868304.167018551</v>
      </c>
      <c r="CR16" s="1372">
        <f t="shared" si="30"/>
        <v>-6883159.1670185514</v>
      </c>
      <c r="CS16" s="1371"/>
      <c r="CT16" s="1375">
        <f>IFERROR(VLOOKUP(B16,#REF!,6,0),0)</f>
        <v>0</v>
      </c>
      <c r="CU16" s="1369">
        <f t="shared" si="31"/>
        <v>8321812591</v>
      </c>
    </row>
    <row r="17" spans="1:99" s="1367" customFormat="1" ht="21" customHeight="1">
      <c r="A17" s="1356">
        <v>7</v>
      </c>
      <c r="B17" s="1357" t="s">
        <v>157</v>
      </c>
      <c r="C17" s="1358" t="s">
        <v>144</v>
      </c>
      <c r="D17" s="1359">
        <f>IFERROR(VLOOKUP(B17,'[10]Danh sách CTV'!A$3:G$81,7,0),0)</f>
        <v>4718700</v>
      </c>
      <c r="E17" s="1434" t="str">
        <f>VLOOKUP(C17,[11]NhanSu!$D$4:$E$86,2,0)</f>
        <v>8310005668</v>
      </c>
      <c r="F17" s="1360">
        <f>IFERROR(VLOOKUP(B17,'Bảng lương t1.2025'!$B$10:$H$89,7,0),0)</f>
        <v>10661687</v>
      </c>
      <c r="G17" s="1360"/>
      <c r="H17" s="1364"/>
      <c r="I17" s="1452">
        <f>IFERROR(VLOOKUP(B17,'Bảng lương t1.2025'!$B$10:$I$89,8,0),0)</f>
        <v>61675</v>
      </c>
      <c r="J17" s="1452"/>
      <c r="K17" s="1435">
        <f>SUMIFS('64'!$E:$E,'64'!$B:$B,'DSOAT-T1.2025'!C17)</f>
        <v>0</v>
      </c>
      <c r="L17" s="1365"/>
      <c r="M17" s="1365"/>
      <c r="N17" s="1365"/>
      <c r="O17" s="1365"/>
      <c r="P17" s="1365"/>
      <c r="Q17" s="1365"/>
      <c r="R17" s="1365"/>
      <c r="S17" s="1365"/>
      <c r="T17" s="1365"/>
      <c r="U17" s="1365"/>
      <c r="V17" s="1365"/>
      <c r="W17" s="1365"/>
      <c r="X17" s="1365"/>
      <c r="Y17" s="1365"/>
      <c r="Z17" s="1365">
        <f>IFERROR(VLOOKUP(B17,'[12]CTV thuê lại'!B$9:F$90,5,0),0)</f>
        <v>3220213</v>
      </c>
      <c r="AA17" s="1436"/>
      <c r="AB17" s="1365">
        <f>SUMIFS('210'!$G:$G,'210'!$B:$B,'DSOAT-T1.2025'!C17)</f>
        <v>500000</v>
      </c>
      <c r="AC17" s="1365"/>
      <c r="AD17" s="1365"/>
      <c r="AE17" s="1365"/>
      <c r="AF17" s="1365"/>
      <c r="AG17" s="1365"/>
      <c r="AH17" s="1365"/>
      <c r="AI17" s="1365"/>
      <c r="AJ17" s="1361">
        <f t="shared" si="0"/>
        <v>14443575</v>
      </c>
      <c r="AK17" s="1362">
        <f t="shared" si="1"/>
        <v>1014521</v>
      </c>
      <c r="AL17" s="1363">
        <f t="shared" si="2"/>
        <v>94374</v>
      </c>
      <c r="AM17" s="1363">
        <v>300000</v>
      </c>
      <c r="AN17" s="1363">
        <f t="shared" si="20"/>
        <v>24000</v>
      </c>
      <c r="AO17" s="1363">
        <f t="shared" si="21"/>
        <v>324000</v>
      </c>
      <c r="AP17" s="1362">
        <f t="shared" si="3"/>
        <v>11832257</v>
      </c>
      <c r="AQ17" s="1363">
        <f t="shared" si="4"/>
        <v>495464</v>
      </c>
      <c r="AR17" s="1363">
        <f t="shared" si="5"/>
        <v>47187</v>
      </c>
      <c r="AS17" s="1363">
        <f>VLOOKUP(B17,'Thuế TNCN _T1'!$B$9:$K$86,10,0)</f>
        <v>147406</v>
      </c>
      <c r="AT17" s="1366">
        <f t="shared" si="6"/>
        <v>13753518</v>
      </c>
      <c r="AU17" s="1363">
        <f t="shared" si="7"/>
        <v>141561</v>
      </c>
      <c r="AV17" s="1363">
        <f>VLOOKUP(C17,'[13]1'!$B$7:$F$83,5,0)</f>
        <v>1509984</v>
      </c>
      <c r="AW17" s="1366">
        <f t="shared" si="22"/>
        <v>471407</v>
      </c>
      <c r="AX17" s="1374">
        <f t="shared" si="8"/>
        <v>10723362</v>
      </c>
      <c r="AY17" s="1374">
        <f t="shared" si="23"/>
        <v>10723362</v>
      </c>
      <c r="AZ17" s="1374"/>
      <c r="BA17" s="1437">
        <f t="shared" si="9"/>
        <v>1432895</v>
      </c>
      <c r="BB17" s="1437" t="e">
        <f>#REF!</f>
        <v>#REF!</v>
      </c>
      <c r="BC17" s="1437" t="e">
        <f>#REF!</f>
        <v>#REF!</v>
      </c>
      <c r="BD17" s="1437">
        <f t="shared" si="10"/>
        <v>1408895</v>
      </c>
      <c r="BE17" s="1374"/>
      <c r="BF17" s="1374">
        <f>IFERROR(VLOOKUP(B17,'Bảng lương T5.2024'!$B$10:$N$85,13,0),0)</f>
        <v>44512</v>
      </c>
      <c r="BG17" s="1374">
        <f t="shared" si="11"/>
        <v>2675</v>
      </c>
      <c r="BH17" s="1367" t="s">
        <v>15</v>
      </c>
      <c r="BI17" s="1367" t="s">
        <v>87</v>
      </c>
      <c r="BJ17" s="1373">
        <f t="shared" si="12"/>
        <v>9196236</v>
      </c>
      <c r="BK17" s="1373" t="e">
        <f t="shared" si="24"/>
        <v>#REF!</v>
      </c>
      <c r="BL17" s="1373" t="e">
        <f>SUMIFS(#REF!,$BH$11:$BH$77,BI17)</f>
        <v>#REF!</v>
      </c>
      <c r="BM17" s="1373">
        <f t="shared" si="13"/>
        <v>3502509</v>
      </c>
      <c r="BN17" s="1373"/>
      <c r="BO17" s="1373">
        <f t="shared" si="14"/>
        <v>50612969</v>
      </c>
      <c r="BP17" s="1373">
        <f t="shared" si="25"/>
        <v>41416733</v>
      </c>
      <c r="BQ17" s="1373">
        <f t="shared" si="15"/>
        <v>18807575</v>
      </c>
      <c r="BR17" s="1373" t="e">
        <f>SUMIFS(#REF!,#REF!,'DSOAT-T1.2025'!BI17)</f>
        <v>#REF!</v>
      </c>
      <c r="BS17" s="1373" t="e">
        <f t="shared" si="26"/>
        <v>#REF!</v>
      </c>
      <c r="BT17" s="1373">
        <f t="shared" si="16"/>
        <v>1408895</v>
      </c>
      <c r="BU17" s="1373">
        <f>IFERROR(VLOOKUP(B17,#REF!,13,0),0)</f>
        <v>0</v>
      </c>
      <c r="BV17" s="1373">
        <f t="shared" si="17"/>
        <v>495464</v>
      </c>
      <c r="BW17" s="1368" t="e">
        <f t="shared" si="18"/>
        <v>#REF!</v>
      </c>
      <c r="BX17" s="1371" t="e">
        <f t="shared" si="19"/>
        <v>#REF!</v>
      </c>
      <c r="CA17" s="1367">
        <v>22</v>
      </c>
      <c r="CB17" s="1369">
        <f t="shared" si="27"/>
        <v>-8310005646</v>
      </c>
      <c r="CH17" s="1367">
        <v>22</v>
      </c>
      <c r="CI17" s="1369">
        <f t="shared" si="28"/>
        <v>8310005646</v>
      </c>
      <c r="CN17" s="1370">
        <f>IFERROR(VLOOKUP(B17,#REF!,6,0),0)</f>
        <v>0</v>
      </c>
      <c r="CO17" s="1369">
        <f t="shared" si="29"/>
        <v>8310005668</v>
      </c>
      <c r="CQ17" s="1371">
        <v>17325419.878380246</v>
      </c>
      <c r="CR17" s="1372">
        <f t="shared" si="30"/>
        <v>-2881844.8783802465</v>
      </c>
      <c r="CS17" s="1371"/>
      <c r="CT17" s="1375">
        <f>IFERROR(VLOOKUP(B17,#REF!,6,0),0)</f>
        <v>0</v>
      </c>
      <c r="CU17" s="1369">
        <f t="shared" si="31"/>
        <v>8310005668</v>
      </c>
    </row>
    <row r="18" spans="1:99" s="1367" customFormat="1" ht="21" customHeight="1">
      <c r="A18" s="1356">
        <v>9</v>
      </c>
      <c r="B18" s="1357" t="s">
        <v>103</v>
      </c>
      <c r="C18" s="1358" t="s">
        <v>104</v>
      </c>
      <c r="D18" s="1359">
        <f>IFERROR(VLOOKUP(B18,'[10]Danh sách CTV'!A$3:G$81,7,0),0)</f>
        <v>4718700</v>
      </c>
      <c r="E18" s="1434" t="str">
        <f>VLOOKUP(C18,[11]NhanSu!$D$4:$E$86,2,0)</f>
        <v>8316017520</v>
      </c>
      <c r="F18" s="1360">
        <f>IFERROR(VLOOKUP(B18,'Bảng lương t1.2025'!$B$10:$H$89,7,0),0)</f>
        <v>12498873</v>
      </c>
      <c r="G18" s="1360"/>
      <c r="H18" s="1364"/>
      <c r="I18" s="1452">
        <f>IFERROR(VLOOKUP(B18,'Bảng lương t1.2025'!$B$10:$I$89,8,0),0)</f>
        <v>58224</v>
      </c>
      <c r="J18" s="1452"/>
      <c r="K18" s="1435">
        <f>SUMIFS('64'!$E:$E,'64'!$B:$B,'DSOAT-T1.2025'!C18)</f>
        <v>0</v>
      </c>
      <c r="L18" s="1365"/>
      <c r="M18" s="1365"/>
      <c r="N18" s="1365"/>
      <c r="O18" s="1365"/>
      <c r="P18" s="1365"/>
      <c r="Q18" s="1365"/>
      <c r="R18" s="1365"/>
      <c r="S18" s="1365"/>
      <c r="T18" s="1365"/>
      <c r="U18" s="1365"/>
      <c r="V18" s="1365"/>
      <c r="W18" s="1365"/>
      <c r="X18" s="1365"/>
      <c r="Y18" s="1365"/>
      <c r="Z18" s="1365">
        <f>IFERROR(VLOOKUP(B18,'[12]CTV thuê lại'!B$9:F$90,5,0),0)</f>
        <v>2898985</v>
      </c>
      <c r="AA18" s="1436"/>
      <c r="AB18" s="1365">
        <f>SUMIFS('210'!$G:$G,'210'!$B:$B,'DSOAT-T1.2025'!C18)</f>
        <v>500000</v>
      </c>
      <c r="AC18" s="1365"/>
      <c r="AD18" s="1365"/>
      <c r="AE18" s="1365"/>
      <c r="AF18" s="1365"/>
      <c r="AG18" s="1365"/>
      <c r="AH18" s="1365"/>
      <c r="AI18" s="1365"/>
      <c r="AJ18" s="1361">
        <f t="shared" si="0"/>
        <v>15956082</v>
      </c>
      <c r="AK18" s="1362">
        <f t="shared" si="1"/>
        <v>1014521</v>
      </c>
      <c r="AL18" s="1363">
        <f t="shared" si="2"/>
        <v>94374</v>
      </c>
      <c r="AM18" s="1363">
        <v>300000</v>
      </c>
      <c r="AN18" s="1363">
        <f t="shared" si="20"/>
        <v>24000</v>
      </c>
      <c r="AO18" s="1363">
        <f t="shared" si="21"/>
        <v>324000</v>
      </c>
      <c r="AP18" s="1362">
        <f t="shared" si="3"/>
        <v>13665992</v>
      </c>
      <c r="AQ18" s="1363">
        <f t="shared" si="4"/>
        <v>495464</v>
      </c>
      <c r="AR18" s="1363">
        <f t="shared" si="5"/>
        <v>47187</v>
      </c>
      <c r="AS18" s="1363">
        <f>VLOOKUP(B18,'Thuế TNCN _T1'!$B$9:$K$86,10,0)</f>
        <v>3031</v>
      </c>
      <c r="AT18" s="1366">
        <f t="shared" si="6"/>
        <v>15410400</v>
      </c>
      <c r="AU18" s="1363">
        <f t="shared" si="7"/>
        <v>141561</v>
      </c>
      <c r="AV18" s="1363">
        <f>VLOOKUP(C18,'[13]1'!$B$7:$F$83,5,0)</f>
        <v>1509984</v>
      </c>
      <c r="AW18" s="1366">
        <f t="shared" si="22"/>
        <v>327032</v>
      </c>
      <c r="AX18" s="1374">
        <f t="shared" si="8"/>
        <v>12557097</v>
      </c>
      <c r="AY18" s="1374">
        <f t="shared" si="23"/>
        <v>12557097</v>
      </c>
      <c r="AZ18" s="1374"/>
      <c r="BA18" s="1437">
        <f t="shared" si="9"/>
        <v>1432895</v>
      </c>
      <c r="BB18" s="1437" t="e">
        <f>#REF!</f>
        <v>#REF!</v>
      </c>
      <c r="BC18" s="1437" t="e">
        <f>#REF!</f>
        <v>#REF!</v>
      </c>
      <c r="BD18" s="1437">
        <f t="shared" si="10"/>
        <v>1408895</v>
      </c>
      <c r="BE18" s="1374"/>
      <c r="BF18" s="1374">
        <f>IFERROR(VLOOKUP(B18,'Bảng lương T5.2024'!$B$10:$N$85,13,0),0)</f>
        <v>44512</v>
      </c>
      <c r="BG18" s="1374">
        <f t="shared" si="11"/>
        <v>2675</v>
      </c>
      <c r="BH18" s="1367" t="s">
        <v>15</v>
      </c>
      <c r="BI18" s="1367" t="s">
        <v>20</v>
      </c>
      <c r="BJ18" s="1373">
        <f t="shared" si="12"/>
        <v>36347271</v>
      </c>
      <c r="BK18" s="1373" t="e">
        <f t="shared" si="24"/>
        <v>#REF!</v>
      </c>
      <c r="BL18" s="1373" t="e">
        <f>SUMIFS(#REF!,$BH$11:$BH$77,BI18)</f>
        <v>#REF!</v>
      </c>
      <c r="BM18" s="1373">
        <f t="shared" si="13"/>
        <v>9032477</v>
      </c>
      <c r="BN18" s="1373"/>
      <c r="BO18" s="1373">
        <f t="shared" si="14"/>
        <v>77929277</v>
      </c>
      <c r="BP18" s="1373">
        <f t="shared" si="25"/>
        <v>41582006</v>
      </c>
      <c r="BQ18" s="1373">
        <f t="shared" si="15"/>
        <v>9598307</v>
      </c>
      <c r="BR18" s="1373" t="e">
        <f>SUMIFS(#REF!,#REF!,'DSOAT-T1.2025'!BI18)</f>
        <v>#REF!</v>
      </c>
      <c r="BS18" s="1373" t="e">
        <f t="shared" si="26"/>
        <v>#REF!</v>
      </c>
      <c r="BT18" s="1373">
        <f t="shared" si="16"/>
        <v>1408895</v>
      </c>
      <c r="BU18" s="1373">
        <f>IFERROR(VLOOKUP(B18,#REF!,13,0),0)</f>
        <v>0</v>
      </c>
      <c r="BV18" s="1373">
        <f t="shared" si="17"/>
        <v>495464</v>
      </c>
      <c r="BW18" s="1368" t="e">
        <f t="shared" si="18"/>
        <v>#REF!</v>
      </c>
      <c r="BX18" s="1371" t="e">
        <f t="shared" si="19"/>
        <v>#REF!</v>
      </c>
      <c r="CA18" s="1367">
        <v>22</v>
      </c>
      <c r="CB18" s="1369">
        <f t="shared" si="27"/>
        <v>-8316017498</v>
      </c>
      <c r="CH18" s="1367">
        <v>22</v>
      </c>
      <c r="CI18" s="1369">
        <f t="shared" si="28"/>
        <v>8316017498</v>
      </c>
      <c r="CL18" s="1367" t="e">
        <f>VLOOKUP(B18,#REF!,4,0)</f>
        <v>#REF!</v>
      </c>
      <c r="CN18" s="1370">
        <f>IFERROR(VLOOKUP(B18,#REF!,6,0),0)</f>
        <v>0</v>
      </c>
      <c r="CO18" s="1369">
        <f t="shared" si="29"/>
        <v>8316017520</v>
      </c>
      <c r="CQ18" s="1371">
        <v>18032525.796419106</v>
      </c>
      <c r="CR18" s="1372">
        <f t="shared" si="30"/>
        <v>-2076443.7964191064</v>
      </c>
      <c r="CS18" s="1371"/>
      <c r="CT18" s="1375">
        <f>IFERROR(VLOOKUP(B18,#REF!,6,0),0)</f>
        <v>0</v>
      </c>
      <c r="CU18" s="1369">
        <f t="shared" si="31"/>
        <v>8316017520</v>
      </c>
    </row>
    <row r="19" spans="1:99" s="1367" customFormat="1" ht="21" customHeight="1">
      <c r="A19" s="1356">
        <v>10</v>
      </c>
      <c r="B19" s="1357" t="s">
        <v>24</v>
      </c>
      <c r="C19" s="1358" t="s">
        <v>25</v>
      </c>
      <c r="D19" s="1359">
        <f>IFERROR(VLOOKUP(B19,'[10]Danh sách CTV'!A$3:G$81,7,0),0)</f>
        <v>4718700</v>
      </c>
      <c r="E19" s="1434" t="str">
        <f>VLOOKUP(C19,[11]NhanSu!$D$4:$E$86,2,0)</f>
        <v>8310005661</v>
      </c>
      <c r="F19" s="1360">
        <f>IFERROR(VLOOKUP(B19,'Bảng lương t1.2025'!$B$10:$H$89,7,0),0)</f>
        <v>7973934</v>
      </c>
      <c r="G19" s="1360"/>
      <c r="H19" s="1364"/>
      <c r="I19" s="1452">
        <f>IFERROR(VLOOKUP(B19,'Bảng lương t1.2025'!$B$10:$I$89,8,0),0)</f>
        <v>1078075</v>
      </c>
      <c r="J19" s="1452"/>
      <c r="K19" s="1435">
        <f>SUMIFS('64'!$E:$E,'64'!$B:$B,'DSOAT-T1.2025'!C19)</f>
        <v>0</v>
      </c>
      <c r="L19" s="1365"/>
      <c r="M19" s="1365"/>
      <c r="N19" s="1365"/>
      <c r="O19" s="1365"/>
      <c r="P19" s="1365"/>
      <c r="Q19" s="1365"/>
      <c r="R19" s="1365"/>
      <c r="S19" s="1365"/>
      <c r="T19" s="1365"/>
      <c r="U19" s="1365"/>
      <c r="V19" s="1365"/>
      <c r="W19" s="1365"/>
      <c r="X19" s="1365"/>
      <c r="Y19" s="1365"/>
      <c r="Z19" s="1365">
        <f>IFERROR(VLOOKUP(B19,'[12]CTV thuê lại'!B$9:F$90,5,0),0)</f>
        <v>2257366</v>
      </c>
      <c r="AA19" s="1436"/>
      <c r="AB19" s="1365">
        <f>SUMIFS('210'!$G:$G,'210'!$B:$B,'DSOAT-T1.2025'!C19)</f>
        <v>200000</v>
      </c>
      <c r="AC19" s="1365"/>
      <c r="AD19" s="1365"/>
      <c r="AE19" s="1365"/>
      <c r="AF19" s="1365"/>
      <c r="AG19" s="1365"/>
      <c r="AH19" s="1365"/>
      <c r="AI19" s="1365"/>
      <c r="AJ19" s="1361">
        <f t="shared" si="0"/>
        <v>11509375</v>
      </c>
      <c r="AK19" s="1362">
        <f t="shared" si="1"/>
        <v>1014521</v>
      </c>
      <c r="AL19" s="1363">
        <f t="shared" si="2"/>
        <v>94374</v>
      </c>
      <c r="AM19" s="1363">
        <v>300000</v>
      </c>
      <c r="AN19" s="1363">
        <f t="shared" si="20"/>
        <v>24000</v>
      </c>
      <c r="AO19" s="1363">
        <f t="shared" si="21"/>
        <v>324000</v>
      </c>
      <c r="AP19" s="1362">
        <f t="shared" si="3"/>
        <v>10160904</v>
      </c>
      <c r="AQ19" s="1363">
        <f t="shared" si="4"/>
        <v>495464</v>
      </c>
      <c r="AR19" s="1363">
        <f t="shared" si="5"/>
        <v>47187</v>
      </c>
      <c r="AS19" s="1363">
        <f>VLOOKUP(B19,'Thuế TNCN _T1'!$B$9:$K$86,10,0)</f>
        <v>0</v>
      </c>
      <c r="AT19" s="1366">
        <f t="shared" si="6"/>
        <v>10966724</v>
      </c>
      <c r="AU19" s="1363">
        <f t="shared" si="7"/>
        <v>141561</v>
      </c>
      <c r="AV19" s="1363">
        <f>VLOOKUP(C19,'[13]1'!$B$7:$F$83,5,0)</f>
        <v>1509984</v>
      </c>
      <c r="AW19" s="1366">
        <f t="shared" si="22"/>
        <v>324001</v>
      </c>
      <c r="AX19" s="1374">
        <f t="shared" si="8"/>
        <v>9052009</v>
      </c>
      <c r="AY19" s="1374">
        <f t="shared" si="23"/>
        <v>9052009</v>
      </c>
      <c r="AZ19" s="1374"/>
      <c r="BA19" s="1437">
        <f t="shared" si="9"/>
        <v>1432895</v>
      </c>
      <c r="BB19" s="1437" t="e">
        <f>#REF!</f>
        <v>#REF!</v>
      </c>
      <c r="BC19" s="1437" t="e">
        <f>#REF!</f>
        <v>#REF!</v>
      </c>
      <c r="BD19" s="1437">
        <f t="shared" si="10"/>
        <v>1408895</v>
      </c>
      <c r="BE19" s="1374"/>
      <c r="BF19" s="1374">
        <f>IFERROR(VLOOKUP(B19,'Bảng lương T5.2024'!$B$10:$N$85,13,0),0)</f>
        <v>44512</v>
      </c>
      <c r="BG19" s="1374">
        <f t="shared" si="11"/>
        <v>2675</v>
      </c>
      <c r="BH19" s="1367" t="s">
        <v>23</v>
      </c>
      <c r="BI19" s="1367" t="s">
        <v>109</v>
      </c>
      <c r="BJ19" s="1373">
        <f t="shared" si="12"/>
        <v>0</v>
      </c>
      <c r="BK19" s="1373" t="e">
        <f t="shared" si="24"/>
        <v>#REF!</v>
      </c>
      <c r="BL19" s="1373" t="e">
        <f>SUMIFS(#REF!,$BH$11:$BH$77,BI19)</f>
        <v>#REF!</v>
      </c>
      <c r="BM19" s="1373">
        <f t="shared" si="13"/>
        <v>0</v>
      </c>
      <c r="BN19" s="1373"/>
      <c r="BO19" s="1373">
        <f t="shared" si="14"/>
        <v>0</v>
      </c>
      <c r="BP19" s="1373">
        <f t="shared" si="25"/>
        <v>0</v>
      </c>
      <c r="BQ19" s="1373">
        <f t="shared" si="15"/>
        <v>0</v>
      </c>
      <c r="BR19" s="1373" t="e">
        <f>SUMIFS(#REF!,#REF!,'DSOAT-T1.2025'!BI19)</f>
        <v>#REF!</v>
      </c>
      <c r="BS19" s="1373" t="e">
        <f t="shared" si="26"/>
        <v>#REF!</v>
      </c>
      <c r="BT19" s="1373">
        <f t="shared" si="16"/>
        <v>1408895</v>
      </c>
      <c r="BU19" s="1373">
        <f>IFERROR(VLOOKUP(B19,#REF!,13,0),0)</f>
        <v>0</v>
      </c>
      <c r="BV19" s="1373">
        <f t="shared" si="17"/>
        <v>495464</v>
      </c>
      <c r="BW19" s="1368" t="e">
        <f t="shared" si="18"/>
        <v>#REF!</v>
      </c>
      <c r="BX19" s="1371" t="e">
        <f t="shared" si="19"/>
        <v>#REF!</v>
      </c>
      <c r="CA19" s="1367">
        <v>22.5</v>
      </c>
      <c r="CB19" s="1369">
        <f t="shared" si="27"/>
        <v>-8310005638.5</v>
      </c>
      <c r="CH19" s="1367">
        <v>22.5</v>
      </c>
      <c r="CI19" s="1369">
        <f t="shared" si="28"/>
        <v>8310005638.5</v>
      </c>
      <c r="CL19" s="1367" t="e">
        <f>VLOOKUP(B19,#REF!,4,0)</f>
        <v>#REF!</v>
      </c>
      <c r="CN19" s="1370">
        <f>IFERROR(VLOOKUP(B19,#REF!,6,0),0)</f>
        <v>0</v>
      </c>
      <c r="CO19" s="1369">
        <f t="shared" si="29"/>
        <v>8310005661</v>
      </c>
      <c r="CQ19" s="1371">
        <v>16939058.844145499</v>
      </c>
      <c r="CR19" s="1372">
        <f t="shared" si="30"/>
        <v>-5429683.8441454992</v>
      </c>
      <c r="CS19" s="1371"/>
      <c r="CT19" s="1375">
        <f>IFERROR(VLOOKUP(B19,#REF!,6,0),0)</f>
        <v>0</v>
      </c>
      <c r="CU19" s="1369">
        <f t="shared" si="31"/>
        <v>8310005661</v>
      </c>
    </row>
    <row r="20" spans="1:99" s="1367" customFormat="1" ht="21" customHeight="1">
      <c r="A20" s="1356">
        <v>11</v>
      </c>
      <c r="B20" s="1357" t="s">
        <v>26</v>
      </c>
      <c r="C20" s="1358" t="s">
        <v>27</v>
      </c>
      <c r="D20" s="1359">
        <f>IFERROR(VLOOKUP(B20,'[10]Danh sách CTV'!A$3:G$81,7,0),0)</f>
        <v>4718700</v>
      </c>
      <c r="E20" s="1434" t="str">
        <f>VLOOKUP(C20,[11]NhanSu!$D$4:$E$86,2,0)</f>
        <v>8321378801</v>
      </c>
      <c r="F20" s="1360">
        <f>IFERROR(VLOOKUP(B20,'Bảng lương t1.2025'!$B$10:$H$89,7,0),0)</f>
        <v>3002706</v>
      </c>
      <c r="G20" s="1360"/>
      <c r="H20" s="1364"/>
      <c r="I20" s="1452">
        <f>IFERROR(VLOOKUP(B20,'Bảng lương t1.2025'!$B$10:$I$89,8,0),0)</f>
        <v>2905391</v>
      </c>
      <c r="J20" s="1452"/>
      <c r="K20" s="1435">
        <f>SUMIFS('64'!$E:$E,'64'!$B:$B,'DSOAT-T1.2025'!C20)</f>
        <v>0</v>
      </c>
      <c r="L20" s="1365"/>
      <c r="M20" s="1365"/>
      <c r="N20" s="1365"/>
      <c r="O20" s="1365"/>
      <c r="P20" s="1365"/>
      <c r="Q20" s="1365"/>
      <c r="R20" s="1365"/>
      <c r="S20" s="1365"/>
      <c r="T20" s="1365"/>
      <c r="U20" s="1365"/>
      <c r="V20" s="1365"/>
      <c r="W20" s="1365"/>
      <c r="X20" s="1365"/>
      <c r="Y20" s="1365"/>
      <c r="Z20" s="1365">
        <f>IFERROR(VLOOKUP(B20,'[12]CTV thuê lại'!B$9:F$90,5,0),0)</f>
        <v>1940272</v>
      </c>
      <c r="AA20" s="1436">
        <v>300000</v>
      </c>
      <c r="AB20" s="1365">
        <f>SUMIFS('210'!$G:$G,'210'!$B:$B,'DSOAT-T1.2025'!C20)</f>
        <v>200000</v>
      </c>
      <c r="AC20" s="1365"/>
      <c r="AD20" s="1365"/>
      <c r="AE20" s="1365"/>
      <c r="AF20" s="1365"/>
      <c r="AG20" s="1365"/>
      <c r="AH20" s="1365"/>
      <c r="AI20" s="1365"/>
      <c r="AJ20" s="1361">
        <f t="shared" si="0"/>
        <v>8348369</v>
      </c>
      <c r="AK20" s="1362">
        <f t="shared" si="1"/>
        <v>1014521</v>
      </c>
      <c r="AL20" s="1363">
        <f t="shared" si="2"/>
        <v>94374</v>
      </c>
      <c r="AM20" s="1363">
        <v>300000</v>
      </c>
      <c r="AN20" s="1363">
        <f t="shared" si="20"/>
        <v>24000</v>
      </c>
      <c r="AO20" s="1363">
        <f t="shared" si="21"/>
        <v>324000</v>
      </c>
      <c r="AP20" s="1362">
        <f t="shared" si="3"/>
        <v>7016992</v>
      </c>
      <c r="AQ20" s="1363">
        <f t="shared" si="4"/>
        <v>495464</v>
      </c>
      <c r="AR20" s="1363">
        <f t="shared" si="5"/>
        <v>47187</v>
      </c>
      <c r="AS20" s="1363">
        <f>VLOOKUP(B20,'Thuế TNCN _T1'!$B$9:$K$86,10,0)</f>
        <v>0</v>
      </c>
      <c r="AT20" s="1366">
        <f t="shared" si="6"/>
        <v>7805718</v>
      </c>
      <c r="AU20" s="1363">
        <f t="shared" si="7"/>
        <v>141561</v>
      </c>
      <c r="AV20" s="1363">
        <f>VLOOKUP(C20,'[13]1'!$B$7:$F$83,5,0)</f>
        <v>1509984</v>
      </c>
      <c r="AW20" s="1366">
        <f t="shared" si="22"/>
        <v>324001</v>
      </c>
      <c r="AX20" s="1374">
        <f t="shared" si="8"/>
        <v>5908097</v>
      </c>
      <c r="AY20" s="1374">
        <f t="shared" si="23"/>
        <v>5908097</v>
      </c>
      <c r="AZ20" s="1374"/>
      <c r="BA20" s="1437">
        <f t="shared" si="9"/>
        <v>1432895</v>
      </c>
      <c r="BB20" s="1437" t="e">
        <f>#REF!</f>
        <v>#REF!</v>
      </c>
      <c r="BC20" s="1437" t="e">
        <f>#REF!</f>
        <v>#REF!</v>
      </c>
      <c r="BD20" s="1437">
        <f t="shared" si="10"/>
        <v>1408895</v>
      </c>
      <c r="BE20" s="1374"/>
      <c r="BF20" s="1374">
        <f>IFERROR(VLOOKUP(B20,'Bảng lương T5.2024'!$B$10:$N$85,13,0),0)</f>
        <v>44512</v>
      </c>
      <c r="BG20" s="1374">
        <f t="shared" si="11"/>
        <v>2675</v>
      </c>
      <c r="BH20" s="1367" t="s">
        <v>79</v>
      </c>
      <c r="BI20" s="1367" t="s">
        <v>194</v>
      </c>
      <c r="BJ20" s="1373">
        <f t="shared" si="12"/>
        <v>4058802</v>
      </c>
      <c r="BK20" s="1373" t="e">
        <f t="shared" si="24"/>
        <v>#REF!</v>
      </c>
      <c r="BL20" s="1373" t="e">
        <f>SUMIFS(#REF!,$BH$11:$BH$77,BI20)</f>
        <v>#REF!</v>
      </c>
      <c r="BM20" s="1373">
        <f t="shared" si="13"/>
        <v>2817790</v>
      </c>
      <c r="BN20" s="1373"/>
      <c r="BO20" s="1373">
        <f t="shared" si="14"/>
        <v>24184481</v>
      </c>
      <c r="BP20" s="1373">
        <f t="shared" si="25"/>
        <v>20125679</v>
      </c>
      <c r="BQ20" s="1373">
        <f t="shared" si="15"/>
        <v>2865790</v>
      </c>
      <c r="BR20" s="1373" t="e">
        <f>SUMIFS(#REF!,#REF!,'DSOAT-T1.2025'!BI20)</f>
        <v>#REF!</v>
      </c>
      <c r="BS20" s="1373" t="e">
        <f t="shared" si="26"/>
        <v>#REF!</v>
      </c>
      <c r="BT20" s="1373">
        <f t="shared" si="16"/>
        <v>1408895</v>
      </c>
      <c r="BU20" s="1373">
        <f>IFERROR(VLOOKUP(B20,#REF!,13,0),0)</f>
        <v>0</v>
      </c>
      <c r="BV20" s="1373">
        <f t="shared" si="17"/>
        <v>495464</v>
      </c>
      <c r="BW20" s="1368" t="e">
        <f t="shared" si="18"/>
        <v>#REF!</v>
      </c>
      <c r="BX20" s="1371" t="e">
        <f t="shared" si="19"/>
        <v>#REF!</v>
      </c>
      <c r="CA20" s="1367">
        <v>22.5</v>
      </c>
      <c r="CB20" s="1369">
        <f t="shared" si="27"/>
        <v>-8321378778.5</v>
      </c>
      <c r="CH20" s="1367">
        <v>22.5</v>
      </c>
      <c r="CI20" s="1369">
        <f t="shared" si="28"/>
        <v>8321378778.5</v>
      </c>
      <c r="CL20" s="1367" t="e">
        <f>VLOOKUP(B20,#REF!,4,0)</f>
        <v>#REF!</v>
      </c>
      <c r="CN20" s="1370">
        <f>IFERROR(VLOOKUP(B20,#REF!,6,0),0)</f>
        <v>0</v>
      </c>
      <c r="CO20" s="1369">
        <f t="shared" si="29"/>
        <v>8321378801</v>
      </c>
      <c r="CQ20" s="1371">
        <v>20915584.23207254</v>
      </c>
      <c r="CR20" s="1372">
        <f t="shared" si="30"/>
        <v>-12567215.23207254</v>
      </c>
      <c r="CS20" s="1371"/>
      <c r="CT20" s="1375">
        <f>IFERROR(VLOOKUP(B20,#REF!,6,0),0)</f>
        <v>0</v>
      </c>
      <c r="CU20" s="1369">
        <f t="shared" si="31"/>
        <v>8321378801</v>
      </c>
    </row>
    <row r="21" spans="1:99" s="1367" customFormat="1" ht="21" customHeight="1">
      <c r="A21" s="1356">
        <v>12</v>
      </c>
      <c r="B21" s="1357" t="s">
        <v>28</v>
      </c>
      <c r="C21" s="1358" t="s">
        <v>29</v>
      </c>
      <c r="D21" s="1359">
        <f>IFERROR(VLOOKUP(B21,'[10]Danh sách CTV'!A$3:G$81,7,0),0)</f>
        <v>4718700</v>
      </c>
      <c r="E21" s="1434" t="str">
        <f>VLOOKUP(C21,[11]NhanSu!$D$4:$E$86,2,0)</f>
        <v>8310002415</v>
      </c>
      <c r="F21" s="1360">
        <f>IFERROR(VLOOKUP(B21,'Bảng lương t1.2025'!$B$10:$H$89,7,0),0)</f>
        <v>3084845</v>
      </c>
      <c r="G21" s="1360"/>
      <c r="H21" s="1364"/>
      <c r="I21" s="1452">
        <f>IFERROR(VLOOKUP(B21,'Bảng lương t1.2025'!$B$10:$I$89,8,0),0)</f>
        <v>3088394</v>
      </c>
      <c r="J21" s="1452"/>
      <c r="K21" s="1435">
        <f>SUMIFS('64'!$E:$E,'64'!$B:$B,'DSOAT-T1.2025'!C21)</f>
        <v>100000</v>
      </c>
      <c r="L21" s="1365"/>
      <c r="M21" s="1365"/>
      <c r="N21" s="1365"/>
      <c r="O21" s="1365"/>
      <c r="P21" s="1365"/>
      <c r="Q21" s="1365"/>
      <c r="R21" s="1365"/>
      <c r="S21" s="1365"/>
      <c r="T21" s="1365"/>
      <c r="U21" s="1365"/>
      <c r="V21" s="1365"/>
      <c r="W21" s="1365"/>
      <c r="X21" s="1365"/>
      <c r="Y21" s="1365">
        <v>100000</v>
      </c>
      <c r="Z21" s="1365">
        <f>IFERROR(VLOOKUP(B21,'[12]CTV thuê lại'!B$9:F$90,5,0),0)</f>
        <v>2350021</v>
      </c>
      <c r="AA21" s="1436"/>
      <c r="AB21" s="1365">
        <f>SUMIFS('210'!$G:$G,'210'!$B:$B,'DSOAT-T1.2025'!C21)</f>
        <v>500000</v>
      </c>
      <c r="AC21" s="1365"/>
      <c r="AD21" s="1365"/>
      <c r="AE21" s="1365"/>
      <c r="AF21" s="1365"/>
      <c r="AG21" s="1365"/>
      <c r="AH21" s="1365"/>
      <c r="AI21" s="1365"/>
      <c r="AJ21" s="1361">
        <f t="shared" si="0"/>
        <v>9223260</v>
      </c>
      <c r="AK21" s="1362">
        <f t="shared" si="1"/>
        <v>1014521</v>
      </c>
      <c r="AL21" s="1363">
        <f t="shared" si="2"/>
        <v>94374</v>
      </c>
      <c r="AM21" s="1363">
        <v>300000</v>
      </c>
      <c r="AN21" s="1363">
        <f t="shared" si="20"/>
        <v>24000</v>
      </c>
      <c r="AO21" s="1363">
        <f t="shared" si="21"/>
        <v>324000</v>
      </c>
      <c r="AP21" s="1362">
        <f t="shared" si="3"/>
        <v>7382134</v>
      </c>
      <c r="AQ21" s="1363">
        <f t="shared" si="4"/>
        <v>495464</v>
      </c>
      <c r="AR21" s="1363">
        <f t="shared" si="5"/>
        <v>47187</v>
      </c>
      <c r="AS21" s="1363">
        <f>VLOOKUP(B21,'Thuế TNCN _T1'!$B$9:$K$86,10,0)</f>
        <v>0</v>
      </c>
      <c r="AT21" s="1366">
        <f t="shared" si="6"/>
        <v>8680609</v>
      </c>
      <c r="AU21" s="1363">
        <f t="shared" si="7"/>
        <v>141561</v>
      </c>
      <c r="AV21" s="1363">
        <f>VLOOKUP(C21,'[13]1'!$B$7:$F$83,5,0)</f>
        <v>1509984</v>
      </c>
      <c r="AW21" s="1366">
        <f t="shared" si="22"/>
        <v>324001</v>
      </c>
      <c r="AX21" s="1374">
        <f t="shared" si="8"/>
        <v>6173239</v>
      </c>
      <c r="AY21" s="1374">
        <f t="shared" si="23"/>
        <v>6273239</v>
      </c>
      <c r="AZ21" s="1374"/>
      <c r="BA21" s="1437">
        <f t="shared" si="9"/>
        <v>1532895</v>
      </c>
      <c r="BB21" s="1437" t="e">
        <f>#REF!</f>
        <v>#REF!</v>
      </c>
      <c r="BC21" s="1437" t="e">
        <f>#REF!</f>
        <v>#REF!</v>
      </c>
      <c r="BD21" s="1437">
        <f t="shared" si="10"/>
        <v>1408895</v>
      </c>
      <c r="BE21" s="1374"/>
      <c r="BF21" s="1374">
        <f>IFERROR(VLOOKUP(B21,'Bảng lương T5.2024'!$B$10:$N$85,13,0),0)</f>
        <v>44512</v>
      </c>
      <c r="BG21" s="1374">
        <f t="shared" si="11"/>
        <v>2675</v>
      </c>
      <c r="BH21" s="1367" t="s">
        <v>23</v>
      </c>
      <c r="BJ21" s="1376">
        <f>SUM(BJ11:BJ20)</f>
        <v>281943310</v>
      </c>
      <c r="BK21" s="1376" t="e">
        <f>SUM(BK11:BK20)</f>
        <v>#REF!</v>
      </c>
      <c r="BL21" s="1376" t="e">
        <f>SUM(BL11:BL20)</f>
        <v>#REF!</v>
      </c>
      <c r="BM21" s="1376">
        <f>SUM(BM11:BM20)</f>
        <v>66605875</v>
      </c>
      <c r="BN21" s="1376"/>
      <c r="BO21" s="1376">
        <f>SUM(BO11:BO20)</f>
        <v>721390789</v>
      </c>
      <c r="BP21" s="1376">
        <f>SUM(BP11:BP20)</f>
        <v>439447479</v>
      </c>
      <c r="BQ21" s="1376">
        <f>SUM(BQ11:BQ20)</f>
        <v>164909684</v>
      </c>
      <c r="BR21" s="1376" t="e">
        <f>SUM(BR11:BR20)</f>
        <v>#REF!</v>
      </c>
      <c r="BS21" s="1376" t="e">
        <f>SUM(BS11:BS20)</f>
        <v>#REF!</v>
      </c>
      <c r="BT21" s="1373">
        <f t="shared" si="16"/>
        <v>1408895</v>
      </c>
      <c r="BU21" s="1373">
        <f>IFERROR(VLOOKUP(B21,#REF!,13,0),0)</f>
        <v>0</v>
      </c>
      <c r="BV21" s="1373">
        <f t="shared" si="17"/>
        <v>495464</v>
      </c>
      <c r="BX21" s="1377">
        <v>39664332.014999956</v>
      </c>
      <c r="CA21" s="1367">
        <v>26</v>
      </c>
      <c r="CB21" s="1369">
        <f t="shared" si="27"/>
        <v>-8310002389</v>
      </c>
      <c r="CH21" s="1367">
        <v>26</v>
      </c>
      <c r="CI21" s="1369">
        <f t="shared" si="28"/>
        <v>8310002389</v>
      </c>
      <c r="CL21" s="1367" t="e">
        <f>VLOOKUP(B21,#REF!,4,0)</f>
        <v>#REF!</v>
      </c>
      <c r="CN21" s="1370">
        <f>IFERROR(VLOOKUP(B21,#REF!,6,0),0)</f>
        <v>0</v>
      </c>
      <c r="CO21" s="1369">
        <f t="shared" si="29"/>
        <v>8310002415</v>
      </c>
      <c r="CQ21" s="1371">
        <v>24780202.742632646</v>
      </c>
      <c r="CR21" s="1372">
        <f t="shared" si="30"/>
        <v>-15556942.742632646</v>
      </c>
      <c r="CS21" s="1371"/>
      <c r="CT21" s="1375">
        <f>IFERROR(VLOOKUP(B21,#REF!,6,0),0)</f>
        <v>0</v>
      </c>
      <c r="CU21" s="1369">
        <f t="shared" si="31"/>
        <v>8310002415</v>
      </c>
    </row>
    <row r="22" spans="1:99" s="1367" customFormat="1" ht="21" customHeight="1">
      <c r="A22" s="1356">
        <v>13</v>
      </c>
      <c r="B22" s="1357" t="s">
        <v>30</v>
      </c>
      <c r="C22" s="1378" t="s">
        <v>31</v>
      </c>
      <c r="D22" s="1359">
        <f>IFERROR(VLOOKUP(B22,'[10]Danh sách CTV'!A$3:G$81,7,0),0)</f>
        <v>4718700</v>
      </c>
      <c r="E22" s="1434" t="str">
        <f>VLOOKUP(C22,[11]NhanSu!$D$4:$E$86,2,0)</f>
        <v>8313007771</v>
      </c>
      <c r="F22" s="1360">
        <f>IFERROR(VLOOKUP(B22,'Bảng lương t1.2025'!$B$10:$H$89,7,0),0)</f>
        <v>2433404</v>
      </c>
      <c r="G22" s="1360"/>
      <c r="H22" s="1364"/>
      <c r="I22" s="1452">
        <f>IFERROR(VLOOKUP(B22,'Bảng lương t1.2025'!$B$10:$I$89,8,0),0)</f>
        <v>1913231</v>
      </c>
      <c r="J22" s="1452"/>
      <c r="K22" s="1435">
        <f>SUMIFS('64'!$E:$E,'64'!$B:$B,'DSOAT-T1.2025'!C22)</f>
        <v>0</v>
      </c>
      <c r="L22" s="1365"/>
      <c r="M22" s="1365"/>
      <c r="N22" s="1365"/>
      <c r="O22" s="1365"/>
      <c r="P22" s="1365"/>
      <c r="Q22" s="1365"/>
      <c r="R22" s="1365"/>
      <c r="S22" s="1365"/>
      <c r="T22" s="1365"/>
      <c r="U22" s="1365"/>
      <c r="V22" s="1365"/>
      <c r="W22" s="1365"/>
      <c r="X22" s="1365"/>
      <c r="Y22" s="1365">
        <v>50000</v>
      </c>
      <c r="Z22" s="1365">
        <f>IFERROR(VLOOKUP(B22,'[12]CTV thuê lại'!B$9:F$90,5,0),0)</f>
        <v>1891623</v>
      </c>
      <c r="AA22" s="1436"/>
      <c r="AB22" s="1365">
        <f>SUMIFS('210'!$G:$G,'210'!$B:$B,'DSOAT-T1.2025'!C22)</f>
        <v>200000</v>
      </c>
      <c r="AC22" s="1365"/>
      <c r="AD22" s="1365"/>
      <c r="AE22" s="1365"/>
      <c r="AF22" s="1365"/>
      <c r="AG22" s="1365"/>
      <c r="AH22" s="1365"/>
      <c r="AI22" s="1365"/>
      <c r="AJ22" s="1361">
        <f t="shared" si="0"/>
        <v>6488258</v>
      </c>
      <c r="AK22" s="1362">
        <f t="shared" si="1"/>
        <v>1014521</v>
      </c>
      <c r="AL22" s="1363">
        <f t="shared" si="2"/>
        <v>94374</v>
      </c>
      <c r="AM22" s="1363">
        <v>300000</v>
      </c>
      <c r="AN22" s="1363">
        <f t="shared" si="20"/>
        <v>24000</v>
      </c>
      <c r="AO22" s="1363">
        <f t="shared" si="21"/>
        <v>324000</v>
      </c>
      <c r="AP22" s="1362">
        <f t="shared" si="3"/>
        <v>5455530</v>
      </c>
      <c r="AQ22" s="1363">
        <f t="shared" si="4"/>
        <v>495464</v>
      </c>
      <c r="AR22" s="1363">
        <f t="shared" si="5"/>
        <v>47187</v>
      </c>
      <c r="AS22" s="1363">
        <f>VLOOKUP(B22,'Thuế TNCN _T1'!$B$9:$K$86,10,0)</f>
        <v>0</v>
      </c>
      <c r="AT22" s="1366">
        <f t="shared" si="6"/>
        <v>5945607</v>
      </c>
      <c r="AU22" s="1363">
        <f t="shared" si="7"/>
        <v>141561</v>
      </c>
      <c r="AV22" s="1363">
        <f>VLOOKUP(C22,'[13]1'!$B$7:$F$83,5,0)</f>
        <v>1509984</v>
      </c>
      <c r="AW22" s="1366">
        <f t="shared" si="22"/>
        <v>324001</v>
      </c>
      <c r="AX22" s="1374">
        <f t="shared" si="8"/>
        <v>4346635</v>
      </c>
      <c r="AY22" s="1374">
        <f t="shared" si="23"/>
        <v>4346635</v>
      </c>
      <c r="AZ22" s="1374"/>
      <c r="BA22" s="1437">
        <f t="shared" si="9"/>
        <v>1432895</v>
      </c>
      <c r="BB22" s="1437" t="e">
        <f>#REF!</f>
        <v>#REF!</v>
      </c>
      <c r="BC22" s="1437" t="e">
        <f>#REF!</f>
        <v>#REF!</v>
      </c>
      <c r="BD22" s="1437">
        <f t="shared" si="10"/>
        <v>1408895</v>
      </c>
      <c r="BE22" s="1374"/>
      <c r="BF22" s="1374">
        <f>IFERROR(VLOOKUP(B22,'Bảng lương T5.2024'!$B$10:$N$85,13,0),0)</f>
        <v>44512</v>
      </c>
      <c r="BG22" s="1374">
        <f t="shared" si="11"/>
        <v>2675</v>
      </c>
      <c r="BH22" s="1367" t="s">
        <v>23</v>
      </c>
      <c r="BJ22" s="1373">
        <f>F89-BJ21</f>
        <v>41902051</v>
      </c>
      <c r="BK22" s="1373"/>
      <c r="BL22" s="1373"/>
      <c r="BM22" s="1373"/>
      <c r="BN22" s="1373"/>
      <c r="BO22" s="1376">
        <f>BO21-BP21-BJ21</f>
        <v>0</v>
      </c>
      <c r="BP22" s="1376"/>
      <c r="BQ22" s="1376"/>
      <c r="BR22" s="1376" t="e">
        <f>BR21+BS21+BJ21</f>
        <v>#REF!</v>
      </c>
      <c r="BS22" s="1376"/>
      <c r="BT22" s="1373">
        <f t="shared" si="16"/>
        <v>1408895</v>
      </c>
      <c r="BU22" s="1373">
        <f>IFERROR(VLOOKUP(B22,#REF!,13,0),0)</f>
        <v>0</v>
      </c>
      <c r="BV22" s="1373">
        <f t="shared" si="17"/>
        <v>495464</v>
      </c>
      <c r="CA22" s="1367">
        <v>22.5</v>
      </c>
      <c r="CB22" s="1369">
        <f t="shared" si="27"/>
        <v>-8313007748.5</v>
      </c>
      <c r="CH22" s="1367">
        <v>22.5</v>
      </c>
      <c r="CI22" s="1369">
        <f t="shared" si="28"/>
        <v>8313007748.5</v>
      </c>
      <c r="CL22" s="1367" t="e">
        <f>VLOOKUP(B22,#REF!,4,0)</f>
        <v>#REF!</v>
      </c>
      <c r="CN22" s="1370">
        <f>IFERROR(VLOOKUP(B22,#REF!,6,0),0)</f>
        <v>0</v>
      </c>
      <c r="CO22" s="1369">
        <f t="shared" si="29"/>
        <v>8313007771</v>
      </c>
      <c r="CQ22" s="1371">
        <v>24417656.527392771</v>
      </c>
      <c r="CR22" s="1372">
        <f t="shared" si="30"/>
        <v>-17929398.527392771</v>
      </c>
      <c r="CS22" s="1371"/>
      <c r="CT22" s="1375">
        <f>IFERROR(VLOOKUP(B22,#REF!,6,0),0)</f>
        <v>0</v>
      </c>
      <c r="CU22" s="1369">
        <f t="shared" si="31"/>
        <v>8313007771</v>
      </c>
    </row>
    <row r="23" spans="1:99" s="1367" customFormat="1" ht="21" customHeight="1">
      <c r="A23" s="1356">
        <v>14</v>
      </c>
      <c r="B23" s="1357" t="s">
        <v>32</v>
      </c>
      <c r="C23" s="1358" t="s">
        <v>33</v>
      </c>
      <c r="D23" s="1359">
        <f>IFERROR(VLOOKUP(B23,'[10]Danh sách CTV'!A$3:G$81,7,0),0)</f>
        <v>4718700</v>
      </c>
      <c r="E23" s="1434" t="str">
        <f>VLOOKUP(C23,[11]NhanSu!$D$4:$E$86,2,0)</f>
        <v>7916255895</v>
      </c>
      <c r="F23" s="1360">
        <f>IFERROR(VLOOKUP(B23,'Bảng lương t1.2025'!$B$10:$H$89,7,0),0)</f>
        <v>8899889</v>
      </c>
      <c r="G23" s="1360"/>
      <c r="H23" s="1364"/>
      <c r="I23" s="1452">
        <f>IFERROR(VLOOKUP(B23,'Bảng lương t1.2025'!$B$10:$I$89,8,0),0)</f>
        <v>0</v>
      </c>
      <c r="J23" s="1452"/>
      <c r="K23" s="1435">
        <f>SUMIFS('64'!$E:$E,'64'!$B:$B,'DSOAT-T1.2025'!C23)</f>
        <v>0</v>
      </c>
      <c r="L23" s="1365"/>
      <c r="M23" s="1365"/>
      <c r="N23" s="1365"/>
      <c r="O23" s="1365"/>
      <c r="P23" s="1365"/>
      <c r="Q23" s="1365"/>
      <c r="R23" s="1365"/>
      <c r="S23" s="1365"/>
      <c r="T23" s="1365"/>
      <c r="U23" s="1365"/>
      <c r="V23" s="1365"/>
      <c r="W23" s="1365"/>
      <c r="X23" s="1365"/>
      <c r="Y23" s="1365"/>
      <c r="Z23" s="1365">
        <f>IFERROR(VLOOKUP(B23,'[12]CTV thuê lại'!B$9:F$90,5,0),0)</f>
        <v>1554963</v>
      </c>
      <c r="AA23" s="1436"/>
      <c r="AB23" s="1365">
        <f>SUMIFS('210'!$G:$G,'210'!$B:$B,'DSOAT-T1.2025'!C23)</f>
        <v>200000</v>
      </c>
      <c r="AC23" s="1365"/>
      <c r="AD23" s="1365"/>
      <c r="AE23" s="1365"/>
      <c r="AF23" s="1365"/>
      <c r="AG23" s="1365"/>
      <c r="AH23" s="1365"/>
      <c r="AI23" s="1365"/>
      <c r="AJ23" s="1361">
        <f t="shared" si="0"/>
        <v>10654852</v>
      </c>
      <c r="AK23" s="1362">
        <f t="shared" si="1"/>
        <v>1014521</v>
      </c>
      <c r="AL23" s="1363">
        <f t="shared" si="2"/>
        <v>94374</v>
      </c>
      <c r="AM23" s="1363">
        <v>300000</v>
      </c>
      <c r="AN23" s="1363">
        <f t="shared" si="20"/>
        <v>24000</v>
      </c>
      <c r="AO23" s="1363">
        <f t="shared" si="21"/>
        <v>324000</v>
      </c>
      <c r="AP23" s="1362">
        <f t="shared" si="3"/>
        <v>10008784</v>
      </c>
      <c r="AQ23" s="1363">
        <f t="shared" si="4"/>
        <v>495464</v>
      </c>
      <c r="AR23" s="1363">
        <f t="shared" si="5"/>
        <v>47187</v>
      </c>
      <c r="AS23" s="1363">
        <f>VLOOKUP(B23,'Thuế TNCN _T1'!$B$9:$K$86,10,0)</f>
        <v>0</v>
      </c>
      <c r="AT23" s="1366">
        <f t="shared" si="6"/>
        <v>10112201</v>
      </c>
      <c r="AU23" s="1363">
        <f t="shared" si="7"/>
        <v>141561</v>
      </c>
      <c r="AV23" s="1363">
        <f>VLOOKUP(C23,'[13]1'!$B$7:$F$83,5,0)</f>
        <v>1509984</v>
      </c>
      <c r="AW23" s="1366">
        <f t="shared" si="22"/>
        <v>324001</v>
      </c>
      <c r="AX23" s="1374">
        <f t="shared" si="8"/>
        <v>8899889</v>
      </c>
      <c r="AY23" s="1374">
        <f t="shared" si="23"/>
        <v>8899889</v>
      </c>
      <c r="AZ23" s="1374" t="s">
        <v>902</v>
      </c>
      <c r="BA23" s="1437">
        <f t="shared" si="9"/>
        <v>1432895</v>
      </c>
      <c r="BB23" s="1437" t="e">
        <f>#REF!</f>
        <v>#REF!</v>
      </c>
      <c r="BC23" s="1437" t="e">
        <f>#REF!</f>
        <v>#REF!</v>
      </c>
      <c r="BD23" s="1437">
        <f t="shared" si="10"/>
        <v>1408895</v>
      </c>
      <c r="BE23" s="1374"/>
      <c r="BF23" s="1374">
        <f>IFERROR(VLOOKUP(B23,'Bảng lương T5.2024'!$B$10:$N$85,13,0),0)</f>
        <v>0</v>
      </c>
      <c r="BG23" s="1374">
        <f t="shared" si="11"/>
        <v>47187</v>
      </c>
      <c r="BH23" s="1367" t="s">
        <v>15</v>
      </c>
      <c r="BJ23" s="1373"/>
      <c r="BK23" s="1373" t="e">
        <f>BK21+BM21</f>
        <v>#REF!</v>
      </c>
      <c r="BL23" s="1373"/>
      <c r="BM23" s="1373">
        <v>916354115</v>
      </c>
      <c r="BN23" s="1373">
        <v>0</v>
      </c>
      <c r="BO23" s="1373"/>
      <c r="BP23" s="1373">
        <f>BJ21+BP21</f>
        <v>721390789</v>
      </c>
      <c r="BQ23" s="1373"/>
      <c r="BR23" s="1373"/>
      <c r="BS23" s="1373"/>
      <c r="BT23" s="1373">
        <f t="shared" si="16"/>
        <v>1408895</v>
      </c>
      <c r="BU23" s="1373">
        <f>IFERROR(VLOOKUP(B23,#REF!,13,0),0)</f>
        <v>0</v>
      </c>
      <c r="BV23" s="1373">
        <f t="shared" si="17"/>
        <v>495464</v>
      </c>
      <c r="CA23" s="1367">
        <v>22.5</v>
      </c>
      <c r="CB23" s="1369">
        <f t="shared" si="27"/>
        <v>-7916255872.5</v>
      </c>
      <c r="CH23" s="1367">
        <v>22.5</v>
      </c>
      <c r="CI23" s="1369">
        <f t="shared" si="28"/>
        <v>7916255872.5</v>
      </c>
      <c r="CL23" s="1367" t="e">
        <f>VLOOKUP(B23,#REF!,4,0)</f>
        <v>#REF!</v>
      </c>
      <c r="CN23" s="1370">
        <f>IFERROR(VLOOKUP(B23,#REF!,6,0),0)</f>
        <v>0</v>
      </c>
      <c r="CO23" s="1369">
        <f t="shared" si="29"/>
        <v>7916255895</v>
      </c>
      <c r="CQ23" s="1371">
        <v>21196540.8631391</v>
      </c>
      <c r="CR23" s="1372">
        <f t="shared" si="30"/>
        <v>-10541688.8631391</v>
      </c>
      <c r="CS23" s="1371"/>
      <c r="CT23" s="1375">
        <f>IFERROR(VLOOKUP(B23,#REF!,6,0),0)</f>
        <v>0</v>
      </c>
      <c r="CU23" s="1369">
        <f t="shared" si="31"/>
        <v>7916255895</v>
      </c>
    </row>
    <row r="24" spans="1:99" s="1367" customFormat="1" ht="21" customHeight="1">
      <c r="A24" s="1356">
        <v>15</v>
      </c>
      <c r="B24" s="1357" t="s">
        <v>34</v>
      </c>
      <c r="C24" s="1358" t="s">
        <v>35</v>
      </c>
      <c r="D24" s="1359">
        <f>IFERROR(VLOOKUP(B24,'[10]Danh sách CTV'!A$3:G$81,7,0),0)</f>
        <v>4718700</v>
      </c>
      <c r="E24" s="1434" t="str">
        <f>VLOOKUP(C24,[11]NhanSu!$D$4:$E$86,2,0)</f>
        <v>0115017719</v>
      </c>
      <c r="F24" s="1360">
        <f>IFERROR(VLOOKUP(B24,'Bảng lương t1.2025'!$B$10:$H$89,7,0),0)</f>
        <v>8398072</v>
      </c>
      <c r="G24" s="1360"/>
      <c r="H24" s="1364"/>
      <c r="I24" s="1452">
        <f>IFERROR(VLOOKUP(B24,'Bảng lương t1.2025'!$B$10:$I$89,8,0),0)</f>
        <v>1732344</v>
      </c>
      <c r="J24" s="1452"/>
      <c r="K24" s="1435">
        <f>SUMIFS('64'!$E:$E,'64'!$B:$B,'DSOAT-T1.2025'!C24)</f>
        <v>0</v>
      </c>
      <c r="L24" s="1365"/>
      <c r="M24" s="1365"/>
      <c r="N24" s="1365"/>
      <c r="O24" s="1365"/>
      <c r="P24" s="1365"/>
      <c r="Q24" s="1365"/>
      <c r="R24" s="1365"/>
      <c r="S24" s="1365"/>
      <c r="T24" s="1365"/>
      <c r="U24" s="1365"/>
      <c r="V24" s="1365"/>
      <c r="W24" s="1365"/>
      <c r="X24" s="1365"/>
      <c r="Y24" s="1365"/>
      <c r="Z24" s="1365">
        <f>IFERROR(VLOOKUP(B24,'[12]CTV thuê lại'!B$9:F$90,5,0),0)</f>
        <v>2743328</v>
      </c>
      <c r="AA24" s="1436"/>
      <c r="AB24" s="1365">
        <f>SUMIFS('210'!$G:$G,'210'!$B:$B,'DSOAT-T1.2025'!C24)</f>
        <v>500000</v>
      </c>
      <c r="AC24" s="1365"/>
      <c r="AD24" s="1365"/>
      <c r="AE24" s="1365"/>
      <c r="AF24" s="1365"/>
      <c r="AG24" s="1365"/>
      <c r="AH24" s="1365"/>
      <c r="AI24" s="1365"/>
      <c r="AJ24" s="1361">
        <f t="shared" si="0"/>
        <v>13373744</v>
      </c>
      <c r="AK24" s="1362">
        <f t="shared" si="1"/>
        <v>1014521</v>
      </c>
      <c r="AL24" s="1363">
        <f t="shared" si="2"/>
        <v>94374</v>
      </c>
      <c r="AM24" s="1363">
        <v>300000</v>
      </c>
      <c r="AN24" s="1363">
        <f t="shared" si="20"/>
        <v>24000</v>
      </c>
      <c r="AO24" s="1363">
        <f t="shared" si="21"/>
        <v>324000</v>
      </c>
      <c r="AP24" s="1362">
        <f t="shared" si="3"/>
        <v>11239311</v>
      </c>
      <c r="AQ24" s="1363">
        <f t="shared" si="4"/>
        <v>495464</v>
      </c>
      <c r="AR24" s="1363">
        <f t="shared" si="5"/>
        <v>47187</v>
      </c>
      <c r="AS24" s="1363">
        <f>VLOOKUP(B24,'Thuế TNCN _T1'!$B$9:$K$86,10,0)</f>
        <v>93914</v>
      </c>
      <c r="AT24" s="1366">
        <f t="shared" si="6"/>
        <v>12737179</v>
      </c>
      <c r="AU24" s="1363">
        <f t="shared" si="7"/>
        <v>141561</v>
      </c>
      <c r="AV24" s="1363">
        <f>VLOOKUP(C24,'[13]1'!$B$7:$F$83,5,0)</f>
        <v>1509984</v>
      </c>
      <c r="AW24" s="1366">
        <f t="shared" si="22"/>
        <v>417915</v>
      </c>
      <c r="AX24" s="1374">
        <f t="shared" si="8"/>
        <v>10130416</v>
      </c>
      <c r="AY24" s="1374">
        <f t="shared" si="23"/>
        <v>10130416</v>
      </c>
      <c r="AZ24" s="1374"/>
      <c r="BA24" s="1437">
        <f t="shared" si="9"/>
        <v>1432895</v>
      </c>
      <c r="BB24" s="1437" t="e">
        <f>#REF!</f>
        <v>#REF!</v>
      </c>
      <c r="BC24" s="1437" t="e">
        <f>#REF!</f>
        <v>#REF!</v>
      </c>
      <c r="BD24" s="1437">
        <f t="shared" si="10"/>
        <v>1408895</v>
      </c>
      <c r="BE24" s="1374"/>
      <c r="BF24" s="1374">
        <f>IFERROR(VLOOKUP(B24,'Bảng lương T5.2024'!$B$10:$N$85,13,0),0)</f>
        <v>44512</v>
      </c>
      <c r="BG24" s="1374">
        <f t="shared" si="11"/>
        <v>2675</v>
      </c>
      <c r="BH24" s="1367" t="s">
        <v>23</v>
      </c>
      <c r="BJ24" s="1373"/>
      <c r="BK24" s="1373"/>
      <c r="BL24" s="1373"/>
      <c r="BM24" s="1373"/>
      <c r="BN24" s="1373"/>
      <c r="BO24" s="1373"/>
      <c r="BP24" s="1373"/>
      <c r="BQ24" s="1373"/>
      <c r="BR24" s="1373"/>
      <c r="BS24" s="1373"/>
      <c r="BT24" s="1373">
        <f t="shared" si="16"/>
        <v>1408895</v>
      </c>
      <c r="BU24" s="1373">
        <f>IFERROR(VLOOKUP(B24,#REF!,13,0),0)</f>
        <v>0</v>
      </c>
      <c r="BV24" s="1373">
        <f t="shared" si="17"/>
        <v>495464</v>
      </c>
      <c r="CA24" s="1367">
        <v>22.5</v>
      </c>
      <c r="CB24" s="1369">
        <f t="shared" si="27"/>
        <v>-115017696.5</v>
      </c>
      <c r="CH24" s="1367">
        <v>22.5</v>
      </c>
      <c r="CI24" s="1369">
        <f t="shared" si="28"/>
        <v>115017696.5</v>
      </c>
      <c r="CL24" s="1367" t="e">
        <f>VLOOKUP(B24,#REF!,4,0)</f>
        <v>#REF!</v>
      </c>
      <c r="CN24" s="1370">
        <f>IFERROR(VLOOKUP(B24,#REF!,6,0),0)</f>
        <v>0</v>
      </c>
      <c r="CO24" s="1369">
        <f t="shared" si="29"/>
        <v>115017719</v>
      </c>
      <c r="CQ24" s="1371">
        <v>16183531.308739351</v>
      </c>
      <c r="CR24" s="1372">
        <f t="shared" si="30"/>
        <v>-2809787.3087393511</v>
      </c>
      <c r="CS24" s="1371"/>
      <c r="CT24" s="1375">
        <f>IFERROR(VLOOKUP(B24,#REF!,6,0),0)</f>
        <v>0</v>
      </c>
      <c r="CU24" s="1369">
        <f t="shared" si="31"/>
        <v>115017719</v>
      </c>
    </row>
    <row r="25" spans="1:99" s="1367" customFormat="1" ht="21" customHeight="1">
      <c r="A25" s="1356">
        <v>16</v>
      </c>
      <c r="B25" s="1357" t="s">
        <v>36</v>
      </c>
      <c r="C25" s="1358" t="s">
        <v>37</v>
      </c>
      <c r="D25" s="1359">
        <f>IFERROR(VLOOKUP(B25,'[10]Danh sách CTV'!A$3:G$81,7,0),0)</f>
        <v>4718700</v>
      </c>
      <c r="E25" s="1434" t="str">
        <f>VLOOKUP(C25,[11]NhanSu!$D$4:$E$86,2,0)</f>
        <v>8314006579</v>
      </c>
      <c r="F25" s="1360">
        <f>IFERROR(VLOOKUP(B25,'Bảng lương t1.2025'!$B$10:$H$89,7,0),0)</f>
        <v>10658383</v>
      </c>
      <c r="G25" s="1360"/>
      <c r="H25" s="1364"/>
      <c r="I25" s="1452">
        <f>IFERROR(VLOOKUP(B25,'Bảng lương t1.2025'!$B$10:$I$89,8,0),0)</f>
        <v>67203</v>
      </c>
      <c r="J25" s="1452"/>
      <c r="K25" s="1435">
        <f>SUMIFS('64'!$E:$E,'64'!$B:$B,'DSOAT-T1.2025'!C25)</f>
        <v>0</v>
      </c>
      <c r="L25" s="1365"/>
      <c r="M25" s="1365"/>
      <c r="N25" s="1365"/>
      <c r="O25" s="1365"/>
      <c r="P25" s="1365"/>
      <c r="Q25" s="1365"/>
      <c r="R25" s="1365"/>
      <c r="S25" s="1365"/>
      <c r="T25" s="1365"/>
      <c r="U25" s="1365"/>
      <c r="V25" s="1365"/>
      <c r="W25" s="1365"/>
      <c r="X25" s="1365"/>
      <c r="Y25" s="1365"/>
      <c r="Z25" s="1365">
        <f>IFERROR(VLOOKUP(B25,'[12]CTV thuê lại'!B$9:F$90,5,0),0)</f>
        <v>2468009</v>
      </c>
      <c r="AA25" s="1436"/>
      <c r="AB25" s="1365">
        <f>SUMIFS('210'!$G:$G,'210'!$B:$B,'DSOAT-T1.2025'!C25)</f>
        <v>500000</v>
      </c>
      <c r="AC25" s="1365"/>
      <c r="AD25" s="1365"/>
      <c r="AE25" s="1365"/>
      <c r="AF25" s="1365"/>
      <c r="AG25" s="1365"/>
      <c r="AH25" s="1365"/>
      <c r="AI25" s="1365"/>
      <c r="AJ25" s="1361">
        <f t="shared" si="0"/>
        <v>13693595</v>
      </c>
      <c r="AK25" s="1362">
        <f t="shared" si="1"/>
        <v>1014521</v>
      </c>
      <c r="AL25" s="1363">
        <f t="shared" si="2"/>
        <v>94374</v>
      </c>
      <c r="AM25" s="1363">
        <v>300000</v>
      </c>
      <c r="AN25" s="1363">
        <f t="shared" si="20"/>
        <v>24000</v>
      </c>
      <c r="AO25" s="1363">
        <f t="shared" si="21"/>
        <v>324000</v>
      </c>
      <c r="AP25" s="1362">
        <f t="shared" si="3"/>
        <v>11834481</v>
      </c>
      <c r="AQ25" s="1363">
        <f t="shared" si="4"/>
        <v>495464</v>
      </c>
      <c r="AR25" s="1363">
        <f t="shared" si="5"/>
        <v>47187</v>
      </c>
      <c r="AS25" s="1363">
        <f>VLOOKUP(B25,'Thuế TNCN _T1'!$B$9:$K$86,10,0)</f>
        <v>109907</v>
      </c>
      <c r="AT25" s="1366">
        <f t="shared" si="6"/>
        <v>13041037</v>
      </c>
      <c r="AU25" s="1363">
        <f t="shared" si="7"/>
        <v>141561</v>
      </c>
      <c r="AV25" s="1363">
        <f>VLOOKUP(C25,'[13]1'!$B$7:$F$83,5,0)</f>
        <v>1509984</v>
      </c>
      <c r="AW25" s="1366">
        <f t="shared" si="22"/>
        <v>433908</v>
      </c>
      <c r="AX25" s="1374">
        <f t="shared" si="8"/>
        <v>10725586</v>
      </c>
      <c r="AY25" s="1374">
        <f t="shared" si="23"/>
        <v>10725586</v>
      </c>
      <c r="AZ25" s="1374"/>
      <c r="BA25" s="1437">
        <f t="shared" si="9"/>
        <v>1432895</v>
      </c>
      <c r="BB25" s="1437" t="e">
        <f>#REF!</f>
        <v>#REF!</v>
      </c>
      <c r="BC25" s="1437" t="e">
        <f>#REF!</f>
        <v>#REF!</v>
      </c>
      <c r="BD25" s="1437">
        <f t="shared" si="10"/>
        <v>1408895</v>
      </c>
      <c r="BE25" s="1374"/>
      <c r="BF25" s="1374">
        <f>IFERROR(VLOOKUP(B25,'Bảng lương T5.2024'!$B$10:$N$85,13,0),0)</f>
        <v>44512</v>
      </c>
      <c r="BG25" s="1374">
        <f t="shared" si="11"/>
        <v>2675</v>
      </c>
      <c r="BH25" s="1367" t="s">
        <v>23</v>
      </c>
      <c r="BJ25" s="1373"/>
      <c r="BK25" s="1373"/>
      <c r="BL25" s="1373">
        <v>967615474</v>
      </c>
      <c r="BM25" s="1373">
        <f>BM23-BO21</f>
        <v>194963326</v>
      </c>
      <c r="BN25" s="1373"/>
      <c r="BO25" s="1373"/>
      <c r="BP25" s="1373"/>
      <c r="BQ25" s="1373"/>
      <c r="BR25" s="1373"/>
      <c r="BS25" s="1373"/>
      <c r="BT25" s="1373">
        <f t="shared" si="16"/>
        <v>1408895</v>
      </c>
      <c r="BU25" s="1373">
        <f>IFERROR(VLOOKUP(B25,#REF!,13,0),0)</f>
        <v>0</v>
      </c>
      <c r="BV25" s="1373">
        <f t="shared" si="17"/>
        <v>495464</v>
      </c>
      <c r="CA25" s="1367">
        <v>22.5</v>
      </c>
      <c r="CB25" s="1369">
        <f t="shared" si="27"/>
        <v>-8314006556.5</v>
      </c>
      <c r="CH25" s="1367">
        <v>22.5</v>
      </c>
      <c r="CI25" s="1369">
        <f t="shared" si="28"/>
        <v>8314006556.5</v>
      </c>
      <c r="CN25" s="1370">
        <f>IFERROR(VLOOKUP(B25,#REF!,6,0),0)</f>
        <v>0</v>
      </c>
      <c r="CO25" s="1369">
        <f t="shared" si="29"/>
        <v>8314006579</v>
      </c>
      <c r="CQ25" s="1371">
        <v>16885485.932294451</v>
      </c>
      <c r="CR25" s="1372">
        <f t="shared" si="30"/>
        <v>-3191890.9322944507</v>
      </c>
      <c r="CS25" s="1371"/>
      <c r="CT25" s="1375">
        <f>IFERROR(VLOOKUP(B25,#REF!,6,0),0)</f>
        <v>0</v>
      </c>
      <c r="CU25" s="1369">
        <f t="shared" si="31"/>
        <v>8314006579</v>
      </c>
    </row>
    <row r="26" spans="1:99" s="1367" customFormat="1" ht="21" customHeight="1">
      <c r="A26" s="1356">
        <v>17</v>
      </c>
      <c r="B26" s="1357" t="s">
        <v>38</v>
      </c>
      <c r="C26" s="1358" t="s">
        <v>39</v>
      </c>
      <c r="D26" s="1359">
        <f>IFERROR(VLOOKUP(B26,'[10]Danh sách CTV'!A$3:G$81,7,0),0)</f>
        <v>4718700</v>
      </c>
      <c r="E26" s="1434" t="str">
        <f>VLOOKUP(C26,[11]NhanSu!$D$4:$E$86,2,0)</f>
        <v>8310001930</v>
      </c>
      <c r="F26" s="1360">
        <f>IFERROR(VLOOKUP(B26,'Bảng lương t1.2025'!$B$10:$H$89,7,0),0)</f>
        <v>4167358</v>
      </c>
      <c r="G26" s="1360"/>
      <c r="H26" s="1364"/>
      <c r="I26" s="1452">
        <f>IFERROR(VLOOKUP(B26,'Bảng lương t1.2025'!$B$10:$I$89,8,0),0)</f>
        <v>6672248</v>
      </c>
      <c r="J26" s="1452"/>
      <c r="K26" s="1435">
        <f>SUMIFS('64'!$E:$E,'64'!$B:$B,'DSOAT-T1.2025'!C26)</f>
        <v>400000</v>
      </c>
      <c r="L26" s="1365"/>
      <c r="M26" s="1365"/>
      <c r="N26" s="1365"/>
      <c r="O26" s="1365"/>
      <c r="P26" s="1365"/>
      <c r="Q26" s="1365"/>
      <c r="R26" s="1365"/>
      <c r="S26" s="1365"/>
      <c r="T26" s="1365"/>
      <c r="U26" s="1365"/>
      <c r="V26" s="1365"/>
      <c r="W26" s="1365"/>
      <c r="X26" s="1365"/>
      <c r="Y26" s="1365">
        <v>100000</v>
      </c>
      <c r="Z26" s="1365">
        <f>IFERROR(VLOOKUP(B26,'[12]CTV thuê lại'!B$9:F$90,5,0),0)</f>
        <v>4673538</v>
      </c>
      <c r="AA26" s="1436">
        <v>300000</v>
      </c>
      <c r="AB26" s="1365">
        <f>SUMIFS('210'!$G:$G,'210'!$B:$B,'DSOAT-T1.2025'!C26)</f>
        <v>500000</v>
      </c>
      <c r="AC26" s="1365"/>
      <c r="AD26" s="1365"/>
      <c r="AE26" s="1365"/>
      <c r="AF26" s="1365"/>
      <c r="AG26" s="1365"/>
      <c r="AH26" s="1365"/>
      <c r="AI26" s="1365"/>
      <c r="AJ26" s="1361">
        <f t="shared" si="0"/>
        <v>16813144</v>
      </c>
      <c r="AK26" s="1362">
        <f t="shared" si="1"/>
        <v>1014521</v>
      </c>
      <c r="AL26" s="1363">
        <f t="shared" si="2"/>
        <v>94374</v>
      </c>
      <c r="AM26" s="1363">
        <v>300000</v>
      </c>
      <c r="AN26" s="1363">
        <f t="shared" si="20"/>
        <v>24000</v>
      </c>
      <c r="AO26" s="1363">
        <f t="shared" si="21"/>
        <v>324000</v>
      </c>
      <c r="AP26" s="1362">
        <f t="shared" si="3"/>
        <v>12348501</v>
      </c>
      <c r="AQ26" s="1363">
        <f t="shared" si="4"/>
        <v>495464</v>
      </c>
      <c r="AR26" s="1363">
        <f t="shared" si="5"/>
        <v>47187</v>
      </c>
      <c r="AS26" s="1363">
        <f>VLOOKUP(B26,'Thuế TNCN _T1'!$B$9:$K$86,10,0)</f>
        <v>0</v>
      </c>
      <c r="AT26" s="1366">
        <f t="shared" si="6"/>
        <v>16270493</v>
      </c>
      <c r="AU26" s="1363">
        <f t="shared" si="7"/>
        <v>141561</v>
      </c>
      <c r="AV26" s="1363">
        <f>VLOOKUP(C26,'[13]1'!$B$7:$F$83,5,0)</f>
        <v>1509984</v>
      </c>
      <c r="AW26" s="1366">
        <f t="shared" si="22"/>
        <v>324001</v>
      </c>
      <c r="AX26" s="1374">
        <f t="shared" si="8"/>
        <v>10839606</v>
      </c>
      <c r="AY26" s="1374">
        <f t="shared" si="23"/>
        <v>11239606</v>
      </c>
      <c r="AZ26" s="1374"/>
      <c r="BA26" s="1437">
        <f t="shared" si="9"/>
        <v>1832895</v>
      </c>
      <c r="BB26" s="1437" t="e">
        <f>#REF!</f>
        <v>#REF!</v>
      </c>
      <c r="BC26" s="1437" t="e">
        <f>#REF!</f>
        <v>#REF!</v>
      </c>
      <c r="BD26" s="1437">
        <f t="shared" si="10"/>
        <v>1408895</v>
      </c>
      <c r="BE26" s="1374"/>
      <c r="BF26" s="1374">
        <f>IFERROR(VLOOKUP(B26,'Bảng lương T5.2024'!$B$10:$N$85,13,0),0)</f>
        <v>44512</v>
      </c>
      <c r="BG26" s="1374">
        <f t="shared" si="11"/>
        <v>2675</v>
      </c>
      <c r="BH26" s="1367" t="s">
        <v>23</v>
      </c>
      <c r="BJ26" s="1373"/>
      <c r="BK26" s="1373"/>
      <c r="BL26" s="1373"/>
      <c r="BM26" s="1373"/>
      <c r="BN26" s="1373"/>
      <c r="BO26" s="1373"/>
      <c r="BP26" s="1373" t="e">
        <f>BR22-BJ21-BR21</f>
        <v>#REF!</v>
      </c>
      <c r="BQ26" s="1373"/>
      <c r="BR26" s="1373"/>
      <c r="BS26" s="1373"/>
      <c r="BT26" s="1373">
        <f t="shared" si="16"/>
        <v>1408895</v>
      </c>
      <c r="BU26" s="1373">
        <f>IFERROR(VLOOKUP(B26,#REF!,13,0),0)</f>
        <v>0</v>
      </c>
      <c r="BV26" s="1373">
        <f t="shared" si="17"/>
        <v>495464</v>
      </c>
      <c r="CA26" s="1367">
        <v>23.5</v>
      </c>
      <c r="CB26" s="1369">
        <f t="shared" si="27"/>
        <v>-8310001906.5</v>
      </c>
      <c r="CH26" s="1367">
        <v>23.5</v>
      </c>
      <c r="CI26" s="1369">
        <f t="shared" si="28"/>
        <v>8310001906.5</v>
      </c>
      <c r="CL26" s="1367" t="e">
        <f>VLOOKUP(B26,#REF!,4,0)</f>
        <v>#REF!</v>
      </c>
      <c r="CN26" s="1370">
        <f>IFERROR(VLOOKUP(B26,#REF!,6,0),0)</f>
        <v>0</v>
      </c>
      <c r="CO26" s="1369">
        <f t="shared" si="29"/>
        <v>8310001930</v>
      </c>
      <c r="CQ26" s="1371">
        <v>44059492.560885876</v>
      </c>
      <c r="CR26" s="1372">
        <f t="shared" si="30"/>
        <v>-27246348.560885876</v>
      </c>
      <c r="CS26" s="1371"/>
      <c r="CT26" s="1375">
        <f>IFERROR(VLOOKUP(B26,#REF!,6,0),0)</f>
        <v>0</v>
      </c>
      <c r="CU26" s="1369">
        <f t="shared" si="31"/>
        <v>8310001930</v>
      </c>
    </row>
    <row r="27" spans="1:99" s="1367" customFormat="1" ht="21" customHeight="1">
      <c r="A27" s="1356">
        <v>18</v>
      </c>
      <c r="B27" s="1357" t="s">
        <v>40</v>
      </c>
      <c r="C27" s="1358" t="s">
        <v>41</v>
      </c>
      <c r="D27" s="1359">
        <f>IFERROR(VLOOKUP(B27,'[10]Danh sách CTV'!A$3:G$81,7,0),0)</f>
        <v>4130200.0000000005</v>
      </c>
      <c r="E27" s="1434" t="str">
        <f>VLOOKUP(C27,[11]NhanSu!$D$4:$E$86,2,0)</f>
        <v>5502001961</v>
      </c>
      <c r="F27" s="1360">
        <f>IFERROR(VLOOKUP(B27,'Bảng lương t1.2025'!$B$10:$H$89,7,0),0)</f>
        <v>11913977</v>
      </c>
      <c r="G27" s="1360"/>
      <c r="H27" s="1364"/>
      <c r="I27" s="1452">
        <f>IFERROR(VLOOKUP(B27,'Bảng lương t1.2025'!$B$10:$I$89,8,0),0)</f>
        <v>874158</v>
      </c>
      <c r="J27" s="1452"/>
      <c r="K27" s="1435">
        <f>SUMIFS('64'!$E:$E,'64'!$B:$B,'DSOAT-T1.2025'!C27)</f>
        <v>0</v>
      </c>
      <c r="L27" s="1365"/>
      <c r="M27" s="1365"/>
      <c r="N27" s="1365"/>
      <c r="O27" s="1365"/>
      <c r="P27" s="1365"/>
      <c r="Q27" s="1365"/>
      <c r="R27" s="1365"/>
      <c r="S27" s="1365"/>
      <c r="T27" s="1365"/>
      <c r="U27" s="1365"/>
      <c r="V27" s="1365"/>
      <c r="W27" s="1365"/>
      <c r="X27" s="1365"/>
      <c r="Y27" s="1365"/>
      <c r="Z27" s="1365">
        <f>IFERROR(VLOOKUP(B27,'[12]CTV thuê lại'!B$9:F$90,5,0),0)</f>
        <v>2947828</v>
      </c>
      <c r="AA27" s="1436"/>
      <c r="AB27" s="1365">
        <f>SUMIFS('210'!$G:$G,'210'!$B:$B,'DSOAT-T1.2025'!C27)</f>
        <v>500000</v>
      </c>
      <c r="AC27" s="1365"/>
      <c r="AD27" s="1365"/>
      <c r="AE27" s="1365"/>
      <c r="AF27" s="1365"/>
      <c r="AG27" s="1365"/>
      <c r="AH27" s="1365"/>
      <c r="AI27" s="1365"/>
      <c r="AJ27" s="1361">
        <f t="shared" si="0"/>
        <v>16235963</v>
      </c>
      <c r="AK27" s="1362">
        <f t="shared" si="1"/>
        <v>887993</v>
      </c>
      <c r="AL27" s="1363">
        <f t="shared" si="2"/>
        <v>82604.000000000015</v>
      </c>
      <c r="AM27" s="1363">
        <v>300000</v>
      </c>
      <c r="AN27" s="1363">
        <f t="shared" si="20"/>
        <v>24000</v>
      </c>
      <c r="AO27" s="1363">
        <f t="shared" si="21"/>
        <v>324000</v>
      </c>
      <c r="AP27" s="1362">
        <f t="shared" si="3"/>
        <v>13758732</v>
      </c>
      <c r="AQ27" s="1363">
        <f t="shared" si="4"/>
        <v>433671</v>
      </c>
      <c r="AR27" s="1363">
        <f t="shared" si="5"/>
        <v>41302.000000000007</v>
      </c>
      <c r="AS27" s="1363">
        <f>VLOOKUP(B27,'Thuế TNCN _T1'!$B$9:$K$86,10,0)</f>
        <v>20115</v>
      </c>
      <c r="AT27" s="1366">
        <f t="shared" si="6"/>
        <v>15740875</v>
      </c>
      <c r="AU27" s="1363">
        <f t="shared" si="7"/>
        <v>123906.00000000003</v>
      </c>
      <c r="AV27" s="1363">
        <f>VLOOKUP(C27,'[13]1'!$B$7:$F$83,5,0)</f>
        <v>1321664</v>
      </c>
      <c r="AW27" s="1366">
        <f t="shared" si="22"/>
        <v>344115</v>
      </c>
      <c r="AX27" s="1374">
        <f t="shared" si="8"/>
        <v>12788135</v>
      </c>
      <c r="AY27" s="1374">
        <f t="shared" si="23"/>
        <v>12788135</v>
      </c>
      <c r="AZ27" s="1374"/>
      <c r="BA27" s="1437">
        <f t="shared" si="9"/>
        <v>1294597</v>
      </c>
      <c r="BB27" s="1437" t="e">
        <f>#REF!</f>
        <v>#REF!</v>
      </c>
      <c r="BC27" s="1437" t="e">
        <f>#REF!</f>
        <v>#REF!</v>
      </c>
      <c r="BD27" s="1437">
        <f t="shared" si="10"/>
        <v>1270597</v>
      </c>
      <c r="BE27" s="1374"/>
      <c r="BF27" s="1374">
        <f>IFERROR(VLOOKUP(B27,'Bảng lương T5.2024'!$B$10:$N$85,13,0),0)</f>
        <v>38948</v>
      </c>
      <c r="BG27" s="1374">
        <f t="shared" si="11"/>
        <v>2354.0000000000073</v>
      </c>
      <c r="BH27" s="1367" t="s">
        <v>42</v>
      </c>
      <c r="BJ27" s="1373"/>
      <c r="BK27" s="1373"/>
      <c r="BL27" s="1373">
        <f>BO21-BL25</f>
        <v>-246224685</v>
      </c>
      <c r="BM27" s="1373"/>
      <c r="BN27" s="1373"/>
      <c r="BO27" s="1373"/>
      <c r="BP27" s="1373"/>
      <c r="BQ27" s="1373"/>
      <c r="BR27" s="1373"/>
      <c r="BS27" s="1373"/>
      <c r="BT27" s="1373">
        <f t="shared" si="16"/>
        <v>1270597</v>
      </c>
      <c r="BU27" s="1373">
        <f>IFERROR(VLOOKUP(B27,#REF!,13,0),0)</f>
        <v>0</v>
      </c>
      <c r="BV27" s="1373">
        <f t="shared" si="17"/>
        <v>433671</v>
      </c>
      <c r="CA27" s="1367">
        <v>22</v>
      </c>
      <c r="CB27" s="1369">
        <f t="shared" si="27"/>
        <v>-5502001939</v>
      </c>
      <c r="CH27" s="1367">
        <v>22</v>
      </c>
      <c r="CI27" s="1369">
        <f t="shared" si="28"/>
        <v>5502001939</v>
      </c>
      <c r="CN27" s="1370">
        <f>IFERROR(VLOOKUP(B27,#REF!,6,0),0)</f>
        <v>0</v>
      </c>
      <c r="CO27" s="1369">
        <f t="shared" si="29"/>
        <v>5502001961</v>
      </c>
      <c r="CQ27" s="1371">
        <v>17634428.571858957</v>
      </c>
      <c r="CR27" s="1372">
        <f t="shared" si="30"/>
        <v>-1398465.5718589574</v>
      </c>
      <c r="CS27" s="1371"/>
      <c r="CT27" s="1375">
        <f>IFERROR(VLOOKUP(B27,#REF!,6,0),0)</f>
        <v>0</v>
      </c>
      <c r="CU27" s="1369">
        <f t="shared" si="31"/>
        <v>5502001961</v>
      </c>
    </row>
    <row r="28" spans="1:99" s="1367" customFormat="1" ht="21" customHeight="1">
      <c r="A28" s="1356">
        <v>19</v>
      </c>
      <c r="B28" s="1379" t="s">
        <v>43</v>
      </c>
      <c r="C28" s="1358" t="s">
        <v>44</v>
      </c>
      <c r="D28" s="1359">
        <f>IFERROR(VLOOKUP(B28,'[10]Danh sách CTV'!A$3:G$81,7,0),0)</f>
        <v>4130200.0000000005</v>
      </c>
      <c r="E28" s="1434" t="str">
        <f>VLOOKUP(C28,[11]NhanSu!$D$4:$E$86,2,0)</f>
        <v>8316008907</v>
      </c>
      <c r="F28" s="1360">
        <f>IFERROR(VLOOKUP(B28,'Bảng lương t1.2025'!$B$10:$H$89,7,0),0)</f>
        <v>8184281</v>
      </c>
      <c r="G28" s="1360"/>
      <c r="H28" s="1364"/>
      <c r="I28" s="1452">
        <f>IFERROR(VLOOKUP(B28,'Bảng lương t1.2025'!$B$10:$I$89,8,0),0)</f>
        <v>1117182</v>
      </c>
      <c r="J28" s="1452"/>
      <c r="K28" s="1435">
        <f>SUMIFS('64'!$E:$E,'64'!$B:$B,'DSOAT-T1.2025'!C28)</f>
        <v>0</v>
      </c>
      <c r="L28" s="1365"/>
      <c r="M28" s="1365"/>
      <c r="N28" s="1365"/>
      <c r="O28" s="1365"/>
      <c r="P28" s="1365"/>
      <c r="Q28" s="1365"/>
      <c r="R28" s="1365"/>
      <c r="S28" s="1365"/>
      <c r="T28" s="1365"/>
      <c r="U28" s="1365"/>
      <c r="V28" s="1365"/>
      <c r="W28" s="1365"/>
      <c r="X28" s="1365"/>
      <c r="Y28" s="1365"/>
      <c r="Z28" s="1365">
        <f>IFERROR(VLOOKUP(B28,'[12]CTV thuê lại'!B$9:F$90,5,0),0)</f>
        <v>2263655</v>
      </c>
      <c r="AA28" s="1436"/>
      <c r="AB28" s="1365">
        <f>SUMIFS('210'!$G:$G,'210'!$B:$B,'DSOAT-T1.2025'!C28)</f>
        <v>200000</v>
      </c>
      <c r="AC28" s="1365"/>
      <c r="AD28" s="1365"/>
      <c r="AE28" s="1365"/>
      <c r="AF28" s="1365"/>
      <c r="AG28" s="1365"/>
      <c r="AH28" s="1365"/>
      <c r="AI28" s="1365"/>
      <c r="AJ28" s="1361">
        <f t="shared" si="0"/>
        <v>11765118</v>
      </c>
      <c r="AK28" s="1362">
        <f t="shared" si="1"/>
        <v>887993</v>
      </c>
      <c r="AL28" s="1363">
        <f t="shared" si="2"/>
        <v>82604.000000000015</v>
      </c>
      <c r="AM28" s="1363">
        <v>300000</v>
      </c>
      <c r="AN28" s="1363">
        <f t="shared" si="20"/>
        <v>24000</v>
      </c>
      <c r="AO28" s="1363">
        <f t="shared" si="21"/>
        <v>324000</v>
      </c>
      <c r="AP28" s="1362">
        <f t="shared" si="3"/>
        <v>10272060</v>
      </c>
      <c r="AQ28" s="1363">
        <f t="shared" si="4"/>
        <v>433671</v>
      </c>
      <c r="AR28" s="1363">
        <f t="shared" si="5"/>
        <v>41302.000000000007</v>
      </c>
      <c r="AS28" s="1363">
        <f>VLOOKUP(B28,'Thuế TNCN _T1'!$B$9:$K$86,10,0)</f>
        <v>0</v>
      </c>
      <c r="AT28" s="1366">
        <f t="shared" si="6"/>
        <v>11290145</v>
      </c>
      <c r="AU28" s="1363">
        <f t="shared" si="7"/>
        <v>123906.00000000003</v>
      </c>
      <c r="AV28" s="1363">
        <f>VLOOKUP(C28,'[13]1'!$B$7:$F$83,5,0)</f>
        <v>1321664</v>
      </c>
      <c r="AW28" s="1366">
        <f t="shared" si="22"/>
        <v>324000</v>
      </c>
      <c r="AX28" s="1374">
        <f t="shared" si="8"/>
        <v>9301463</v>
      </c>
      <c r="AY28" s="1374">
        <f t="shared" si="23"/>
        <v>9301463</v>
      </c>
      <c r="AZ28" s="1374"/>
      <c r="BA28" s="1437">
        <f t="shared" si="9"/>
        <v>1294597</v>
      </c>
      <c r="BB28" s="1437" t="e">
        <f>#REF!</f>
        <v>#REF!</v>
      </c>
      <c r="BC28" s="1437" t="e">
        <f>#REF!</f>
        <v>#REF!</v>
      </c>
      <c r="BD28" s="1437">
        <f t="shared" si="10"/>
        <v>1270597</v>
      </c>
      <c r="BE28" s="1374"/>
      <c r="BF28" s="1374">
        <f>IFERROR(VLOOKUP(B28,'Bảng lương T5.2024'!$B$10:$N$85,13,0),0)</f>
        <v>38948</v>
      </c>
      <c r="BG28" s="1374">
        <f t="shared" si="11"/>
        <v>2354.0000000000073</v>
      </c>
      <c r="BH28" s="1367" t="s">
        <v>42</v>
      </c>
      <c r="BJ28" s="1373"/>
      <c r="BK28" s="1373"/>
      <c r="BL28" s="1373"/>
      <c r="BM28" s="1373"/>
      <c r="BN28" s="1373"/>
      <c r="BO28" s="1373"/>
      <c r="BP28" s="1373"/>
      <c r="BQ28" s="1373"/>
      <c r="BR28" s="1373"/>
      <c r="BS28" s="1373"/>
      <c r="BT28" s="1373">
        <f t="shared" si="16"/>
        <v>1270597</v>
      </c>
      <c r="BU28" s="1373">
        <f>IFERROR(VLOOKUP(B28,#REF!,13,0),0)</f>
        <v>0</v>
      </c>
      <c r="BV28" s="1373">
        <f t="shared" si="17"/>
        <v>433671</v>
      </c>
      <c r="CA28" s="1367">
        <v>22.5</v>
      </c>
      <c r="CB28" s="1369">
        <f t="shared" si="27"/>
        <v>-8316008884.5</v>
      </c>
      <c r="CH28" s="1367">
        <v>22.5</v>
      </c>
      <c r="CI28" s="1369">
        <f t="shared" si="28"/>
        <v>8316008884.5</v>
      </c>
      <c r="CL28" s="1367" t="e">
        <f>VLOOKUP(B28,#REF!,4,0)</f>
        <v>#REF!</v>
      </c>
      <c r="CN28" s="1370">
        <f>IFERROR(VLOOKUP(B28,#REF!,6,0),0)</f>
        <v>0</v>
      </c>
      <c r="CO28" s="1369">
        <f t="shared" si="29"/>
        <v>8316008907</v>
      </c>
      <c r="CQ28" s="1371">
        <v>18417055.887302659</v>
      </c>
      <c r="CR28" s="1372">
        <f t="shared" si="30"/>
        <v>-6651937.8873026595</v>
      </c>
      <c r="CS28" s="1371"/>
      <c r="CT28" s="1375">
        <f>IFERROR(VLOOKUP(B28,#REF!,6,0),0)</f>
        <v>0</v>
      </c>
      <c r="CU28" s="1369">
        <f t="shared" si="31"/>
        <v>8316008907</v>
      </c>
    </row>
    <row r="29" spans="1:99" s="1367" customFormat="1" ht="21" customHeight="1">
      <c r="A29" s="1356">
        <v>20</v>
      </c>
      <c r="B29" s="1357" t="s">
        <v>45</v>
      </c>
      <c r="C29" s="1358" t="s">
        <v>46</v>
      </c>
      <c r="D29" s="1359">
        <f>IFERROR(VLOOKUP(B29,'[10]Danh sách CTV'!A$3:G$81,7,0),0)</f>
        <v>4130200.0000000005</v>
      </c>
      <c r="E29" s="1434" t="str">
        <f>VLOOKUP(C29,[11]NhanSu!$D$4:$E$86,2,0)</f>
        <v>8316023957</v>
      </c>
      <c r="F29" s="1360">
        <f>IFERROR(VLOOKUP(B29,'Bảng lương t1.2025'!$B$10:$H$89,7,0),0)</f>
        <v>2283483</v>
      </c>
      <c r="G29" s="1360"/>
      <c r="H29" s="1364"/>
      <c r="I29" s="1452">
        <f>IFERROR(VLOOKUP(B29,'Bảng lương t1.2025'!$B$10:$I$89,8,0),0)</f>
        <v>1777490</v>
      </c>
      <c r="J29" s="1452"/>
      <c r="K29" s="1435">
        <f>SUMIFS('64'!$E:$E,'64'!$B:$B,'DSOAT-T1.2025'!C29)</f>
        <v>0</v>
      </c>
      <c r="L29" s="1365"/>
      <c r="M29" s="1365"/>
      <c r="N29" s="1365"/>
      <c r="O29" s="1365"/>
      <c r="P29" s="1365"/>
      <c r="Q29" s="1365"/>
      <c r="R29" s="1365"/>
      <c r="S29" s="1365"/>
      <c r="T29" s="1365"/>
      <c r="U29" s="1365"/>
      <c r="V29" s="1365"/>
      <c r="W29" s="1365"/>
      <c r="X29" s="1365"/>
      <c r="Y29" s="1365"/>
      <c r="Z29" s="1365">
        <f>IFERROR(VLOOKUP(B29,'[12]CTV thuê lại'!B$9:F$90,5,0),0)</f>
        <v>1532601</v>
      </c>
      <c r="AA29" s="1436"/>
      <c r="AB29" s="1365">
        <f>SUMIFS('210'!$G:$G,'210'!$B:$B,'DSOAT-T1.2025'!C29)</f>
        <v>200000</v>
      </c>
      <c r="AC29" s="1365"/>
      <c r="AD29" s="1365"/>
      <c r="AE29" s="1365"/>
      <c r="AF29" s="1365"/>
      <c r="AG29" s="1365"/>
      <c r="AH29" s="1365"/>
      <c r="AI29" s="1365"/>
      <c r="AJ29" s="1361">
        <f t="shared" si="0"/>
        <v>5793574</v>
      </c>
      <c r="AK29" s="1362">
        <f t="shared" si="1"/>
        <v>887993</v>
      </c>
      <c r="AL29" s="1363">
        <f t="shared" si="2"/>
        <v>82604.000000000015</v>
      </c>
      <c r="AM29" s="1363">
        <v>300000</v>
      </c>
      <c r="AN29" s="1363">
        <f t="shared" si="20"/>
        <v>24000</v>
      </c>
      <c r="AO29" s="1363">
        <f t="shared" si="21"/>
        <v>324000</v>
      </c>
      <c r="AP29" s="1362">
        <f t="shared" si="3"/>
        <v>5031570</v>
      </c>
      <c r="AQ29" s="1363">
        <f t="shared" si="4"/>
        <v>433671</v>
      </c>
      <c r="AR29" s="1363">
        <f t="shared" si="5"/>
        <v>41302.000000000007</v>
      </c>
      <c r="AS29" s="1363">
        <f>VLOOKUP(B29,'Thuế TNCN _T1'!$B$9:$K$86,10,0)</f>
        <v>0</v>
      </c>
      <c r="AT29" s="1366">
        <f t="shared" si="6"/>
        <v>5318601</v>
      </c>
      <c r="AU29" s="1363">
        <f t="shared" si="7"/>
        <v>123906.00000000003</v>
      </c>
      <c r="AV29" s="1363">
        <f>VLOOKUP(C29,'[13]1'!$B$7:$F$83,5,0)</f>
        <v>1321664</v>
      </c>
      <c r="AW29" s="1366">
        <f t="shared" si="22"/>
        <v>324000</v>
      </c>
      <c r="AX29" s="1374">
        <f t="shared" si="8"/>
        <v>4060973</v>
      </c>
      <c r="AY29" s="1374">
        <f t="shared" si="23"/>
        <v>4060973</v>
      </c>
      <c r="AZ29" s="1374"/>
      <c r="BA29" s="1437">
        <f t="shared" si="9"/>
        <v>1294597</v>
      </c>
      <c r="BB29" s="1437" t="e">
        <f>#REF!</f>
        <v>#REF!</v>
      </c>
      <c r="BC29" s="1437" t="e">
        <f>#REF!</f>
        <v>#REF!</v>
      </c>
      <c r="BD29" s="1437">
        <f t="shared" si="10"/>
        <v>1270597</v>
      </c>
      <c r="BE29" s="1374"/>
      <c r="BF29" s="1374">
        <f>IFERROR(VLOOKUP(B29,'Bảng lương T5.2024'!$B$10:$N$85,13,0),0)</f>
        <v>38948</v>
      </c>
      <c r="BG29" s="1374">
        <f t="shared" si="11"/>
        <v>2354.0000000000073</v>
      </c>
      <c r="BH29" s="1367" t="s">
        <v>42</v>
      </c>
      <c r="BJ29" s="1373"/>
      <c r="BK29" s="1373"/>
      <c r="BL29" s="1373"/>
      <c r="BM29" s="1373"/>
      <c r="BN29" s="1373"/>
      <c r="BO29" s="1373"/>
      <c r="BP29" s="1373"/>
      <c r="BQ29" s="1373"/>
      <c r="BR29" s="1373"/>
      <c r="BS29" s="1373"/>
      <c r="BT29" s="1373">
        <f t="shared" si="16"/>
        <v>1270597</v>
      </c>
      <c r="BU29" s="1373">
        <f>IFERROR(VLOOKUP(B29,#REF!,13,0),0)</f>
        <v>0</v>
      </c>
      <c r="BV29" s="1373">
        <f t="shared" si="17"/>
        <v>433671</v>
      </c>
      <c r="CA29" s="1367">
        <v>0</v>
      </c>
      <c r="CB29" s="1369">
        <f t="shared" si="27"/>
        <v>-8316023957</v>
      </c>
      <c r="CH29" s="1367">
        <v>0</v>
      </c>
      <c r="CI29" s="1369">
        <f t="shared" si="28"/>
        <v>8316023957</v>
      </c>
      <c r="CN29" s="1370">
        <f>IFERROR(VLOOKUP(B29,#REF!,6,0),0)</f>
        <v>0</v>
      </c>
      <c r="CO29" s="1369">
        <f t="shared" si="29"/>
        <v>8316023957</v>
      </c>
      <c r="CQ29" s="1371">
        <v>20642151.890824497</v>
      </c>
      <c r="CR29" s="1372">
        <f t="shared" si="30"/>
        <v>-14848577.890824497</v>
      </c>
      <c r="CS29" s="1371"/>
      <c r="CT29" s="1375">
        <f>IFERROR(VLOOKUP(B29,#REF!,6,0),0)</f>
        <v>0</v>
      </c>
      <c r="CU29" s="1369">
        <f t="shared" si="31"/>
        <v>8316023957</v>
      </c>
    </row>
    <row r="30" spans="1:99" s="1367" customFormat="1" ht="21" customHeight="1">
      <c r="A30" s="1356">
        <v>21</v>
      </c>
      <c r="B30" s="1357" t="s">
        <v>49</v>
      </c>
      <c r="C30" s="1358" t="s">
        <v>50</v>
      </c>
      <c r="D30" s="1359">
        <f>IFERROR(VLOOKUP(B30,'[10]Danh sách CTV'!A$3:G$81,7,0),0)</f>
        <v>4130200.0000000005</v>
      </c>
      <c r="E30" s="1434" t="str">
        <f>VLOOKUP(C30,[11]NhanSu!$D$4:$E$86,2,0)</f>
        <v>8323045505</v>
      </c>
      <c r="F30" s="1360">
        <f>IFERROR(VLOOKUP(B30,'Bảng lương t1.2025'!$B$10:$H$89,7,0),0)</f>
        <v>3065522</v>
      </c>
      <c r="G30" s="1360"/>
      <c r="H30" s="1364"/>
      <c r="I30" s="1452">
        <f>IFERROR(VLOOKUP(B30,'Bảng lương t1.2025'!$B$10:$I$89,8,0),0)</f>
        <v>9523971</v>
      </c>
      <c r="J30" s="1452"/>
      <c r="K30" s="1435">
        <f>SUMIFS('64'!$E:$E,'64'!$B:$B,'DSOAT-T1.2025'!C30)</f>
        <v>400000</v>
      </c>
      <c r="L30" s="1365"/>
      <c r="M30" s="1365"/>
      <c r="N30" s="1365"/>
      <c r="O30" s="1365"/>
      <c r="P30" s="1365"/>
      <c r="Q30" s="1365"/>
      <c r="R30" s="1365"/>
      <c r="S30" s="1365"/>
      <c r="T30" s="1365"/>
      <c r="U30" s="1365"/>
      <c r="V30" s="1365"/>
      <c r="W30" s="1365"/>
      <c r="X30" s="1365"/>
      <c r="Y30" s="1365"/>
      <c r="Z30" s="1365">
        <f>IFERROR(VLOOKUP(B30,'[12]CTV thuê lại'!B$9:F$90,5,0),0)</f>
        <v>2722736</v>
      </c>
      <c r="AA30" s="1436"/>
      <c r="AB30" s="1365">
        <f>SUMIFS('210'!$G:$G,'210'!$B:$B,'DSOAT-T1.2025'!C30)</f>
        <v>200000</v>
      </c>
      <c r="AC30" s="1365"/>
      <c r="AD30" s="1365"/>
      <c r="AE30" s="1365"/>
      <c r="AF30" s="1365"/>
      <c r="AG30" s="1365"/>
      <c r="AH30" s="1365"/>
      <c r="AI30" s="1365"/>
      <c r="AJ30" s="1361">
        <f t="shared" si="0"/>
        <v>15912229</v>
      </c>
      <c r="AK30" s="1362">
        <f t="shared" si="1"/>
        <v>887993</v>
      </c>
      <c r="AL30" s="1363">
        <f t="shared" si="2"/>
        <v>82604.000000000015</v>
      </c>
      <c r="AM30" s="1363">
        <v>300000</v>
      </c>
      <c r="AN30" s="1363">
        <f t="shared" si="20"/>
        <v>24000</v>
      </c>
      <c r="AO30" s="1363">
        <f t="shared" si="21"/>
        <v>324000</v>
      </c>
      <c r="AP30" s="1362">
        <f t="shared" si="3"/>
        <v>13960090</v>
      </c>
      <c r="AQ30" s="1363">
        <f t="shared" si="4"/>
        <v>433671</v>
      </c>
      <c r="AR30" s="1363">
        <f t="shared" si="5"/>
        <v>41302.000000000007</v>
      </c>
      <c r="AS30" s="1363">
        <f>VLOOKUP(B30,'Thuế TNCN _T1'!$B$9:$K$86,10,0)</f>
        <v>3928</v>
      </c>
      <c r="AT30" s="1366">
        <f t="shared" si="6"/>
        <v>15433328</v>
      </c>
      <c r="AU30" s="1363">
        <f t="shared" si="7"/>
        <v>123906.00000000003</v>
      </c>
      <c r="AV30" s="1363">
        <f>VLOOKUP(C30,'[13]1'!$B$7:$F$83,5,0)</f>
        <v>1321664</v>
      </c>
      <c r="AW30" s="1366">
        <f t="shared" si="22"/>
        <v>327928</v>
      </c>
      <c r="AX30" s="1374">
        <f t="shared" si="8"/>
        <v>12589493</v>
      </c>
      <c r="AY30" s="1374">
        <f t="shared" si="23"/>
        <v>12989493</v>
      </c>
      <c r="AZ30" s="1374"/>
      <c r="BA30" s="1437">
        <f t="shared" si="9"/>
        <v>1694597</v>
      </c>
      <c r="BB30" s="1437" t="e">
        <f>#REF!</f>
        <v>#REF!</v>
      </c>
      <c r="BC30" s="1437" t="e">
        <f>#REF!</f>
        <v>#REF!</v>
      </c>
      <c r="BD30" s="1437">
        <f t="shared" si="10"/>
        <v>1270597</v>
      </c>
      <c r="BE30" s="1374"/>
      <c r="BF30" s="1374">
        <f>IFERROR(VLOOKUP(B30,'Bảng lương T5.2024'!$B$10:$N$85,13,0),0)</f>
        <v>38948</v>
      </c>
      <c r="BG30" s="1374">
        <f t="shared" si="11"/>
        <v>2354.0000000000073</v>
      </c>
      <c r="BH30" s="1367" t="s">
        <v>42</v>
      </c>
      <c r="BJ30" s="1373"/>
      <c r="BK30" s="1373"/>
      <c r="BL30" s="1373"/>
      <c r="BM30" s="1373"/>
      <c r="BN30" s="1373"/>
      <c r="BO30" s="1373"/>
      <c r="BP30" s="1373"/>
      <c r="BQ30" s="1373"/>
      <c r="BR30" s="1373"/>
      <c r="BS30" s="1373"/>
      <c r="BT30" s="1373">
        <f t="shared" si="16"/>
        <v>1270597</v>
      </c>
      <c r="BU30" s="1373">
        <f>IFERROR(VLOOKUP(B30,#REF!,13,0),0)</f>
        <v>0</v>
      </c>
      <c r="BV30" s="1373">
        <f t="shared" si="17"/>
        <v>433671</v>
      </c>
      <c r="CA30" s="1367">
        <v>26</v>
      </c>
      <c r="CB30" s="1369">
        <f t="shared" si="27"/>
        <v>-8323045479</v>
      </c>
      <c r="CH30" s="1367">
        <v>26</v>
      </c>
      <c r="CI30" s="1369">
        <f t="shared" si="28"/>
        <v>8323045479</v>
      </c>
      <c r="CL30" s="1367" t="e">
        <f>VLOOKUP(B30,#REF!,4,0)</f>
        <v>#REF!</v>
      </c>
      <c r="CN30" s="1370">
        <f>IFERROR(VLOOKUP(B30,#REF!,6,0),0)</f>
        <v>0</v>
      </c>
      <c r="CO30" s="1369">
        <f t="shared" si="29"/>
        <v>8323045505</v>
      </c>
      <c r="CQ30" s="1371">
        <v>24472875.848057795</v>
      </c>
      <c r="CR30" s="1372">
        <f t="shared" si="30"/>
        <v>-8560646.8480577953</v>
      </c>
      <c r="CS30" s="1371"/>
      <c r="CT30" s="1375">
        <f>IFERROR(VLOOKUP(B30,#REF!,6,0),0)</f>
        <v>0</v>
      </c>
      <c r="CU30" s="1369">
        <f t="shared" si="31"/>
        <v>8323045505</v>
      </c>
    </row>
    <row r="31" spans="1:99" s="1367" customFormat="1" ht="21" customHeight="1">
      <c r="A31" s="1356">
        <v>22</v>
      </c>
      <c r="B31" s="1357" t="s">
        <v>51</v>
      </c>
      <c r="C31" s="1358" t="s">
        <v>52</v>
      </c>
      <c r="D31" s="1359">
        <f>IFERROR(VLOOKUP(B31,'[10]Danh sách CTV'!A$3:G$81,7,0),0)</f>
        <v>4130200.0000000005</v>
      </c>
      <c r="E31" s="1434" t="str">
        <f>VLOOKUP(C31,[11]NhanSu!$D$4:$E$86,2,0)</f>
        <v>7416131252</v>
      </c>
      <c r="F31" s="1360">
        <f>IFERROR(VLOOKUP(B31,'Bảng lương t1.2025'!$B$10:$H$89,7,0),0)</f>
        <v>2731064</v>
      </c>
      <c r="G31" s="1360"/>
      <c r="H31" s="1364"/>
      <c r="I31" s="1452">
        <f>IFERROR(VLOOKUP(B31,'Bảng lương t1.2025'!$B$10:$I$89,8,0),0)</f>
        <v>2275571</v>
      </c>
      <c r="J31" s="1452"/>
      <c r="K31" s="1435">
        <f>SUMIFS('64'!$E:$E,'64'!$B:$B,'DSOAT-T1.2025'!C31)</f>
        <v>0</v>
      </c>
      <c r="L31" s="1365"/>
      <c r="M31" s="1365"/>
      <c r="N31" s="1365"/>
      <c r="O31" s="1365"/>
      <c r="P31" s="1365"/>
      <c r="Q31" s="1365"/>
      <c r="R31" s="1365"/>
      <c r="S31" s="1365"/>
      <c r="T31" s="1365"/>
      <c r="U31" s="1365"/>
      <c r="V31" s="1365"/>
      <c r="W31" s="1365"/>
      <c r="X31" s="1365"/>
      <c r="Y31" s="1365"/>
      <c r="Z31" s="1365">
        <f>IFERROR(VLOOKUP(B31,'[12]CTV thuê lại'!B$9:F$90,5,0),0)</f>
        <v>1989761</v>
      </c>
      <c r="AA31" s="1436"/>
      <c r="AB31" s="1365">
        <f>SUMIFS('210'!$G:$G,'210'!$B:$B,'DSOAT-T1.2025'!C31)</f>
        <v>200000</v>
      </c>
      <c r="AC31" s="1365"/>
      <c r="AD31" s="1365"/>
      <c r="AE31" s="1365"/>
      <c r="AF31" s="1365"/>
      <c r="AG31" s="1365"/>
      <c r="AH31" s="1365"/>
      <c r="AI31" s="1365"/>
      <c r="AJ31" s="1361">
        <f t="shared" si="0"/>
        <v>7196396</v>
      </c>
      <c r="AK31" s="1362">
        <f t="shared" si="1"/>
        <v>887993</v>
      </c>
      <c r="AL31" s="1363">
        <f t="shared" si="2"/>
        <v>82604.000000000015</v>
      </c>
      <c r="AM31" s="1363">
        <v>300000</v>
      </c>
      <c r="AN31" s="1363">
        <f t="shared" si="20"/>
        <v>24000</v>
      </c>
      <c r="AO31" s="1363">
        <f t="shared" si="21"/>
        <v>324000</v>
      </c>
      <c r="AP31" s="1362">
        <f t="shared" si="3"/>
        <v>5977232</v>
      </c>
      <c r="AQ31" s="1363">
        <f t="shared" si="4"/>
        <v>433671</v>
      </c>
      <c r="AR31" s="1363">
        <f t="shared" si="5"/>
        <v>41302.000000000007</v>
      </c>
      <c r="AS31" s="1363">
        <f>VLOOKUP(B31,'Thuế TNCN _T1'!$B$9:$K$86,10,0)</f>
        <v>0</v>
      </c>
      <c r="AT31" s="1366">
        <f t="shared" si="6"/>
        <v>6721423</v>
      </c>
      <c r="AU31" s="1363">
        <f t="shared" si="7"/>
        <v>123906.00000000003</v>
      </c>
      <c r="AV31" s="1363">
        <f>VLOOKUP(C31,'[13]1'!$B$7:$F$83,5,0)</f>
        <v>1321664</v>
      </c>
      <c r="AW31" s="1366">
        <f t="shared" si="22"/>
        <v>324000</v>
      </c>
      <c r="AX31" s="1374">
        <f t="shared" si="8"/>
        <v>5006635</v>
      </c>
      <c r="AY31" s="1374">
        <f t="shared" si="23"/>
        <v>5006635</v>
      </c>
      <c r="AZ31" s="1374"/>
      <c r="BA31" s="1437">
        <f t="shared" si="9"/>
        <v>1294597</v>
      </c>
      <c r="BB31" s="1437" t="e">
        <f>#REF!</f>
        <v>#REF!</v>
      </c>
      <c r="BC31" s="1437" t="e">
        <f>#REF!</f>
        <v>#REF!</v>
      </c>
      <c r="BD31" s="1437">
        <f t="shared" si="10"/>
        <v>1270597</v>
      </c>
      <c r="BE31" s="1374"/>
      <c r="BF31" s="1374">
        <f>IFERROR(VLOOKUP(B31,'Bảng lương T5.2024'!$B$10:$N$85,13,0),0)</f>
        <v>38948</v>
      </c>
      <c r="BG31" s="1374">
        <f t="shared" si="11"/>
        <v>2354.0000000000073</v>
      </c>
      <c r="BH31" s="1367" t="s">
        <v>42</v>
      </c>
      <c r="BJ31" s="1373"/>
      <c r="BK31" s="1373"/>
      <c r="BL31" s="1373"/>
      <c r="BM31" s="1373"/>
      <c r="BN31" s="1373"/>
      <c r="BO31" s="1373"/>
      <c r="BP31" s="1373"/>
      <c r="BQ31" s="1373"/>
      <c r="BR31" s="1373"/>
      <c r="BS31" s="1373"/>
      <c r="BT31" s="1373">
        <f t="shared" si="16"/>
        <v>1270597</v>
      </c>
      <c r="BU31" s="1373">
        <f>IFERROR(VLOOKUP(B31,#REF!,13,0),0)</f>
        <v>0</v>
      </c>
      <c r="BV31" s="1373">
        <f t="shared" si="17"/>
        <v>433671</v>
      </c>
      <c r="CA31" s="1367">
        <v>26</v>
      </c>
      <c r="CB31" s="1369">
        <f t="shared" si="27"/>
        <v>-7416131226</v>
      </c>
      <c r="CH31" s="1367">
        <v>26</v>
      </c>
      <c r="CI31" s="1369">
        <f t="shared" si="28"/>
        <v>7416131226</v>
      </c>
      <c r="CL31" s="1367" t="e">
        <f>VLOOKUP(B31,#REF!,4,0)</f>
        <v>#REF!</v>
      </c>
      <c r="CN31" s="1370">
        <f>IFERROR(VLOOKUP(B31,#REF!,6,0),0)</f>
        <v>0</v>
      </c>
      <c r="CO31" s="1369">
        <f t="shared" si="29"/>
        <v>7416131252</v>
      </c>
      <c r="CQ31" s="1371">
        <v>21592392.286260609</v>
      </c>
      <c r="CR31" s="1372">
        <f t="shared" si="30"/>
        <v>-14395996.286260609</v>
      </c>
      <c r="CS31" s="1371"/>
      <c r="CT31" s="1375">
        <f>IFERROR(VLOOKUP(B31,#REF!,6,0),0)</f>
        <v>0</v>
      </c>
      <c r="CU31" s="1369">
        <f t="shared" si="31"/>
        <v>7416131252</v>
      </c>
    </row>
    <row r="32" spans="1:99" s="1367" customFormat="1" ht="21" customHeight="1">
      <c r="A32" s="1356">
        <v>23</v>
      </c>
      <c r="B32" s="1357" t="s">
        <v>53</v>
      </c>
      <c r="C32" s="1378" t="s">
        <v>138</v>
      </c>
      <c r="D32" s="1359">
        <f>IFERROR(VLOOKUP(B32,'[10]Danh sách CTV'!A$3:G$81,7,0),0)</f>
        <v>4130200.0000000005</v>
      </c>
      <c r="E32" s="1434" t="str">
        <f>VLOOKUP(C32,[11]NhanSu!$D$4:$E$86,2,0)</f>
        <v>8316007485</v>
      </c>
      <c r="F32" s="1360">
        <f>IFERROR(VLOOKUP(B32,'Bảng lương t1.2025'!$B$10:$H$89,7,0),0)</f>
        <v>2602504</v>
      </c>
      <c r="G32" s="1360"/>
      <c r="H32" s="1364"/>
      <c r="I32" s="1452">
        <f>IFERROR(VLOOKUP(B32,'Bảng lương t1.2025'!$B$10:$I$89,8,0),0)</f>
        <v>4378156</v>
      </c>
      <c r="J32" s="1452"/>
      <c r="K32" s="1435">
        <f>SUMIFS('64'!$E:$E,'64'!$B:$B,'DSOAT-T1.2025'!C32)</f>
        <v>0</v>
      </c>
      <c r="L32" s="1365"/>
      <c r="M32" s="1365"/>
      <c r="N32" s="1365"/>
      <c r="O32" s="1365"/>
      <c r="P32" s="1365"/>
      <c r="Q32" s="1365"/>
      <c r="R32" s="1365"/>
      <c r="S32" s="1365"/>
      <c r="T32" s="1365"/>
      <c r="U32" s="1365"/>
      <c r="V32" s="1365"/>
      <c r="W32" s="1365"/>
      <c r="X32" s="1365"/>
      <c r="Y32" s="1365"/>
      <c r="Z32" s="1365">
        <f>IFERROR(VLOOKUP(B32,'[12]CTV thuê lại'!B$9:F$90,5,0),0)</f>
        <v>2872440</v>
      </c>
      <c r="AA32" s="1436"/>
      <c r="AB32" s="1365">
        <v>500000</v>
      </c>
      <c r="AC32" s="1365"/>
      <c r="AD32" s="1365"/>
      <c r="AE32" s="1365"/>
      <c r="AF32" s="1365"/>
      <c r="AG32" s="1365"/>
      <c r="AH32" s="1365"/>
      <c r="AI32" s="1365"/>
      <c r="AJ32" s="1361">
        <f t="shared" si="0"/>
        <v>10353100</v>
      </c>
      <c r="AK32" s="1362">
        <f t="shared" si="1"/>
        <v>887993</v>
      </c>
      <c r="AL32" s="1363">
        <f t="shared" si="2"/>
        <v>82604.000000000015</v>
      </c>
      <c r="AM32" s="1363">
        <v>300000</v>
      </c>
      <c r="AN32" s="1363">
        <f t="shared" si="20"/>
        <v>24000</v>
      </c>
      <c r="AO32" s="1363">
        <f t="shared" si="21"/>
        <v>324000</v>
      </c>
      <c r="AP32" s="1362">
        <f t="shared" si="3"/>
        <v>7951257</v>
      </c>
      <c r="AQ32" s="1363">
        <f t="shared" si="4"/>
        <v>433671</v>
      </c>
      <c r="AR32" s="1363">
        <f t="shared" si="5"/>
        <v>41302.000000000007</v>
      </c>
      <c r="AS32" s="1363">
        <f>VLOOKUP(B32,'Thuế TNCN _T1'!$B$9:$K$86,10,0)</f>
        <v>0</v>
      </c>
      <c r="AT32" s="1366">
        <f t="shared" si="6"/>
        <v>9878127</v>
      </c>
      <c r="AU32" s="1363">
        <f t="shared" si="7"/>
        <v>123906.00000000003</v>
      </c>
      <c r="AV32" s="1363">
        <v>1321664</v>
      </c>
      <c r="AW32" s="1366">
        <f t="shared" si="22"/>
        <v>324000</v>
      </c>
      <c r="AX32" s="1374">
        <f t="shared" si="8"/>
        <v>6980660</v>
      </c>
      <c r="AY32" s="1374">
        <f t="shared" si="23"/>
        <v>6980660</v>
      </c>
      <c r="AZ32" s="1374"/>
      <c r="BA32" s="1437">
        <f t="shared" si="9"/>
        <v>1294597</v>
      </c>
      <c r="BB32" s="1437" t="e">
        <f>#REF!</f>
        <v>#REF!</v>
      </c>
      <c r="BC32" s="1437" t="e">
        <f>#REF!</f>
        <v>#REF!</v>
      </c>
      <c r="BD32" s="1437">
        <f t="shared" si="10"/>
        <v>1270597</v>
      </c>
      <c r="BE32" s="1374"/>
      <c r="BF32" s="1374">
        <f>IFERROR(VLOOKUP(B32,'Bảng lương T5.2024'!$B$10:$N$85,13,0),0)</f>
        <v>38948</v>
      </c>
      <c r="BG32" s="1374">
        <f t="shared" si="11"/>
        <v>2354.0000000000073</v>
      </c>
      <c r="BH32" s="1367" t="s">
        <v>42</v>
      </c>
      <c r="BL32" s="1373"/>
      <c r="BT32" s="1373">
        <f t="shared" si="16"/>
        <v>1270597</v>
      </c>
      <c r="BU32" s="1373">
        <f>IFERROR(VLOOKUP(B32,#REF!,13,0),0)</f>
        <v>0</v>
      </c>
      <c r="BV32" s="1373">
        <f t="shared" si="17"/>
        <v>433671</v>
      </c>
      <c r="CA32" s="1367">
        <v>22.5</v>
      </c>
      <c r="CB32" s="1369">
        <f t="shared" si="27"/>
        <v>-8316007462.5</v>
      </c>
      <c r="CH32" s="1367">
        <v>22.5</v>
      </c>
      <c r="CI32" s="1369">
        <f t="shared" si="28"/>
        <v>8316007462.5</v>
      </c>
      <c r="CL32" s="1367" t="e">
        <f>VLOOKUP(B32,#REF!,4,0)</f>
        <v>#REF!</v>
      </c>
      <c r="CN32" s="1370">
        <f>IFERROR(VLOOKUP(B32,#REF!,6,0),0)</f>
        <v>0</v>
      </c>
      <c r="CO32" s="1369">
        <f t="shared" si="29"/>
        <v>8316007485</v>
      </c>
      <c r="CQ32" s="1371">
        <v>17089892.874600962</v>
      </c>
      <c r="CR32" s="1372">
        <f t="shared" si="30"/>
        <v>-6736792.8746009618</v>
      </c>
      <c r="CS32" s="1371"/>
      <c r="CT32" s="1375">
        <f>IFERROR(VLOOKUP(B32,#REF!,6,0),0)</f>
        <v>0</v>
      </c>
      <c r="CU32" s="1369">
        <f t="shared" si="31"/>
        <v>8316007485</v>
      </c>
    </row>
    <row r="33" spans="1:99" s="1367" customFormat="1" ht="21" customHeight="1">
      <c r="A33" s="1356">
        <v>24</v>
      </c>
      <c r="B33" s="1357" t="s">
        <v>59</v>
      </c>
      <c r="C33" s="1358" t="s">
        <v>60</v>
      </c>
      <c r="D33" s="1359">
        <f>IFERROR(VLOOKUP(B33,'[10]Danh sách CTV'!A$3:G$81,7,0),0)</f>
        <v>4130200.0000000005</v>
      </c>
      <c r="E33" s="1434" t="str">
        <f>VLOOKUP(C33,[11]NhanSu!$D$4:$E$86,2,0)</f>
        <v>7908358938</v>
      </c>
      <c r="F33" s="1360">
        <f>IFERROR(VLOOKUP(B33,'Bảng lương t1.2025'!$B$10:$H$89,7,0),0)</f>
        <v>2731514</v>
      </c>
      <c r="G33" s="1360"/>
      <c r="H33" s="1364"/>
      <c r="I33" s="1452">
        <f>IFERROR(VLOOKUP(B33,'Bảng lương t1.2025'!$B$10:$I$89,8,0),0)</f>
        <v>8404936</v>
      </c>
      <c r="J33" s="1452"/>
      <c r="K33" s="1435">
        <f>SUMIFS('64'!$E:$E,'64'!$B:$B,'DSOAT-T1.2025'!C33)</f>
        <v>0</v>
      </c>
      <c r="L33" s="1365"/>
      <c r="M33" s="1365"/>
      <c r="N33" s="1365"/>
      <c r="O33" s="1365"/>
      <c r="P33" s="1365"/>
      <c r="Q33" s="1365"/>
      <c r="R33" s="1365"/>
      <c r="S33" s="1365"/>
      <c r="T33" s="1365"/>
      <c r="U33" s="1365"/>
      <c r="V33" s="1365"/>
      <c r="W33" s="1365"/>
      <c r="X33" s="1365"/>
      <c r="Y33" s="1365"/>
      <c r="Z33" s="1365">
        <f>IFERROR(VLOOKUP(B33,'[12]CTV thuê lại'!B$9:F$90,5,0),0)</f>
        <v>2538447</v>
      </c>
      <c r="AA33" s="1436"/>
      <c r="AB33" s="1365">
        <f>SUMIFS('210'!$G:$G,'210'!$B:$B,'DSOAT-T1.2025'!C33)</f>
        <v>500000</v>
      </c>
      <c r="AC33" s="1365"/>
      <c r="AD33" s="1365"/>
      <c r="AE33" s="1365"/>
      <c r="AF33" s="1365"/>
      <c r="AG33" s="1365"/>
      <c r="AH33" s="1365"/>
      <c r="AI33" s="1365"/>
      <c r="AJ33" s="1361">
        <f t="shared" si="0"/>
        <v>14174897</v>
      </c>
      <c r="AK33" s="1362">
        <f t="shared" si="1"/>
        <v>887993</v>
      </c>
      <c r="AL33" s="1363">
        <f t="shared" si="2"/>
        <v>82604.000000000015</v>
      </c>
      <c r="AM33" s="1363">
        <v>300000</v>
      </c>
      <c r="AN33" s="1363">
        <f t="shared" si="20"/>
        <v>24000</v>
      </c>
      <c r="AO33" s="1363">
        <f t="shared" si="21"/>
        <v>324000</v>
      </c>
      <c r="AP33" s="1362">
        <f t="shared" si="3"/>
        <v>12107047</v>
      </c>
      <c r="AQ33" s="1363">
        <f t="shared" si="4"/>
        <v>433671</v>
      </c>
      <c r="AR33" s="1363">
        <f t="shared" si="5"/>
        <v>41302.000000000007</v>
      </c>
      <c r="AS33" s="1363">
        <f>VLOOKUP(B33,'Thuế TNCN _T1'!$B$9:$K$86,10,0)</f>
        <v>0</v>
      </c>
      <c r="AT33" s="1366">
        <f t="shared" si="6"/>
        <v>13699924</v>
      </c>
      <c r="AU33" s="1363">
        <f t="shared" si="7"/>
        <v>123906.00000000003</v>
      </c>
      <c r="AV33" s="1363">
        <f>VLOOKUP(C33,'[13]1'!$B$7:$F$83,5,0)</f>
        <v>1321664</v>
      </c>
      <c r="AW33" s="1366">
        <f t="shared" si="22"/>
        <v>324000</v>
      </c>
      <c r="AX33" s="1374">
        <f t="shared" si="8"/>
        <v>11136450</v>
      </c>
      <c r="AY33" s="1374">
        <f t="shared" si="23"/>
        <v>11136450</v>
      </c>
      <c r="AZ33" s="1374"/>
      <c r="BA33" s="1437">
        <f t="shared" si="9"/>
        <v>1294597</v>
      </c>
      <c r="BB33" s="1437" t="e">
        <f>#REF!</f>
        <v>#REF!</v>
      </c>
      <c r="BC33" s="1437" t="e">
        <f>#REF!</f>
        <v>#REF!</v>
      </c>
      <c r="BD33" s="1437">
        <f t="shared" si="10"/>
        <v>1270597</v>
      </c>
      <c r="BE33" s="1374"/>
      <c r="BF33" s="1374">
        <f>IFERROR(VLOOKUP(B33,'Bảng lương T5.2024'!$B$10:$N$85,13,0),0)</f>
        <v>38948</v>
      </c>
      <c r="BG33" s="1374">
        <f t="shared" si="11"/>
        <v>2354.0000000000073</v>
      </c>
      <c r="BH33" s="1367" t="s">
        <v>42</v>
      </c>
      <c r="BT33" s="1373">
        <f t="shared" si="16"/>
        <v>1270597</v>
      </c>
      <c r="BU33" s="1373">
        <f>IFERROR(VLOOKUP(B33,#REF!,13,0),0)</f>
        <v>0</v>
      </c>
      <c r="BV33" s="1373">
        <f t="shared" si="17"/>
        <v>433671</v>
      </c>
      <c r="CA33" s="1367">
        <v>22.5</v>
      </c>
      <c r="CB33" s="1369">
        <f t="shared" si="27"/>
        <v>-7908358915.5</v>
      </c>
      <c r="CH33" s="1367">
        <v>22.5</v>
      </c>
      <c r="CI33" s="1369">
        <f t="shared" si="28"/>
        <v>7908358915.5</v>
      </c>
      <c r="CL33" s="1367" t="e">
        <f>VLOOKUP(B33,#REF!,4,0)</f>
        <v>#REF!</v>
      </c>
      <c r="CN33" s="1370">
        <f>IFERROR(VLOOKUP(B33,#REF!,6,0),0)</f>
        <v>0</v>
      </c>
      <c r="CO33" s="1369">
        <f t="shared" si="29"/>
        <v>7908358938</v>
      </c>
      <c r="CQ33" s="1371">
        <v>17791760.886930805</v>
      </c>
      <c r="CR33" s="1372">
        <f t="shared" si="30"/>
        <v>-3616863.8869308047</v>
      </c>
      <c r="CS33" s="1371"/>
      <c r="CT33" s="1375">
        <f>IFERROR(VLOOKUP(B33,#REF!,6,0),0)</f>
        <v>0</v>
      </c>
      <c r="CU33" s="1369">
        <f t="shared" si="31"/>
        <v>7908358938</v>
      </c>
    </row>
    <row r="34" spans="1:99" s="1367" customFormat="1" ht="21" customHeight="1">
      <c r="A34" s="1356">
        <v>25</v>
      </c>
      <c r="B34" s="1357" t="s">
        <v>158</v>
      </c>
      <c r="C34" s="1358" t="s">
        <v>146</v>
      </c>
      <c r="D34" s="1359">
        <f>IFERROR(VLOOKUP(B34,'[10]Danh sách CTV'!A$3:G$81,7,0),0)</f>
        <v>4130200.0000000005</v>
      </c>
      <c r="E34" s="1434" t="str">
        <f>VLOOKUP(C34,[11]NhanSu!$D$4:$E$86,2,0)</f>
        <v>8322925488</v>
      </c>
      <c r="F34" s="1360">
        <f>IFERROR(VLOOKUP(B34,'Bảng lương t1.2025'!$B$10:$H$89,7,0),0)</f>
        <v>2414463</v>
      </c>
      <c r="G34" s="1360"/>
      <c r="H34" s="1364"/>
      <c r="I34" s="1452">
        <f>IFERROR(VLOOKUP(B34,'Bảng lương t1.2025'!$B$10:$I$89,8,0),0)</f>
        <v>6044888</v>
      </c>
      <c r="J34" s="1452"/>
      <c r="K34" s="1435">
        <f>SUMIFS('64'!$E:$E,'64'!$B:$B,'DSOAT-T1.2025'!C34)</f>
        <v>0</v>
      </c>
      <c r="L34" s="1365"/>
      <c r="M34" s="1365"/>
      <c r="N34" s="1365"/>
      <c r="O34" s="1365"/>
      <c r="P34" s="1365"/>
      <c r="Q34" s="1365"/>
      <c r="R34" s="1365"/>
      <c r="S34" s="1365"/>
      <c r="T34" s="1365"/>
      <c r="U34" s="1365"/>
      <c r="V34" s="1365"/>
      <c r="W34" s="1365"/>
      <c r="X34" s="1365"/>
      <c r="Y34" s="1365"/>
      <c r="Z34" s="1365">
        <f>IFERROR(VLOOKUP(B34,'[12]CTV thuê lại'!B$9:F$90,5,0),0)</f>
        <v>726695</v>
      </c>
      <c r="AA34" s="1436"/>
      <c r="AB34" s="1365">
        <f>SUMIFS('210'!$G:$G,'210'!$B:$B,'DSOAT-T1.2025'!C34)</f>
        <v>200000</v>
      </c>
      <c r="AC34" s="1365"/>
      <c r="AD34" s="1365"/>
      <c r="AE34" s="1365"/>
      <c r="AF34" s="1365"/>
      <c r="AG34" s="1365"/>
      <c r="AH34" s="1365"/>
      <c r="AI34" s="1365"/>
      <c r="AJ34" s="1361">
        <f t="shared" si="0"/>
        <v>9386046</v>
      </c>
      <c r="AK34" s="1362">
        <f t="shared" si="1"/>
        <v>887993</v>
      </c>
      <c r="AL34" s="1363">
        <f t="shared" si="2"/>
        <v>82604.000000000015</v>
      </c>
      <c r="AM34" s="1363">
        <v>300000</v>
      </c>
      <c r="AN34" s="1363">
        <f t="shared" si="20"/>
        <v>24000</v>
      </c>
      <c r="AO34" s="1363">
        <f t="shared" si="21"/>
        <v>324000</v>
      </c>
      <c r="AP34" s="1362">
        <f t="shared" si="3"/>
        <v>9429948</v>
      </c>
      <c r="AQ34" s="1363">
        <f t="shared" si="4"/>
        <v>433671</v>
      </c>
      <c r="AR34" s="1363">
        <f t="shared" si="5"/>
        <v>41302.000000000007</v>
      </c>
      <c r="AS34" s="1363">
        <f>VLOOKUP(B34,'Thuế TNCN _T1'!$B$9:$K$86,10,0)</f>
        <v>0</v>
      </c>
      <c r="AT34" s="1366">
        <f t="shared" si="6"/>
        <v>8911073</v>
      </c>
      <c r="AU34" s="1363">
        <f t="shared" si="7"/>
        <v>123906.00000000003</v>
      </c>
      <c r="AV34" s="1363">
        <f>VLOOKUP(C34,'[13]1'!$B$7:$F$83,5,0)</f>
        <v>1321664</v>
      </c>
      <c r="AW34" s="1366">
        <f t="shared" si="22"/>
        <v>324000</v>
      </c>
      <c r="AX34" s="1374">
        <f t="shared" si="8"/>
        <v>8459351</v>
      </c>
      <c r="AY34" s="1374">
        <f t="shared" si="23"/>
        <v>8459351</v>
      </c>
      <c r="AZ34" s="1374"/>
      <c r="BA34" s="1437">
        <f t="shared" si="9"/>
        <v>1294597</v>
      </c>
      <c r="BB34" s="1437" t="e">
        <f>#REF!</f>
        <v>#REF!</v>
      </c>
      <c r="BC34" s="1437" t="e">
        <f>#REF!</f>
        <v>#REF!</v>
      </c>
      <c r="BD34" s="1437">
        <f t="shared" si="10"/>
        <v>1270597</v>
      </c>
      <c r="BE34" s="1374"/>
      <c r="BF34" s="1374">
        <f>IFERROR(VLOOKUP(B34,'Bảng lương T5.2024'!$B$10:$N$85,13,0),0)</f>
        <v>38948</v>
      </c>
      <c r="BG34" s="1374">
        <f t="shared" si="11"/>
        <v>2354.0000000000073</v>
      </c>
      <c r="BH34" s="1367" t="s">
        <v>42</v>
      </c>
      <c r="BT34" s="1373">
        <f t="shared" si="16"/>
        <v>1270597</v>
      </c>
      <c r="BU34" s="1373">
        <f>IFERROR(VLOOKUP(B34,#REF!,13,0),0)</f>
        <v>0</v>
      </c>
      <c r="BV34" s="1373">
        <f t="shared" si="17"/>
        <v>433671</v>
      </c>
      <c r="CA34" s="1367">
        <v>22.5</v>
      </c>
      <c r="CB34" s="1369">
        <f t="shared" si="27"/>
        <v>-8322925465.5</v>
      </c>
      <c r="CH34" s="1367">
        <v>22.5</v>
      </c>
      <c r="CI34" s="1369">
        <f t="shared" si="28"/>
        <v>8322925465.5</v>
      </c>
      <c r="CL34" s="1367" t="e">
        <f>VLOOKUP(B34,#REF!,4,0)</f>
        <v>#REF!</v>
      </c>
      <c r="CN34" s="1370">
        <f>IFERROR(VLOOKUP(B34,#REF!,6,0),0)</f>
        <v>0</v>
      </c>
      <c r="CO34" s="1369">
        <f t="shared" si="29"/>
        <v>8322925488</v>
      </c>
      <c r="CQ34" s="1371">
        <v>26180481.689201277</v>
      </c>
      <c r="CR34" s="1372">
        <f t="shared" si="30"/>
        <v>-16794435.689201277</v>
      </c>
      <c r="CS34" s="1371"/>
      <c r="CT34" s="1375">
        <f>IFERROR(VLOOKUP(B34,#REF!,6,0),0)</f>
        <v>0</v>
      </c>
      <c r="CU34" s="1369">
        <f t="shared" si="31"/>
        <v>8322925488</v>
      </c>
    </row>
    <row r="35" spans="1:99" s="1367" customFormat="1" ht="21" customHeight="1">
      <c r="A35" s="1356">
        <v>26</v>
      </c>
      <c r="B35" s="1357" t="s">
        <v>159</v>
      </c>
      <c r="C35" s="1358" t="s">
        <v>147</v>
      </c>
      <c r="D35" s="1359">
        <f>IFERROR(VLOOKUP(B35,'[10]Danh sách CTV'!A$3:G$81,7,0),0)</f>
        <v>4130200.0000000005</v>
      </c>
      <c r="E35" s="1434" t="str">
        <f>VLOOKUP(C35,[11]NhanSu!$D$4:$E$86,2,0)</f>
        <v>8321675033</v>
      </c>
      <c r="F35" s="1360">
        <f>IFERROR(VLOOKUP(B35,'Bảng lương t1.2025'!$B$10:$H$89,7,0),0)</f>
        <v>3453377</v>
      </c>
      <c r="G35" s="1360"/>
      <c r="H35" s="1364"/>
      <c r="I35" s="1452">
        <f>IFERROR(VLOOKUP(B35,'Bảng lương t1.2025'!$B$10:$I$89,8,0),0)</f>
        <v>8221563</v>
      </c>
      <c r="J35" s="1452"/>
      <c r="K35" s="1435">
        <f>SUMIFS('64'!$E:$E,'64'!$B:$B,'DSOAT-T1.2025'!C35)</f>
        <v>0</v>
      </c>
      <c r="L35" s="1365"/>
      <c r="M35" s="1365"/>
      <c r="N35" s="1365"/>
      <c r="O35" s="1365"/>
      <c r="P35" s="1365"/>
      <c r="Q35" s="1365"/>
      <c r="R35" s="1365"/>
      <c r="S35" s="1365"/>
      <c r="T35" s="1365"/>
      <c r="U35" s="1365"/>
      <c r="V35" s="1365"/>
      <c r="W35" s="1365"/>
      <c r="X35" s="1365"/>
      <c r="Y35" s="1365"/>
      <c r="Z35" s="1365">
        <f>IFERROR(VLOOKUP(B35,'[12]CTV thuê lại'!B$9:F$90,5,0),0)</f>
        <v>1645750</v>
      </c>
      <c r="AA35" s="1436"/>
      <c r="AB35" s="1365">
        <f>SUMIFS('210'!$G:$G,'210'!$B:$B,'DSOAT-T1.2025'!C35)</f>
        <v>200000</v>
      </c>
      <c r="AC35" s="1365"/>
      <c r="AD35" s="1365"/>
      <c r="AE35" s="1365"/>
      <c r="AF35" s="1365"/>
      <c r="AG35" s="1365"/>
      <c r="AH35" s="1365"/>
      <c r="AI35" s="1365"/>
      <c r="AJ35" s="1361">
        <f t="shared" si="0"/>
        <v>13520690</v>
      </c>
      <c r="AK35" s="1362">
        <f t="shared" si="1"/>
        <v>887993</v>
      </c>
      <c r="AL35" s="1363">
        <f t="shared" si="2"/>
        <v>82604.000000000015</v>
      </c>
      <c r="AM35" s="1363">
        <v>300000</v>
      </c>
      <c r="AN35" s="1363">
        <f t="shared" si="20"/>
        <v>24000</v>
      </c>
      <c r="AO35" s="1363">
        <f t="shared" si="21"/>
        <v>324000</v>
      </c>
      <c r="AP35" s="1362">
        <f t="shared" si="3"/>
        <v>12645537</v>
      </c>
      <c r="AQ35" s="1363">
        <f t="shared" si="4"/>
        <v>433671</v>
      </c>
      <c r="AR35" s="1363">
        <f t="shared" si="5"/>
        <v>41302.000000000007</v>
      </c>
      <c r="AS35" s="1363">
        <f>VLOOKUP(B35,'Thuế TNCN _T1'!$B$9:$K$86,10,0)</f>
        <v>0</v>
      </c>
      <c r="AT35" s="1366">
        <f t="shared" si="6"/>
        <v>13045717</v>
      </c>
      <c r="AU35" s="1363">
        <f t="shared" si="7"/>
        <v>123906.00000000003</v>
      </c>
      <c r="AV35" s="1363">
        <f>VLOOKUP(C35,'[13]1'!$B$7:$F$83,5,0)</f>
        <v>1321664</v>
      </c>
      <c r="AW35" s="1366">
        <f t="shared" si="22"/>
        <v>324000</v>
      </c>
      <c r="AX35" s="1374">
        <f t="shared" si="8"/>
        <v>11674940</v>
      </c>
      <c r="AY35" s="1374">
        <f t="shared" si="23"/>
        <v>11674940</v>
      </c>
      <c r="AZ35" s="1374"/>
      <c r="BA35" s="1437">
        <f t="shared" si="9"/>
        <v>1294597</v>
      </c>
      <c r="BB35" s="1437" t="e">
        <f>#REF!</f>
        <v>#REF!</v>
      </c>
      <c r="BC35" s="1437" t="e">
        <f>#REF!</f>
        <v>#REF!</v>
      </c>
      <c r="BD35" s="1437">
        <f t="shared" si="10"/>
        <v>1270597</v>
      </c>
      <c r="BE35" s="1374"/>
      <c r="BF35" s="1374">
        <f>IFERROR(VLOOKUP(B35,'Bảng lương T5.2024'!$B$10:$N$85,13,0),0)</f>
        <v>38948</v>
      </c>
      <c r="BG35" s="1374">
        <f t="shared" si="11"/>
        <v>2354.0000000000073</v>
      </c>
      <c r="BH35" s="1367" t="s">
        <v>42</v>
      </c>
      <c r="BT35" s="1373">
        <f t="shared" si="16"/>
        <v>1270597</v>
      </c>
      <c r="BU35" s="1373">
        <f>IFERROR(VLOOKUP(B35,#REF!,13,0),0)</f>
        <v>0</v>
      </c>
      <c r="BV35" s="1373">
        <f t="shared" si="17"/>
        <v>433671</v>
      </c>
      <c r="CA35" s="1367">
        <v>22.5</v>
      </c>
      <c r="CB35" s="1369">
        <f t="shared" si="27"/>
        <v>-8321675010.5</v>
      </c>
      <c r="CH35" s="1367">
        <v>22.5</v>
      </c>
      <c r="CI35" s="1369">
        <f t="shared" si="28"/>
        <v>8321675010.5</v>
      </c>
      <c r="CL35" s="1367" t="e">
        <f>VLOOKUP(B35,#REF!,4,0)</f>
        <v>#REF!</v>
      </c>
      <c r="CN35" s="1370">
        <f>IFERROR(VLOOKUP(B35,#REF!,6,0),0)</f>
        <v>0</v>
      </c>
      <c r="CO35" s="1369">
        <f t="shared" si="29"/>
        <v>8321675033</v>
      </c>
      <c r="CQ35" s="1371">
        <v>33121618.612560231</v>
      </c>
      <c r="CR35" s="1372">
        <f t="shared" si="30"/>
        <v>-19600928.612560231</v>
      </c>
      <c r="CS35" s="1371"/>
      <c r="CT35" s="1375">
        <f>IFERROR(VLOOKUP(B35,#REF!,6,0),0)</f>
        <v>0</v>
      </c>
      <c r="CU35" s="1369">
        <f t="shared" si="31"/>
        <v>8321675033</v>
      </c>
    </row>
    <row r="36" spans="1:99" s="1367" customFormat="1" ht="21" customHeight="1">
      <c r="A36" s="1356">
        <v>27</v>
      </c>
      <c r="B36" s="1357" t="s">
        <v>64</v>
      </c>
      <c r="C36" s="1358" t="s">
        <v>65</v>
      </c>
      <c r="D36" s="1359">
        <f>IFERROR(VLOOKUP(B36,'[10]Danh sách CTV'!A$3:G$81,7,0),0)</f>
        <v>3691500</v>
      </c>
      <c r="E36" s="1434" t="str">
        <f>VLOOKUP(C36,[11]NhanSu!$D$4:$E$86,2,0)</f>
        <v>8322712925</v>
      </c>
      <c r="F36" s="1360">
        <f>IFERROR(VLOOKUP(B36,'Bảng lương t1.2025'!$B$10:$H$89,7,0),0)</f>
        <v>2140677</v>
      </c>
      <c r="G36" s="1360"/>
      <c r="H36" s="1364"/>
      <c r="I36" s="1452">
        <f>IFERROR(VLOOKUP(B36,'Bảng lương t1.2025'!$B$10:$I$89,8,0),0)</f>
        <v>1762244</v>
      </c>
      <c r="J36" s="1452"/>
      <c r="K36" s="1435">
        <f>SUMIFS('64'!$E:$E,'64'!$B:$B,'DSOAT-T1.2025'!C36)</f>
        <v>0</v>
      </c>
      <c r="L36" s="1365">
        <v>5500</v>
      </c>
      <c r="M36" s="1365"/>
      <c r="N36" s="1365"/>
      <c r="O36" s="1365"/>
      <c r="P36" s="1365"/>
      <c r="Q36" s="1365"/>
      <c r="R36" s="1365"/>
      <c r="S36" s="1365"/>
      <c r="T36" s="1365"/>
      <c r="U36" s="1365"/>
      <c r="V36" s="1365"/>
      <c r="W36" s="1365"/>
      <c r="X36" s="1365"/>
      <c r="Y36" s="1365"/>
      <c r="Z36" s="1365">
        <f>IFERROR(VLOOKUP(B36,'[12]CTV thuê lại'!B$9:F$90,5,0),0)</f>
        <v>1428247</v>
      </c>
      <c r="AA36" s="1436">
        <v>300000</v>
      </c>
      <c r="AB36" s="1365">
        <f>SUMIFS('210'!$G:$G,'210'!$B:$B,'DSOAT-T1.2025'!C36)</f>
        <v>200000</v>
      </c>
      <c r="AC36" s="1365"/>
      <c r="AD36" s="1365"/>
      <c r="AE36" s="1365"/>
      <c r="AF36" s="1365"/>
      <c r="AG36" s="1365"/>
      <c r="AH36" s="1365"/>
      <c r="AI36" s="1365"/>
      <c r="AJ36" s="1361">
        <f t="shared" si="0"/>
        <v>5836668</v>
      </c>
      <c r="AK36" s="1362">
        <f t="shared" si="1"/>
        <v>793673</v>
      </c>
      <c r="AL36" s="1363">
        <f t="shared" si="2"/>
        <v>73830</v>
      </c>
      <c r="AM36" s="1363">
        <v>300000</v>
      </c>
      <c r="AN36" s="1363">
        <f t="shared" si="20"/>
        <v>24000</v>
      </c>
      <c r="AO36" s="1363">
        <f t="shared" si="21"/>
        <v>324000</v>
      </c>
      <c r="AP36" s="1362">
        <f t="shared" si="3"/>
        <v>4775924</v>
      </c>
      <c r="AQ36" s="1363">
        <f t="shared" si="4"/>
        <v>387608</v>
      </c>
      <c r="AR36" s="1363">
        <f t="shared" si="5"/>
        <v>36915</v>
      </c>
      <c r="AS36" s="1363">
        <f>VLOOKUP(B36,'Thuế TNCN _T1'!$B$9:$K$86,10,0)</f>
        <v>0</v>
      </c>
      <c r="AT36" s="1366">
        <f t="shared" si="6"/>
        <v>5412145</v>
      </c>
      <c r="AU36" s="1363">
        <f t="shared" si="7"/>
        <v>110745</v>
      </c>
      <c r="AV36" s="1363">
        <f>VLOOKUP(C36,'[13]1'!$B$7:$F$83,5,0)</f>
        <v>1181280</v>
      </c>
      <c r="AW36" s="1366">
        <f t="shared" si="22"/>
        <v>324001</v>
      </c>
      <c r="AX36" s="1374">
        <f t="shared" si="8"/>
        <v>3902921</v>
      </c>
      <c r="AY36" s="1374">
        <f t="shared" si="23"/>
        <v>3908421</v>
      </c>
      <c r="AZ36" s="1374"/>
      <c r="BA36" s="1437">
        <f t="shared" si="9"/>
        <v>1197003</v>
      </c>
      <c r="BB36" s="1437" t="e">
        <f>#REF!</f>
        <v>#REF!</v>
      </c>
      <c r="BC36" s="1437" t="e">
        <f>#REF!</f>
        <v>#REF!</v>
      </c>
      <c r="BD36" s="1437">
        <f t="shared" si="10"/>
        <v>1167503</v>
      </c>
      <c r="BE36" s="1374"/>
      <c r="BF36" s="1374">
        <f>IFERROR(VLOOKUP(B36,'Bảng lương T5.2024'!$B$10:$N$85,13,0),0)</f>
        <v>34775</v>
      </c>
      <c r="BG36" s="1374">
        <f t="shared" si="11"/>
        <v>2140</v>
      </c>
      <c r="BH36" s="1367" t="s">
        <v>63</v>
      </c>
      <c r="BT36" s="1373">
        <f t="shared" si="16"/>
        <v>1167503</v>
      </c>
      <c r="BU36" s="1373">
        <f>IFERROR(VLOOKUP(B36,#REF!,13,0),0)</f>
        <v>0</v>
      </c>
      <c r="BV36" s="1373">
        <f t="shared" si="17"/>
        <v>387608</v>
      </c>
      <c r="CA36" s="1367">
        <v>25</v>
      </c>
      <c r="CB36" s="1369">
        <f t="shared" si="27"/>
        <v>-8322712900</v>
      </c>
      <c r="CH36" s="1367">
        <v>25</v>
      </c>
      <c r="CI36" s="1369">
        <f t="shared" si="28"/>
        <v>8322712900</v>
      </c>
      <c r="CL36" s="1367" t="e">
        <f>VLOOKUP(B36,#REF!,4,0)</f>
        <v>#REF!</v>
      </c>
      <c r="CN36" s="1370">
        <f>IFERROR(VLOOKUP(B36,#REF!,6,0),0)</f>
        <v>0</v>
      </c>
      <c r="CO36" s="1369">
        <f t="shared" si="29"/>
        <v>8322712925</v>
      </c>
      <c r="CQ36" s="1371">
        <v>14001622.238354815</v>
      </c>
      <c r="CR36" s="1372">
        <f t="shared" si="30"/>
        <v>-8164954.2383548152</v>
      </c>
      <c r="CS36" s="1371"/>
      <c r="CT36" s="1375">
        <f>IFERROR(VLOOKUP(B36,#REF!,6,0),0)</f>
        <v>0</v>
      </c>
      <c r="CU36" s="1369">
        <f t="shared" si="31"/>
        <v>8322712925</v>
      </c>
    </row>
    <row r="37" spans="1:99" s="1367" customFormat="1" ht="21" customHeight="1">
      <c r="A37" s="1356">
        <v>28</v>
      </c>
      <c r="B37" s="1357" t="s">
        <v>66</v>
      </c>
      <c r="C37" s="1358" t="s">
        <v>67</v>
      </c>
      <c r="D37" s="1359">
        <f>IFERROR(VLOOKUP(B37,'[10]Danh sách CTV'!A$3:G$81,7,0),0)</f>
        <v>3691500</v>
      </c>
      <c r="E37" s="1434" t="str">
        <f>VLOOKUP(C37,[11]NhanSu!$D$4:$E$86,2,0)</f>
        <v>8316005091</v>
      </c>
      <c r="F37" s="1360">
        <f>IFERROR(VLOOKUP(B37,'Bảng lương t1.2025'!$B$10:$H$89,7,0),0)</f>
        <v>6410095</v>
      </c>
      <c r="G37" s="1360"/>
      <c r="H37" s="1364"/>
      <c r="I37" s="1452">
        <f>IFERROR(VLOOKUP(B37,'Bảng lương t1.2025'!$B$10:$I$89,8,0),0)</f>
        <v>0</v>
      </c>
      <c r="J37" s="1452"/>
      <c r="K37" s="1435">
        <f>SUMIFS('64'!$E:$E,'64'!$B:$B,'DSOAT-T1.2025'!C37)</f>
        <v>0</v>
      </c>
      <c r="L37" s="1365"/>
      <c r="M37" s="1365"/>
      <c r="N37" s="1365"/>
      <c r="O37" s="1365"/>
      <c r="P37" s="1365"/>
      <c r="Q37" s="1365"/>
      <c r="R37" s="1365"/>
      <c r="S37" s="1365"/>
      <c r="T37" s="1365"/>
      <c r="U37" s="1365"/>
      <c r="V37" s="1365"/>
      <c r="W37" s="1365"/>
      <c r="X37" s="1365"/>
      <c r="Y37" s="1365"/>
      <c r="Z37" s="1365">
        <f>IFERROR(VLOOKUP(B37,'[12]CTV thuê lại'!B$9:F$90,5,0),0)</f>
        <v>2078775</v>
      </c>
      <c r="AA37" s="1436"/>
      <c r="AB37" s="1365">
        <f>SUMIFS('210'!$G:$G,'210'!$B:$B,'DSOAT-T1.2025'!C37)</f>
        <v>200000</v>
      </c>
      <c r="AC37" s="1365"/>
      <c r="AD37" s="1365"/>
      <c r="AE37" s="1365"/>
      <c r="AF37" s="1365"/>
      <c r="AG37" s="1365"/>
      <c r="AH37" s="1365"/>
      <c r="AI37" s="1365"/>
      <c r="AJ37" s="1361">
        <f t="shared" si="0"/>
        <v>8688870</v>
      </c>
      <c r="AK37" s="1362">
        <f t="shared" si="1"/>
        <v>793673</v>
      </c>
      <c r="AL37" s="1363">
        <f t="shared" si="2"/>
        <v>73830</v>
      </c>
      <c r="AM37" s="1363">
        <v>300000</v>
      </c>
      <c r="AN37" s="1363">
        <f t="shared" si="20"/>
        <v>24000</v>
      </c>
      <c r="AO37" s="1363">
        <f t="shared" si="21"/>
        <v>324000</v>
      </c>
      <c r="AP37" s="1362">
        <f t="shared" si="3"/>
        <v>7277598</v>
      </c>
      <c r="AQ37" s="1363">
        <f t="shared" si="4"/>
        <v>387608</v>
      </c>
      <c r="AR37" s="1363">
        <f t="shared" si="5"/>
        <v>36915</v>
      </c>
      <c r="AS37" s="1363">
        <f>VLOOKUP(B37,'Thuế TNCN _T1'!$B$9:$K$86,10,0)</f>
        <v>0</v>
      </c>
      <c r="AT37" s="1366">
        <f t="shared" si="6"/>
        <v>8264347</v>
      </c>
      <c r="AU37" s="1363">
        <f t="shared" si="7"/>
        <v>110745</v>
      </c>
      <c r="AV37" s="1363">
        <f>VLOOKUP(C37,'[13]1'!$B$7:$F$83,5,0)</f>
        <v>1181280</v>
      </c>
      <c r="AW37" s="1366">
        <f t="shared" si="22"/>
        <v>324001</v>
      </c>
      <c r="AX37" s="1374">
        <f t="shared" si="8"/>
        <v>6410095</v>
      </c>
      <c r="AY37" s="1374">
        <f t="shared" si="23"/>
        <v>6410095</v>
      </c>
      <c r="AZ37" s="1374"/>
      <c r="BA37" s="1437">
        <f t="shared" si="9"/>
        <v>1191503</v>
      </c>
      <c r="BB37" s="1437" t="e">
        <f>#REF!</f>
        <v>#REF!</v>
      </c>
      <c r="BC37" s="1437" t="e">
        <f>#REF!</f>
        <v>#REF!</v>
      </c>
      <c r="BD37" s="1437">
        <f t="shared" si="10"/>
        <v>1167503</v>
      </c>
      <c r="BE37" s="1374"/>
      <c r="BF37" s="1374">
        <f>IFERROR(VLOOKUP(B37,'Bảng lương T5.2024'!$B$10:$N$85,13,0),0)</f>
        <v>34775</v>
      </c>
      <c r="BG37" s="1374">
        <f t="shared" si="11"/>
        <v>2140</v>
      </c>
      <c r="BH37" s="1367" t="s">
        <v>63</v>
      </c>
      <c r="BT37" s="1373">
        <f t="shared" si="16"/>
        <v>1167503</v>
      </c>
      <c r="BU37" s="1373">
        <f>IFERROR(VLOOKUP(B37,#REF!,13,0),0)</f>
        <v>0</v>
      </c>
      <c r="BV37" s="1373">
        <f t="shared" si="17"/>
        <v>387608</v>
      </c>
      <c r="CA37" s="1367">
        <v>22.5</v>
      </c>
      <c r="CB37" s="1369">
        <f t="shared" si="27"/>
        <v>-8316005068.5</v>
      </c>
      <c r="CH37" s="1367">
        <v>22.5</v>
      </c>
      <c r="CI37" s="1369">
        <f t="shared" si="28"/>
        <v>8316005068.5</v>
      </c>
      <c r="CL37" s="1367" t="e">
        <f>VLOOKUP(B37,#REF!,4,0)</f>
        <v>#REF!</v>
      </c>
      <c r="CN37" s="1370">
        <f>IFERROR(VLOOKUP(B37,#REF!,6,0),0)</f>
        <v>0</v>
      </c>
      <c r="CO37" s="1369">
        <f t="shared" si="29"/>
        <v>8316005091</v>
      </c>
      <c r="CQ37" s="1371">
        <v>14347563.880569607</v>
      </c>
      <c r="CR37" s="1372">
        <f t="shared" si="30"/>
        <v>-5658693.880569607</v>
      </c>
      <c r="CS37" s="1371"/>
      <c r="CT37" s="1375">
        <f>IFERROR(VLOOKUP(B37,#REF!,6,0),0)</f>
        <v>0</v>
      </c>
      <c r="CU37" s="1369">
        <f t="shared" si="31"/>
        <v>8316005091</v>
      </c>
    </row>
    <row r="38" spans="1:99" s="1367" customFormat="1" ht="21" customHeight="1">
      <c r="A38" s="1356">
        <v>29</v>
      </c>
      <c r="B38" s="1357" t="s">
        <v>160</v>
      </c>
      <c r="C38" s="1380" t="s">
        <v>148</v>
      </c>
      <c r="D38" s="1359">
        <f>IFERROR(VLOOKUP(B38,'[10]Danh sách CTV'!A$3:G$81,7,0),0)</f>
        <v>3691500</v>
      </c>
      <c r="E38" s="1434" t="str">
        <f>VLOOKUP(C38,[11]NhanSu!$D$4:$E$86,2,0)</f>
        <v>8321638122</v>
      </c>
      <c r="F38" s="1360">
        <f>IFERROR(VLOOKUP(B38,'Bảng lương t1.2025'!$B$10:$H$89,7,0),0)</f>
        <v>1248576</v>
      </c>
      <c r="G38" s="1360"/>
      <c r="H38" s="1364"/>
      <c r="I38" s="1452">
        <f>IFERROR(VLOOKUP(B38,'Bảng lương t1.2025'!$B$10:$I$89,8,0),0)</f>
        <v>9800807</v>
      </c>
      <c r="J38" s="1452"/>
      <c r="K38" s="1435">
        <f>SUMIFS('64'!$E:$E,'64'!$B:$B,'DSOAT-T1.2025'!C38)</f>
        <v>0</v>
      </c>
      <c r="L38" s="1365"/>
      <c r="M38" s="1365"/>
      <c r="N38" s="1365"/>
      <c r="O38" s="1365"/>
      <c r="P38" s="1365"/>
      <c r="Q38" s="1365"/>
      <c r="R38" s="1365"/>
      <c r="S38" s="1365"/>
      <c r="T38" s="1365"/>
      <c r="U38" s="1365"/>
      <c r="V38" s="1365"/>
      <c r="W38" s="1365"/>
      <c r="X38" s="1365"/>
      <c r="Y38" s="1365"/>
      <c r="Z38" s="1365">
        <f>IFERROR(VLOOKUP(B38,'[12]CTV thuê lại'!B$9:F$90,5,0),0)</f>
        <v>1905265</v>
      </c>
      <c r="AA38" s="1436"/>
      <c r="AB38" s="1365">
        <f>SUMIFS('210'!$G:$G,'210'!$B:$B,'DSOAT-T1.2025'!C38)</f>
        <v>500000</v>
      </c>
      <c r="AC38" s="1365"/>
      <c r="AD38" s="1365"/>
      <c r="AE38" s="1365"/>
      <c r="AF38" s="1365"/>
      <c r="AG38" s="1365"/>
      <c r="AH38" s="1365"/>
      <c r="AI38" s="1365"/>
      <c r="AJ38" s="1361">
        <f t="shared" si="0"/>
        <v>13454648</v>
      </c>
      <c r="AK38" s="1362">
        <f t="shared" si="1"/>
        <v>793673</v>
      </c>
      <c r="AL38" s="1363">
        <f t="shared" si="2"/>
        <v>73830</v>
      </c>
      <c r="AM38" s="1363">
        <v>300000</v>
      </c>
      <c r="AN38" s="1363">
        <f t="shared" si="20"/>
        <v>24000</v>
      </c>
      <c r="AO38" s="1363">
        <f t="shared" si="21"/>
        <v>324000</v>
      </c>
      <c r="AP38" s="1362">
        <f t="shared" si="3"/>
        <v>11916886</v>
      </c>
      <c r="AQ38" s="1363">
        <f t="shared" si="4"/>
        <v>387608</v>
      </c>
      <c r="AR38" s="1363">
        <f t="shared" si="5"/>
        <v>36915</v>
      </c>
      <c r="AS38" s="1363">
        <f>VLOOKUP(B38,'Thuế TNCN _T1'!$B$9:$K$86,10,0)</f>
        <v>0</v>
      </c>
      <c r="AT38" s="1366">
        <f t="shared" si="6"/>
        <v>13030125</v>
      </c>
      <c r="AU38" s="1363">
        <f t="shared" si="7"/>
        <v>110745</v>
      </c>
      <c r="AV38" s="1363">
        <f>VLOOKUP(C38,'[13]1'!$B$7:$F$83,5,0)</f>
        <v>1181280</v>
      </c>
      <c r="AW38" s="1366">
        <f t="shared" si="22"/>
        <v>324001</v>
      </c>
      <c r="AX38" s="1374">
        <f t="shared" si="8"/>
        <v>11049383</v>
      </c>
      <c r="AY38" s="1374">
        <f t="shared" si="23"/>
        <v>11049383</v>
      </c>
      <c r="AZ38" s="1374"/>
      <c r="BA38" s="1437">
        <f t="shared" si="9"/>
        <v>1191503</v>
      </c>
      <c r="BB38" s="1437" t="e">
        <f>#REF!</f>
        <v>#REF!</v>
      </c>
      <c r="BC38" s="1437" t="e">
        <f>#REF!</f>
        <v>#REF!</v>
      </c>
      <c r="BD38" s="1437">
        <f t="shared" si="10"/>
        <v>1167503</v>
      </c>
      <c r="BE38" s="1374"/>
      <c r="BF38" s="1374">
        <f>IFERROR(VLOOKUP(B38,'Bảng lương T5.2024'!$B$10:$N$85,13,0),0)</f>
        <v>34775</v>
      </c>
      <c r="BG38" s="1374">
        <f t="shared" si="11"/>
        <v>2140</v>
      </c>
      <c r="BH38" s="1367" t="s">
        <v>63</v>
      </c>
      <c r="BT38" s="1373">
        <f t="shared" si="16"/>
        <v>1167503</v>
      </c>
      <c r="BU38" s="1373">
        <f>IFERROR(VLOOKUP(B38,#REF!,13,0),0)</f>
        <v>0</v>
      </c>
      <c r="BV38" s="1373">
        <f t="shared" si="17"/>
        <v>387608</v>
      </c>
      <c r="CA38" s="1367">
        <v>24</v>
      </c>
      <c r="CB38" s="1369">
        <f t="shared" si="27"/>
        <v>-8321638098</v>
      </c>
      <c r="CH38" s="1367">
        <v>24</v>
      </c>
      <c r="CI38" s="1369">
        <f t="shared" si="28"/>
        <v>8321638098</v>
      </c>
      <c r="CL38" s="1367" t="e">
        <f>VLOOKUP(B38,#REF!,4,0)</f>
        <v>#REF!</v>
      </c>
      <c r="CN38" s="1370">
        <f>IFERROR(VLOOKUP(B38,#REF!,6,0),0)</f>
        <v>0</v>
      </c>
      <c r="CO38" s="1369">
        <f t="shared" si="29"/>
        <v>8321638122</v>
      </c>
      <c r="CQ38" s="1371">
        <v>26198100.374509539</v>
      </c>
      <c r="CR38" s="1372">
        <f t="shared" si="30"/>
        <v>-12743452.374509539</v>
      </c>
      <c r="CS38" s="1371"/>
      <c r="CT38" s="1375">
        <f>IFERROR(VLOOKUP(B38,#REF!,6,0),0)</f>
        <v>0</v>
      </c>
      <c r="CU38" s="1369">
        <f t="shared" si="31"/>
        <v>8321638122</v>
      </c>
    </row>
    <row r="39" spans="1:99" s="1367" customFormat="1" ht="21" customHeight="1">
      <c r="A39" s="1356">
        <v>30</v>
      </c>
      <c r="B39" s="1357" t="s">
        <v>171</v>
      </c>
      <c r="C39" s="1380" t="s">
        <v>168</v>
      </c>
      <c r="D39" s="1359">
        <f>IFERROR(VLOOKUP(B39,'[10]Danh sách CTV'!A$3:G$81,7,0),0)</f>
        <v>3691500</v>
      </c>
      <c r="E39" s="1434" t="str">
        <f>VLOOKUP(C39,[11]NhanSu!$D$4:$E$86,2,0)</f>
        <v>8321636513</v>
      </c>
      <c r="F39" s="1360">
        <f>IFERROR(VLOOKUP(B39,'Bảng lương t1.2025'!$B$10:$H$89,7,0),0)</f>
        <v>2358874</v>
      </c>
      <c r="G39" s="1360"/>
      <c r="H39" s="1364"/>
      <c r="I39" s="1452">
        <f>IFERROR(VLOOKUP(B39,'Bảng lương t1.2025'!$B$10:$I$89,8,0),0)</f>
        <v>6851830</v>
      </c>
      <c r="J39" s="1452"/>
      <c r="K39" s="1435">
        <f>SUMIFS('64'!$E:$E,'64'!$B:$B,'DSOAT-T1.2025'!C39)</f>
        <v>0</v>
      </c>
      <c r="L39" s="1365"/>
      <c r="M39" s="1365"/>
      <c r="N39" s="1365"/>
      <c r="O39" s="1365"/>
      <c r="P39" s="1365"/>
      <c r="Q39" s="1365"/>
      <c r="R39" s="1365"/>
      <c r="S39" s="1365"/>
      <c r="T39" s="1365"/>
      <c r="U39" s="1365"/>
      <c r="V39" s="1365"/>
      <c r="W39" s="1365"/>
      <c r="X39" s="1365"/>
      <c r="Y39" s="1365"/>
      <c r="Z39" s="1365">
        <f>IFERROR(VLOOKUP(B39,'[12]CTV thuê lại'!B$9:F$90,5,0),0)</f>
        <v>2035600</v>
      </c>
      <c r="AA39" s="1436"/>
      <c r="AB39" s="1365">
        <f>SUMIFS('210'!$G:$G,'210'!$B:$B,'DSOAT-T1.2025'!C39)</f>
        <v>200000</v>
      </c>
      <c r="AC39" s="1365"/>
      <c r="AD39" s="1365"/>
      <c r="AE39" s="1365"/>
      <c r="AF39" s="1365"/>
      <c r="AG39" s="1365"/>
      <c r="AH39" s="1365"/>
      <c r="AI39" s="1365"/>
      <c r="AJ39" s="1361">
        <f t="shared" si="0"/>
        <v>11446304</v>
      </c>
      <c r="AK39" s="1362">
        <f t="shared" si="1"/>
        <v>793673</v>
      </c>
      <c r="AL39" s="1363">
        <f t="shared" si="2"/>
        <v>73830</v>
      </c>
      <c r="AM39" s="1363">
        <v>300000</v>
      </c>
      <c r="AN39" s="1363">
        <f t="shared" si="20"/>
        <v>24000</v>
      </c>
      <c r="AO39" s="1363">
        <f t="shared" si="21"/>
        <v>324000</v>
      </c>
      <c r="AP39" s="1362">
        <f t="shared" si="3"/>
        <v>10078207</v>
      </c>
      <c r="AQ39" s="1363">
        <f t="shared" si="4"/>
        <v>387608</v>
      </c>
      <c r="AR39" s="1363">
        <f t="shared" si="5"/>
        <v>36915</v>
      </c>
      <c r="AS39" s="1363">
        <f>VLOOKUP(B39,'Thuế TNCN _T1'!$B$9:$K$86,10,0)</f>
        <v>2935</v>
      </c>
      <c r="AT39" s="1366">
        <f t="shared" si="6"/>
        <v>11018846</v>
      </c>
      <c r="AU39" s="1363">
        <f t="shared" si="7"/>
        <v>110745</v>
      </c>
      <c r="AV39" s="1363">
        <f>VLOOKUP(C39,'[13]1'!$B$7:$F$83,5,0)</f>
        <v>1181280</v>
      </c>
      <c r="AW39" s="1366">
        <f t="shared" si="22"/>
        <v>326936</v>
      </c>
      <c r="AX39" s="1374">
        <f t="shared" si="8"/>
        <v>9210704</v>
      </c>
      <c r="AY39" s="1374">
        <f t="shared" si="23"/>
        <v>9210704</v>
      </c>
      <c r="AZ39" s="1374"/>
      <c r="BA39" s="1437">
        <f t="shared" si="9"/>
        <v>1191503</v>
      </c>
      <c r="BB39" s="1437" t="e">
        <f>#REF!</f>
        <v>#REF!</v>
      </c>
      <c r="BC39" s="1437" t="e">
        <f>#REF!</f>
        <v>#REF!</v>
      </c>
      <c r="BD39" s="1437">
        <f t="shared" si="10"/>
        <v>1167503</v>
      </c>
      <c r="BE39" s="1374"/>
      <c r="BF39" s="1374">
        <f>IFERROR(VLOOKUP(B39,'Bảng lương T5.2024'!$B$10:$N$85,13,0),0)</f>
        <v>34775</v>
      </c>
      <c r="BG39" s="1374">
        <f t="shared" si="11"/>
        <v>2140</v>
      </c>
      <c r="BH39" s="1367" t="s">
        <v>63</v>
      </c>
      <c r="BT39" s="1373">
        <f t="shared" si="16"/>
        <v>1167503</v>
      </c>
      <c r="BU39" s="1373">
        <f>IFERROR(VLOOKUP(B39,#REF!,13,0),0)</f>
        <v>0</v>
      </c>
      <c r="BV39" s="1373">
        <f t="shared" si="17"/>
        <v>387608</v>
      </c>
      <c r="CA39" s="1367">
        <v>24</v>
      </c>
      <c r="CB39" s="1369">
        <f t="shared" si="27"/>
        <v>-8321636489</v>
      </c>
      <c r="CH39" s="1367">
        <v>24</v>
      </c>
      <c r="CI39" s="1369">
        <f t="shared" si="28"/>
        <v>8321636489</v>
      </c>
      <c r="CL39" s="1367" t="e">
        <f>VLOOKUP(B39,#REF!,4,0)</f>
        <v>#REF!</v>
      </c>
      <c r="CN39" s="1370">
        <f>IFERROR(VLOOKUP(B39,#REF!,6,0),0)</f>
        <v>0</v>
      </c>
      <c r="CO39" s="1369">
        <f t="shared" si="29"/>
        <v>8321636513</v>
      </c>
      <c r="CQ39" s="1371">
        <v>18668229.820321828</v>
      </c>
      <c r="CR39" s="1372">
        <f t="shared" si="30"/>
        <v>-7221925.8203218281</v>
      </c>
      <c r="CS39" s="1371"/>
      <c r="CT39" s="1375">
        <f>IFERROR(VLOOKUP(B39,#REF!,6,0),0)</f>
        <v>0</v>
      </c>
      <c r="CU39" s="1369">
        <f t="shared" si="31"/>
        <v>8321636513</v>
      </c>
    </row>
    <row r="40" spans="1:99" s="1367" customFormat="1" ht="21" customHeight="1">
      <c r="A40" s="1356">
        <v>31</v>
      </c>
      <c r="B40" s="1357" t="s">
        <v>68</v>
      </c>
      <c r="C40" s="1358" t="s">
        <v>69</v>
      </c>
      <c r="D40" s="1359">
        <f>IFERROR(VLOOKUP(B40,'[10]Danh sách CTV'!A$3:G$81,7,0),0)</f>
        <v>3691500</v>
      </c>
      <c r="E40" s="1434" t="str">
        <f>VLOOKUP(C40,[11]NhanSu!$D$4:$E$86,2,0)</f>
        <v>8311002007</v>
      </c>
      <c r="F40" s="1360">
        <f>IFERROR(VLOOKUP(B40,'Bảng lương t1.2025'!$B$10:$H$89,7,0),0)</f>
        <v>6711392</v>
      </c>
      <c r="G40" s="1360"/>
      <c r="H40" s="1364"/>
      <c r="I40" s="1452">
        <f>IFERROR(VLOOKUP(B40,'Bảng lương t1.2025'!$B$10:$I$89,8,0),0)</f>
        <v>771004</v>
      </c>
      <c r="J40" s="1452"/>
      <c r="K40" s="1435">
        <f>SUMIFS('64'!$E:$E,'64'!$B:$B,'DSOAT-T1.2025'!C40)</f>
        <v>0</v>
      </c>
      <c r="L40" s="1365"/>
      <c r="M40" s="1365"/>
      <c r="N40" s="1365"/>
      <c r="O40" s="1365"/>
      <c r="P40" s="1365"/>
      <c r="Q40" s="1365"/>
      <c r="R40" s="1365"/>
      <c r="S40" s="1365"/>
      <c r="T40" s="1365"/>
      <c r="U40" s="1365"/>
      <c r="V40" s="1365"/>
      <c r="W40" s="1365"/>
      <c r="X40" s="1365"/>
      <c r="Y40" s="1365"/>
      <c r="Z40" s="1365">
        <f>IFERROR(VLOOKUP(B40,'[12]CTV thuê lại'!B$9:F$90,5,0),0)</f>
        <v>1531792</v>
      </c>
      <c r="AA40" s="1436"/>
      <c r="AB40" s="1365">
        <f>SUMIFS('210'!$G:$G,'210'!$B:$B,'DSOAT-T1.2025'!C40)</f>
        <v>200000</v>
      </c>
      <c r="AC40" s="1365"/>
      <c r="AD40" s="1365"/>
      <c r="AE40" s="1365"/>
      <c r="AF40" s="1365"/>
      <c r="AG40" s="1365"/>
      <c r="AH40" s="1365"/>
      <c r="AI40" s="1365"/>
      <c r="AJ40" s="1361">
        <f t="shared" si="0"/>
        <v>9214188</v>
      </c>
      <c r="AK40" s="1362">
        <f t="shared" si="1"/>
        <v>793673</v>
      </c>
      <c r="AL40" s="1363">
        <f t="shared" si="2"/>
        <v>73830</v>
      </c>
      <c r="AM40" s="1363">
        <v>300000</v>
      </c>
      <c r="AN40" s="1363">
        <f t="shared" si="20"/>
        <v>24000</v>
      </c>
      <c r="AO40" s="1363">
        <f t="shared" si="21"/>
        <v>324000</v>
      </c>
      <c r="AP40" s="1362">
        <f t="shared" si="3"/>
        <v>8349899</v>
      </c>
      <c r="AQ40" s="1363">
        <f t="shared" si="4"/>
        <v>387608</v>
      </c>
      <c r="AR40" s="1363">
        <f t="shared" si="5"/>
        <v>36915</v>
      </c>
      <c r="AS40" s="1363">
        <f>VLOOKUP(B40,'Thuế TNCN _T1'!$B$9:$K$86,10,0)</f>
        <v>0</v>
      </c>
      <c r="AT40" s="1366">
        <f t="shared" si="6"/>
        <v>8789665</v>
      </c>
      <c r="AU40" s="1363">
        <f t="shared" si="7"/>
        <v>110745</v>
      </c>
      <c r="AV40" s="1363">
        <f>VLOOKUP(C40,'[13]1'!$B$7:$F$83,5,0)</f>
        <v>1181280</v>
      </c>
      <c r="AW40" s="1366">
        <f t="shared" si="22"/>
        <v>324001</v>
      </c>
      <c r="AX40" s="1374" t="s">
        <v>267</v>
      </c>
      <c r="AY40" s="1374">
        <f t="shared" si="23"/>
        <v>7482396</v>
      </c>
      <c r="AZ40" s="1374"/>
      <c r="BA40" s="1437">
        <f t="shared" si="9"/>
        <v>1191503</v>
      </c>
      <c r="BB40" s="1437" t="e">
        <f>#REF!</f>
        <v>#REF!</v>
      </c>
      <c r="BC40" s="1437" t="e">
        <f>#REF!</f>
        <v>#REF!</v>
      </c>
      <c r="BD40" s="1437">
        <f t="shared" si="10"/>
        <v>1167503</v>
      </c>
      <c r="BE40" s="1374"/>
      <c r="BF40" s="1374">
        <f>IFERROR(VLOOKUP(B40,'Bảng lương T5.2024'!$B$10:$N$85,13,0),0)</f>
        <v>34775</v>
      </c>
      <c r="BG40" s="1374">
        <f t="shared" si="11"/>
        <v>2140</v>
      </c>
      <c r="BH40" s="1367" t="s">
        <v>70</v>
      </c>
      <c r="BT40" s="1373">
        <f t="shared" si="16"/>
        <v>1167503</v>
      </c>
      <c r="BU40" s="1373">
        <f>IFERROR(VLOOKUP(B40,#REF!,13,0),0)</f>
        <v>0</v>
      </c>
      <c r="BV40" s="1373">
        <f t="shared" si="17"/>
        <v>387608</v>
      </c>
      <c r="CA40" s="1367">
        <v>22.5</v>
      </c>
      <c r="CB40" s="1369">
        <f t="shared" si="27"/>
        <v>-8311001984.5</v>
      </c>
      <c r="CH40" s="1367">
        <v>22.5</v>
      </c>
      <c r="CI40" s="1369">
        <f t="shared" si="28"/>
        <v>8311001984.5</v>
      </c>
      <c r="CL40" s="1367" t="e">
        <f>VLOOKUP(B40,#REF!,4,0)</f>
        <v>#REF!</v>
      </c>
      <c r="CN40" s="1370">
        <f>IFERROR(VLOOKUP(B40,#REF!,6,0),0)</f>
        <v>0</v>
      </c>
      <c r="CO40" s="1369">
        <f t="shared" si="29"/>
        <v>8311002007</v>
      </c>
      <c r="CQ40" s="1371">
        <v>19759861.299436502</v>
      </c>
      <c r="CR40" s="1372">
        <f t="shared" si="30"/>
        <v>-10545673.299436502</v>
      </c>
      <c r="CS40" s="1371"/>
      <c r="CT40" s="1375">
        <f>IFERROR(VLOOKUP(B40,#REF!,6,0),0)</f>
        <v>0</v>
      </c>
      <c r="CU40" s="1369">
        <f t="shared" si="31"/>
        <v>8311002007</v>
      </c>
    </row>
    <row r="41" spans="1:99" s="1367" customFormat="1" ht="21" customHeight="1">
      <c r="A41" s="1356">
        <v>32</v>
      </c>
      <c r="B41" s="1357" t="s">
        <v>71</v>
      </c>
      <c r="C41" s="1358" t="s">
        <v>72</v>
      </c>
      <c r="D41" s="1359">
        <f>IFERROR(VLOOKUP(B41,'[10]Danh sách CTV'!A$3:G$81,7,0),0)</f>
        <v>3691500</v>
      </c>
      <c r="E41" s="1434" t="str">
        <f>VLOOKUP(C41,[11]NhanSu!$D$4:$E$86,2,0)</f>
        <v>8316014515</v>
      </c>
      <c r="F41" s="1360">
        <f>IFERROR(VLOOKUP(B41,'Bảng lương t1.2025'!$B$10:$H$89,7,0),0)</f>
        <v>3807588</v>
      </c>
      <c r="G41" s="1360"/>
      <c r="H41" s="1360"/>
      <c r="I41" s="1452">
        <f>IFERROR(VLOOKUP(B41,'Bảng lương t1.2025'!$B$10:$I$89,8,0),0)</f>
        <v>8554083</v>
      </c>
      <c r="J41" s="1452"/>
      <c r="K41" s="1435">
        <f>SUMIFS('64'!$E:$E,'64'!$B:$B,'DSOAT-T1.2025'!C41)</f>
        <v>600000</v>
      </c>
      <c r="L41" s="1365"/>
      <c r="M41" s="1365"/>
      <c r="N41" s="1365"/>
      <c r="O41" s="1365"/>
      <c r="P41" s="1365"/>
      <c r="Q41" s="1365"/>
      <c r="R41" s="1365"/>
      <c r="S41" s="1365"/>
      <c r="T41" s="1365"/>
      <c r="U41" s="1365"/>
      <c r="V41" s="1365"/>
      <c r="W41" s="1365"/>
      <c r="X41" s="1365"/>
      <c r="Y41" s="1365"/>
      <c r="Z41" s="1365">
        <f>IFERROR(VLOOKUP(B41,'[12]CTV thuê lại'!B$9:F$90,5,0),0)</f>
        <v>3464711</v>
      </c>
      <c r="AA41" s="1436">
        <v>300000</v>
      </c>
      <c r="AB41" s="1365">
        <f>SUMIFS('210'!$G:$G,'210'!$B:$B,'DSOAT-T1.2025'!C41)</f>
        <v>500000</v>
      </c>
      <c r="AC41" s="1365"/>
      <c r="AD41" s="1365"/>
      <c r="AE41" s="1365"/>
      <c r="AF41" s="1365"/>
      <c r="AG41" s="1365"/>
      <c r="AH41" s="1365"/>
      <c r="AI41" s="1365"/>
      <c r="AJ41" s="1361">
        <f t="shared" si="0"/>
        <v>17226382</v>
      </c>
      <c r="AK41" s="1362">
        <f t="shared" si="1"/>
        <v>793673</v>
      </c>
      <c r="AL41" s="1363">
        <f t="shared" si="2"/>
        <v>73830</v>
      </c>
      <c r="AM41" s="1363">
        <v>300000</v>
      </c>
      <c r="AN41" s="1363">
        <f t="shared" si="20"/>
        <v>24000</v>
      </c>
      <c r="AO41" s="1363">
        <f t="shared" si="21"/>
        <v>324000</v>
      </c>
      <c r="AP41" s="1362">
        <f t="shared" si="3"/>
        <v>13829174</v>
      </c>
      <c r="AQ41" s="1363">
        <f t="shared" si="4"/>
        <v>387608</v>
      </c>
      <c r="AR41" s="1363">
        <f t="shared" si="5"/>
        <v>36915</v>
      </c>
      <c r="AS41" s="1363">
        <f>VLOOKUP(B41,'Thuế TNCN _T1'!$B$9:$K$86,10,0)</f>
        <v>71939</v>
      </c>
      <c r="AT41" s="1366">
        <f t="shared" si="6"/>
        <v>16729920</v>
      </c>
      <c r="AU41" s="1363">
        <f t="shared" si="7"/>
        <v>110745</v>
      </c>
      <c r="AV41" s="1363">
        <f>VLOOKUP(C41,'[13]1'!$B$7:$F$83,5,0)</f>
        <v>1181280</v>
      </c>
      <c r="AW41" s="1366">
        <f t="shared" si="22"/>
        <v>395940</v>
      </c>
      <c r="AX41" s="1374">
        <f t="shared" ref="AX41:AX76" si="32">SUM(F41:I41)</f>
        <v>12361671</v>
      </c>
      <c r="AY41" s="1374">
        <f t="shared" si="23"/>
        <v>12961671</v>
      </c>
      <c r="AZ41" s="1374"/>
      <c r="BA41" s="1437">
        <f t="shared" si="9"/>
        <v>1791503</v>
      </c>
      <c r="BB41" s="1437" t="e">
        <f>#REF!</f>
        <v>#REF!</v>
      </c>
      <c r="BC41" s="1437" t="e">
        <f>#REF!</f>
        <v>#REF!</v>
      </c>
      <c r="BD41" s="1437">
        <f t="shared" si="10"/>
        <v>1167503</v>
      </c>
      <c r="BE41" s="1374"/>
      <c r="BF41" s="1374">
        <f>IFERROR(VLOOKUP(B41,'Bảng lương T5.2024'!$B$10:$N$85,13,0),0)</f>
        <v>34775</v>
      </c>
      <c r="BG41" s="1374">
        <f t="shared" si="11"/>
        <v>2140</v>
      </c>
      <c r="BH41" s="1367" t="s">
        <v>70</v>
      </c>
      <c r="BT41" s="1373">
        <f t="shared" si="16"/>
        <v>1167503</v>
      </c>
      <c r="BU41" s="1373">
        <f>IFERROR(VLOOKUP(B41,#REF!,13,0),0)</f>
        <v>0</v>
      </c>
      <c r="BV41" s="1373">
        <f t="shared" si="17"/>
        <v>387608</v>
      </c>
      <c r="CA41" s="1367">
        <v>22.5</v>
      </c>
      <c r="CB41" s="1369">
        <f t="shared" si="27"/>
        <v>-8316014492.5</v>
      </c>
      <c r="CH41" s="1367">
        <v>22.5</v>
      </c>
      <c r="CI41" s="1369">
        <f t="shared" si="28"/>
        <v>8316014492.5</v>
      </c>
      <c r="CL41" s="1367" t="e">
        <f>VLOOKUP(B41,#REF!,4,0)</f>
        <v>#REF!</v>
      </c>
      <c r="CN41" s="1370">
        <f>IFERROR(VLOOKUP(B41,#REF!,6,0),0)</f>
        <v>0</v>
      </c>
      <c r="CO41" s="1369">
        <f t="shared" si="29"/>
        <v>8316014515</v>
      </c>
      <c r="CQ41" s="1371">
        <v>15192196.381850004</v>
      </c>
      <c r="CR41" s="1372">
        <f t="shared" si="30"/>
        <v>2034185.6181499958</v>
      </c>
      <c r="CS41" s="1371"/>
      <c r="CT41" s="1375">
        <f>IFERROR(VLOOKUP(B41,#REF!,6,0),0)</f>
        <v>0</v>
      </c>
      <c r="CU41" s="1369">
        <f t="shared" si="31"/>
        <v>8316014515</v>
      </c>
    </row>
    <row r="42" spans="1:99" s="1367" customFormat="1" ht="21" customHeight="1">
      <c r="A42" s="1356">
        <v>33</v>
      </c>
      <c r="B42" s="1357" t="s">
        <v>73</v>
      </c>
      <c r="C42" s="1358" t="s">
        <v>74</v>
      </c>
      <c r="D42" s="1359">
        <f>IFERROR(VLOOKUP(B42,'[10]Danh sách CTV'!A$3:G$81,7,0),0)</f>
        <v>3691500</v>
      </c>
      <c r="E42" s="1434" t="str">
        <f>VLOOKUP(C42,[11]NhanSu!$D$4:$E$86,2,0)</f>
        <v>8309000247</v>
      </c>
      <c r="F42" s="1360">
        <f>IFERROR(VLOOKUP(B42,'Bảng lương t1.2025'!$B$10:$H$89,7,0),0)</f>
        <v>2515615</v>
      </c>
      <c r="G42" s="1360"/>
      <c r="H42" s="1364"/>
      <c r="I42" s="1452">
        <f>IFERROR(VLOOKUP(B42,'Bảng lương t1.2025'!$B$10:$I$89,8,0),0)</f>
        <v>4000557</v>
      </c>
      <c r="J42" s="1452"/>
      <c r="K42" s="1435">
        <f>SUMIFS('64'!$E:$E,'64'!$B:$B,'DSOAT-T1.2025'!C42)</f>
        <v>0</v>
      </c>
      <c r="L42" s="1365"/>
      <c r="M42" s="1365"/>
      <c r="N42" s="1365"/>
      <c r="O42" s="1365"/>
      <c r="P42" s="1365"/>
      <c r="Q42" s="1365"/>
      <c r="R42" s="1365"/>
      <c r="S42" s="1365"/>
      <c r="T42" s="1365"/>
      <c r="U42" s="1365"/>
      <c r="V42" s="1365"/>
      <c r="W42" s="1365"/>
      <c r="X42" s="1365"/>
      <c r="Y42" s="1365"/>
      <c r="Z42" s="1365">
        <f>IFERROR(VLOOKUP(B42,'[12]CTV thuê lại'!B$9:F$90,5,0),0)</f>
        <v>999188</v>
      </c>
      <c r="AA42" s="1436"/>
      <c r="AB42" s="1365">
        <f>SUMIFS('210'!$G:$G,'210'!$B:$B,'DSOAT-T1.2025'!C42)</f>
        <v>200000</v>
      </c>
      <c r="AC42" s="1365"/>
      <c r="AD42" s="1365"/>
      <c r="AE42" s="1365"/>
      <c r="AF42" s="1365"/>
      <c r="AG42" s="1365"/>
      <c r="AH42" s="1365"/>
      <c r="AI42" s="1365"/>
      <c r="AJ42" s="1361">
        <f t="shared" si="0"/>
        <v>7715360</v>
      </c>
      <c r="AK42" s="1362">
        <f t="shared" si="1"/>
        <v>793673</v>
      </c>
      <c r="AL42" s="1363">
        <f t="shared" si="2"/>
        <v>73830</v>
      </c>
      <c r="AM42" s="1363">
        <v>300000</v>
      </c>
      <c r="AN42" s="1363">
        <f t="shared" si="20"/>
        <v>24000</v>
      </c>
      <c r="AO42" s="1363">
        <f t="shared" si="21"/>
        <v>324000</v>
      </c>
      <c r="AP42" s="1362">
        <f t="shared" si="3"/>
        <v>7383675</v>
      </c>
      <c r="AQ42" s="1363">
        <f t="shared" si="4"/>
        <v>387608</v>
      </c>
      <c r="AR42" s="1363">
        <f t="shared" si="5"/>
        <v>36915</v>
      </c>
      <c r="AS42" s="1363">
        <f>VLOOKUP(B42,'Thuế TNCN _T1'!$B$9:$K$86,10,0)</f>
        <v>0</v>
      </c>
      <c r="AT42" s="1366">
        <f t="shared" si="6"/>
        <v>7290837</v>
      </c>
      <c r="AU42" s="1363">
        <f t="shared" si="7"/>
        <v>110745</v>
      </c>
      <c r="AV42" s="1363">
        <v>1181280</v>
      </c>
      <c r="AW42" s="1366">
        <f t="shared" si="22"/>
        <v>324001</v>
      </c>
      <c r="AX42" s="1374">
        <f t="shared" si="32"/>
        <v>6516172</v>
      </c>
      <c r="AY42" s="1374">
        <f t="shared" si="23"/>
        <v>6516172</v>
      </c>
      <c r="AZ42" s="1374"/>
      <c r="BA42" s="1437">
        <f t="shared" si="9"/>
        <v>1191503</v>
      </c>
      <c r="BB42" s="1437" t="e">
        <f>#REF!</f>
        <v>#REF!</v>
      </c>
      <c r="BC42" s="1437" t="e">
        <f>#REF!</f>
        <v>#REF!</v>
      </c>
      <c r="BD42" s="1437">
        <f t="shared" si="10"/>
        <v>1167503</v>
      </c>
      <c r="BE42" s="1374"/>
      <c r="BF42" s="1374">
        <f>IFERROR(VLOOKUP(B42,'Bảng lương T5.2024'!$B$10:$N$85,13,0),0)</f>
        <v>34775</v>
      </c>
      <c r="BG42" s="1374">
        <f t="shared" ref="BG42:BG69" si="33">AR42-BF42</f>
        <v>2140</v>
      </c>
      <c r="BH42" s="1367" t="s">
        <v>70</v>
      </c>
      <c r="BT42" s="1373">
        <f t="shared" si="16"/>
        <v>1167503</v>
      </c>
      <c r="BU42" s="1373">
        <f>IFERROR(VLOOKUP(B42,#REF!,13,0),0)</f>
        <v>0</v>
      </c>
      <c r="BV42" s="1373">
        <f t="shared" ref="BV42:BV67" si="34">AQ42-BU42</f>
        <v>387608</v>
      </c>
      <c r="CA42" s="1367">
        <v>22.5</v>
      </c>
      <c r="CB42" s="1369">
        <f t="shared" si="27"/>
        <v>-8309000224.5</v>
      </c>
      <c r="CH42" s="1367">
        <v>22.5</v>
      </c>
      <c r="CI42" s="1369">
        <f t="shared" si="28"/>
        <v>8309000224.5</v>
      </c>
      <c r="CL42" s="1367" t="e">
        <f>VLOOKUP(B42,#REF!,4,0)</f>
        <v>#REF!</v>
      </c>
      <c r="CN42" s="1370">
        <f>IFERROR(VLOOKUP(B42,#REF!,6,0),0)</f>
        <v>0</v>
      </c>
      <c r="CO42" s="1369">
        <f t="shared" si="29"/>
        <v>8309000247</v>
      </c>
      <c r="CQ42" s="1371">
        <v>17960262.351378683</v>
      </c>
      <c r="CR42" s="1372">
        <f t="shared" si="30"/>
        <v>-10244902.351378683</v>
      </c>
      <c r="CS42" s="1371"/>
      <c r="CT42" s="1375">
        <f>IFERROR(VLOOKUP(B42,#REF!,6,0),0)</f>
        <v>0</v>
      </c>
      <c r="CU42" s="1369">
        <f t="shared" si="31"/>
        <v>8309000247</v>
      </c>
    </row>
    <row r="43" spans="1:99" s="1367" customFormat="1" ht="21" customHeight="1">
      <c r="A43" s="1356">
        <v>34</v>
      </c>
      <c r="B43" s="1357" t="s">
        <v>166</v>
      </c>
      <c r="C43" s="1381" t="s">
        <v>149</v>
      </c>
      <c r="D43" s="1359">
        <f>IFERROR(VLOOKUP(B43,'[10]Danh sách CTV'!A$3:G$81,7,0),0)</f>
        <v>3691500</v>
      </c>
      <c r="E43" s="1434" t="str">
        <f>VLOOKUP(C43,[11]NhanSu!$D$4:$E$86,2,0)</f>
        <v>8322409598</v>
      </c>
      <c r="F43" s="1360">
        <f>IFERROR(VLOOKUP(B43,'Bảng lương t1.2025'!$B$10:$H$89,7,0),0)</f>
        <v>2739370</v>
      </c>
      <c r="G43" s="1360"/>
      <c r="H43" s="1364"/>
      <c r="I43" s="1452">
        <f>IFERROR(VLOOKUP(B43,'Bảng lương t1.2025'!$B$10:$I$89,8,0),0)</f>
        <v>8380640</v>
      </c>
      <c r="J43" s="1452"/>
      <c r="K43" s="1435">
        <f>SUMIFS('64'!$E:$E,'64'!$B:$B,'DSOAT-T1.2025'!C43)</f>
        <v>0</v>
      </c>
      <c r="L43" s="1365"/>
      <c r="M43" s="1365"/>
      <c r="N43" s="1365"/>
      <c r="O43" s="1365"/>
      <c r="P43" s="1365"/>
      <c r="Q43" s="1365"/>
      <c r="R43" s="1365"/>
      <c r="S43" s="1365"/>
      <c r="T43" s="1365"/>
      <c r="U43" s="1365"/>
      <c r="V43" s="1365"/>
      <c r="W43" s="1365"/>
      <c r="X43" s="1365"/>
      <c r="Y43" s="1365"/>
      <c r="Z43" s="1365">
        <f>IFERROR(VLOOKUP(B43,'[12]CTV thuê lại'!B$9:F$90,5,0),0)</f>
        <v>2695727</v>
      </c>
      <c r="AA43" s="1436"/>
      <c r="AB43" s="1365">
        <f>SUMIFS('210'!$G:$G,'210'!$B:$B,'DSOAT-T1.2025'!C43)</f>
        <v>500000</v>
      </c>
      <c r="AC43" s="1365"/>
      <c r="AD43" s="1365"/>
      <c r="AE43" s="1365"/>
      <c r="AF43" s="1365"/>
      <c r="AG43" s="1365"/>
      <c r="AH43" s="1365"/>
      <c r="AI43" s="1365"/>
      <c r="AJ43" s="1361">
        <f t="shared" ref="AJ43:AJ74" si="35">ROUND(SUM(F43:AI43),0)</f>
        <v>14315737</v>
      </c>
      <c r="AK43" s="1362">
        <f t="shared" ref="AK43:AK73" si="36">ROUND(D43*21.5%,0)</f>
        <v>793673</v>
      </c>
      <c r="AL43" s="1363">
        <f t="shared" ref="AL43:AL74" si="37">D43*2%</f>
        <v>73830</v>
      </c>
      <c r="AM43" s="1363">
        <v>300000</v>
      </c>
      <c r="AN43" s="1363">
        <f t="shared" si="20"/>
        <v>24000</v>
      </c>
      <c r="AO43" s="1363">
        <f t="shared" si="21"/>
        <v>324000</v>
      </c>
      <c r="AP43" s="1362">
        <f t="shared" ref="AP43:AP74" si="38">ROUND(SUM(F43:L43)+AK43+AL43,0)</f>
        <v>11987513</v>
      </c>
      <c r="AQ43" s="1363">
        <f t="shared" ref="AQ43:AQ73" si="39">ROUND(D43*10.5%,0)</f>
        <v>387608</v>
      </c>
      <c r="AR43" s="1363">
        <f t="shared" ref="AR43:AR74" si="40">D43*1%</f>
        <v>36915</v>
      </c>
      <c r="AS43" s="1363">
        <f>VLOOKUP(B43,'Thuế TNCN _T1'!$B$9:$K$86,10,0)</f>
        <v>146406</v>
      </c>
      <c r="AT43" s="1366">
        <f t="shared" ref="AT43:AT74" si="41">AJ43-AQ43-AR43-AS43</f>
        <v>13744808</v>
      </c>
      <c r="AU43" s="1363">
        <f t="shared" ref="AU43:AU74" si="42">AL43+AR43</f>
        <v>110745</v>
      </c>
      <c r="AV43" s="1363">
        <f>VLOOKUP(C43,'[13]1'!$B$7:$F$83,5,0)</f>
        <v>1181280</v>
      </c>
      <c r="AW43" s="1366">
        <f t="shared" ref="AW43:AW74" si="43">AK43+AM43+AN43+AQ43+AS43-AV43</f>
        <v>470407</v>
      </c>
      <c r="AX43" s="1374">
        <f t="shared" si="32"/>
        <v>11120010</v>
      </c>
      <c r="AY43" s="1374">
        <f t="shared" si="23"/>
        <v>11120010</v>
      </c>
      <c r="AZ43" s="1374"/>
      <c r="BA43" s="1437">
        <f t="shared" ref="BA43:BA74" si="44">J43+K43+L43+AK43+AL43+AO43</f>
        <v>1191503</v>
      </c>
      <c r="BB43" s="1437" t="e">
        <f>#REF!</f>
        <v>#REF!</v>
      </c>
      <c r="BC43" s="1437" t="e">
        <f>#REF!</f>
        <v>#REF!</v>
      </c>
      <c r="BD43" s="1437">
        <f t="shared" ref="BD43:BD74" si="45">AK43+AL43+AM43</f>
        <v>1167503</v>
      </c>
      <c r="BE43" s="1374"/>
      <c r="BF43" s="1374">
        <f>IFERROR(VLOOKUP(B43,'Bảng lương T5.2024'!$B$10:$N$85,13,0),0)</f>
        <v>34775</v>
      </c>
      <c r="BG43" s="1374">
        <f t="shared" si="33"/>
        <v>2140</v>
      </c>
      <c r="BH43" s="1367" t="s">
        <v>70</v>
      </c>
      <c r="BT43" s="1373">
        <f t="shared" ref="BT43:BT64" si="46">+AK43+AL43+AM43</f>
        <v>1167503</v>
      </c>
      <c r="BU43" s="1373">
        <f>IFERROR(VLOOKUP(B43,#REF!,13,0),0)</f>
        <v>0</v>
      </c>
      <c r="BV43" s="1373">
        <f t="shared" si="34"/>
        <v>387608</v>
      </c>
      <c r="CA43" s="1367">
        <v>22.5</v>
      </c>
      <c r="CB43" s="1369">
        <f t="shared" si="27"/>
        <v>-8322409575.5</v>
      </c>
      <c r="CH43" s="1367">
        <v>22.5</v>
      </c>
      <c r="CI43" s="1369">
        <f t="shared" si="28"/>
        <v>8322409575.5</v>
      </c>
      <c r="CL43" s="1367" t="e">
        <f>VLOOKUP(B43,#REF!,4,0)</f>
        <v>#REF!</v>
      </c>
      <c r="CN43" s="1370">
        <f>IFERROR(VLOOKUP(B43,#REF!,6,0),0)</f>
        <v>0</v>
      </c>
      <c r="CO43" s="1369">
        <f t="shared" si="29"/>
        <v>8322409598</v>
      </c>
      <c r="CQ43" s="1371">
        <v>22626809.779382072</v>
      </c>
      <c r="CR43" s="1372">
        <f t="shared" si="30"/>
        <v>-8311072.7793820724</v>
      </c>
      <c r="CS43" s="1371"/>
      <c r="CT43" s="1375">
        <f>IFERROR(VLOOKUP(B43,#REF!,6,0),0)</f>
        <v>0</v>
      </c>
      <c r="CU43" s="1369">
        <f t="shared" si="31"/>
        <v>8322409598</v>
      </c>
    </row>
    <row r="44" spans="1:99" s="1367" customFormat="1" ht="21" customHeight="1">
      <c r="A44" s="1356">
        <v>35</v>
      </c>
      <c r="B44" s="1357" t="s">
        <v>162</v>
      </c>
      <c r="C44" s="1381" t="s">
        <v>150</v>
      </c>
      <c r="D44" s="1359">
        <f>IFERROR(VLOOKUP(B44,'[10]Danh sách CTV'!A$3:G$81,7,0),0)</f>
        <v>3691500</v>
      </c>
      <c r="E44" s="1434" t="str">
        <f>VLOOKUP(C44,[11]NhanSu!$D$4:$E$86,2,0)</f>
        <v>8323135531</v>
      </c>
      <c r="F44" s="1360">
        <f>IFERROR(VLOOKUP(B44,'Bảng lương t1.2025'!$B$10:$H$89,7,0),0)</f>
        <v>1256552</v>
      </c>
      <c r="G44" s="1360"/>
      <c r="H44" s="1364"/>
      <c r="I44" s="1452">
        <f>IFERROR(VLOOKUP(B44,'Bảng lương t1.2025'!$B$10:$I$89,8,0),0)</f>
        <v>7072386</v>
      </c>
      <c r="J44" s="1452"/>
      <c r="K44" s="1435">
        <f>SUMIFS('64'!$E:$E,'64'!$B:$B,'DSOAT-T1.2025'!C44)</f>
        <v>0</v>
      </c>
      <c r="L44" s="1365"/>
      <c r="M44" s="1365"/>
      <c r="N44" s="1365"/>
      <c r="O44" s="1365"/>
      <c r="P44" s="1365"/>
      <c r="Q44" s="1365"/>
      <c r="R44" s="1365"/>
      <c r="S44" s="1365"/>
      <c r="T44" s="1365"/>
      <c r="U44" s="1365"/>
      <c r="V44" s="1365"/>
      <c r="W44" s="1365"/>
      <c r="X44" s="1365"/>
      <c r="Y44" s="1365"/>
      <c r="Z44" s="1365">
        <f>IFERROR(VLOOKUP(B44,'[12]CTV thuê lại'!B$9:F$90,5,0),0)</f>
        <v>1519624</v>
      </c>
      <c r="AA44" s="1436"/>
      <c r="AB44" s="1365">
        <f>SUMIFS('210'!$G:$G,'210'!$B:$B,'DSOAT-T1.2025'!C44)</f>
        <v>200000</v>
      </c>
      <c r="AC44" s="1365"/>
      <c r="AD44" s="1365"/>
      <c r="AE44" s="1365"/>
      <c r="AF44" s="1365"/>
      <c r="AG44" s="1365"/>
      <c r="AH44" s="1365"/>
      <c r="AI44" s="1365"/>
      <c r="AJ44" s="1361">
        <f t="shared" si="35"/>
        <v>10048562</v>
      </c>
      <c r="AK44" s="1362">
        <f t="shared" si="36"/>
        <v>793673</v>
      </c>
      <c r="AL44" s="1363">
        <f t="shared" si="37"/>
        <v>73830</v>
      </c>
      <c r="AM44" s="1363">
        <v>300000</v>
      </c>
      <c r="AN44" s="1363">
        <f t="shared" si="20"/>
        <v>24000</v>
      </c>
      <c r="AO44" s="1363">
        <f t="shared" si="21"/>
        <v>324000</v>
      </c>
      <c r="AP44" s="1362">
        <f t="shared" si="38"/>
        <v>9196441</v>
      </c>
      <c r="AQ44" s="1363">
        <f t="shared" si="39"/>
        <v>387608</v>
      </c>
      <c r="AR44" s="1363">
        <f t="shared" si="40"/>
        <v>36915</v>
      </c>
      <c r="AS44" s="1363">
        <f>VLOOKUP(B44,'Thuế TNCN _T1'!$B$9:$K$86,10,0)</f>
        <v>0</v>
      </c>
      <c r="AT44" s="1366">
        <f t="shared" si="41"/>
        <v>9624039</v>
      </c>
      <c r="AU44" s="1363">
        <f t="shared" si="42"/>
        <v>110745</v>
      </c>
      <c r="AV44" s="1363">
        <f>VLOOKUP(C44,'[13]1'!$B$7:$F$83,5,0)</f>
        <v>1181280</v>
      </c>
      <c r="AW44" s="1366">
        <f t="shared" si="43"/>
        <v>324001</v>
      </c>
      <c r="AX44" s="1374">
        <f t="shared" si="32"/>
        <v>8328938</v>
      </c>
      <c r="AY44" s="1374">
        <f t="shared" si="23"/>
        <v>8328938</v>
      </c>
      <c r="AZ44" s="1374"/>
      <c r="BA44" s="1437">
        <f t="shared" si="44"/>
        <v>1191503</v>
      </c>
      <c r="BB44" s="1437" t="e">
        <f>#REF!</f>
        <v>#REF!</v>
      </c>
      <c r="BC44" s="1437" t="e">
        <f>#REF!</f>
        <v>#REF!</v>
      </c>
      <c r="BD44" s="1437">
        <f t="shared" si="45"/>
        <v>1167503</v>
      </c>
      <c r="BE44" s="1374"/>
      <c r="BF44" s="1374">
        <f>IFERROR(VLOOKUP(B44,'Bảng lương T5.2024'!$B$10:$N$85,13,0),0)</f>
        <v>34775</v>
      </c>
      <c r="BG44" s="1374">
        <f t="shared" si="33"/>
        <v>2140</v>
      </c>
      <c r="BH44" s="1367" t="s">
        <v>70</v>
      </c>
      <c r="BT44" s="1373">
        <f t="shared" si="46"/>
        <v>1167503</v>
      </c>
      <c r="BU44" s="1373">
        <f>IFERROR(VLOOKUP(B44,#REF!,13,0),0)</f>
        <v>0</v>
      </c>
      <c r="BV44" s="1373">
        <f t="shared" si="34"/>
        <v>387608</v>
      </c>
      <c r="CA44" s="1367">
        <v>22.5</v>
      </c>
      <c r="CB44" s="1369">
        <f t="shared" si="27"/>
        <v>-8323135508.5</v>
      </c>
      <c r="CH44" s="1367">
        <v>22.5</v>
      </c>
      <c r="CI44" s="1369">
        <f t="shared" si="28"/>
        <v>8323135508.5</v>
      </c>
      <c r="CL44" s="1367" t="e">
        <f>VLOOKUP(B44,#REF!,4,0)</f>
        <v>#REF!</v>
      </c>
      <c r="CN44" s="1370">
        <f>IFERROR(VLOOKUP(B44,#REF!,6,0),0)</f>
        <v>0</v>
      </c>
      <c r="CO44" s="1369">
        <f t="shared" si="29"/>
        <v>8323135531</v>
      </c>
      <c r="CQ44" s="1371">
        <v>23955627.634507284</v>
      </c>
      <c r="CR44" s="1372">
        <f t="shared" si="30"/>
        <v>-13907065.634507284</v>
      </c>
      <c r="CS44" s="1371"/>
      <c r="CT44" s="1375">
        <f>IFERROR(VLOOKUP(B44,#REF!,6,0),0)</f>
        <v>0</v>
      </c>
      <c r="CU44" s="1369">
        <f t="shared" si="31"/>
        <v>8323135531</v>
      </c>
    </row>
    <row r="45" spans="1:99" s="1367" customFormat="1" ht="21" customHeight="1">
      <c r="A45" s="1356">
        <v>36</v>
      </c>
      <c r="B45" s="1357" t="s">
        <v>165</v>
      </c>
      <c r="C45" s="1381" t="s">
        <v>151</v>
      </c>
      <c r="D45" s="1359">
        <f>IFERROR(VLOOKUP(B45,'[10]Danh sách CTV'!A$3:G$81,7,0),0)</f>
        <v>4130200.0000000005</v>
      </c>
      <c r="E45" s="1434" t="str">
        <f>VLOOKUP(C45,[11]NhanSu!$D$4:$E$86,2,0)</f>
        <v>8322548856</v>
      </c>
      <c r="F45" s="1360">
        <f>IFERROR(VLOOKUP(B45,'Bảng lương t1.2025'!$B$10:$H$89,7,0),0)</f>
        <v>3320241</v>
      </c>
      <c r="G45" s="1360"/>
      <c r="H45" s="1364"/>
      <c r="I45" s="1452">
        <f>IFERROR(VLOOKUP(B45,'Bảng lương t1.2025'!$B$10:$I$89,8,0),0)</f>
        <v>10664851</v>
      </c>
      <c r="J45" s="1452">
        <f>14642340+484000</f>
        <v>15126340</v>
      </c>
      <c r="K45" s="1435">
        <f>SUMIFS('64'!$E:$E,'64'!$B:$B,'DSOAT-T1.2025'!C45)</f>
        <v>0</v>
      </c>
      <c r="L45" s="1365"/>
      <c r="M45" s="1365"/>
      <c r="N45" s="1365"/>
      <c r="O45" s="1365"/>
      <c r="P45" s="1365"/>
      <c r="Q45" s="1365"/>
      <c r="R45" s="1365"/>
      <c r="S45" s="1365"/>
      <c r="T45" s="1365"/>
      <c r="U45" s="1365"/>
      <c r="V45" s="1365"/>
      <c r="W45" s="1365"/>
      <c r="X45" s="1365"/>
      <c r="Y45" s="1365"/>
      <c r="Z45" s="1365">
        <f>IFERROR(VLOOKUP(B45,'[12]CTV thuê lại'!B$9:F$90,5,0),0)</f>
        <v>2349288</v>
      </c>
      <c r="AA45" s="1436"/>
      <c r="AB45" s="1365">
        <f>SUMIFS('210'!$G:$G,'210'!$B:$B,'DSOAT-T1.2025'!C45)</f>
        <v>500000</v>
      </c>
      <c r="AC45" s="1365"/>
      <c r="AD45" s="1365"/>
      <c r="AE45" s="1365"/>
      <c r="AF45" s="1365"/>
      <c r="AG45" s="1365"/>
      <c r="AH45" s="1365"/>
      <c r="AI45" s="1365"/>
      <c r="AJ45" s="1361">
        <f t="shared" si="35"/>
        <v>31960720</v>
      </c>
      <c r="AK45" s="1362">
        <f t="shared" si="36"/>
        <v>887993</v>
      </c>
      <c r="AL45" s="1363">
        <f t="shared" si="37"/>
        <v>82604.000000000015</v>
      </c>
      <c r="AM45" s="1363">
        <v>300000</v>
      </c>
      <c r="AN45" s="1363">
        <f t="shared" si="20"/>
        <v>24000</v>
      </c>
      <c r="AO45" s="1363">
        <f t="shared" si="21"/>
        <v>324000</v>
      </c>
      <c r="AP45" s="1362">
        <f t="shared" si="38"/>
        <v>30082029</v>
      </c>
      <c r="AQ45" s="1363">
        <f t="shared" si="39"/>
        <v>433671</v>
      </c>
      <c r="AR45" s="1363">
        <f t="shared" si="40"/>
        <v>41302.000000000007</v>
      </c>
      <c r="AS45" s="1363">
        <f>VLOOKUP(B45,'Thuế TNCN _T1'!$B$9:$K$86,10,0)</f>
        <v>1009057</v>
      </c>
      <c r="AT45" s="1366">
        <f t="shared" si="41"/>
        <v>30476690</v>
      </c>
      <c r="AU45" s="1363">
        <f t="shared" si="42"/>
        <v>123906.00000000003</v>
      </c>
      <c r="AV45" s="1363">
        <f>VLOOKUP(C45,'[13]1'!$B$7:$F$83,5,0)</f>
        <v>1321664</v>
      </c>
      <c r="AW45" s="1366">
        <f t="shared" si="43"/>
        <v>1333057</v>
      </c>
      <c r="AX45" s="1374">
        <f t="shared" si="32"/>
        <v>13985092</v>
      </c>
      <c r="AY45" s="1374">
        <f t="shared" si="23"/>
        <v>29111432</v>
      </c>
      <c r="AZ45" s="1374"/>
      <c r="BA45" s="1437">
        <f t="shared" si="44"/>
        <v>16420937</v>
      </c>
      <c r="BB45" s="1437" t="e">
        <f>#REF!</f>
        <v>#REF!</v>
      </c>
      <c r="BC45" s="1437" t="e">
        <f>#REF!</f>
        <v>#REF!</v>
      </c>
      <c r="BD45" s="1437">
        <f t="shared" si="45"/>
        <v>1270597</v>
      </c>
      <c r="BE45" s="1374"/>
      <c r="BF45" s="1374">
        <f>IFERROR(VLOOKUP(B45,'Bảng lương T5.2024'!$B$10:$N$85,13,0),0)</f>
        <v>38948</v>
      </c>
      <c r="BG45" s="1374">
        <f t="shared" si="33"/>
        <v>2354.0000000000073</v>
      </c>
      <c r="BH45" s="1367" t="s">
        <v>42</v>
      </c>
      <c r="BI45" s="1367" t="s">
        <v>42</v>
      </c>
      <c r="BT45" s="1373">
        <f t="shared" si="46"/>
        <v>1270597</v>
      </c>
      <c r="BU45" s="1373">
        <f>IFERROR(VLOOKUP(B45,#REF!,13,0),0)</f>
        <v>0</v>
      </c>
      <c r="BV45" s="1373">
        <f t="shared" si="34"/>
        <v>433671</v>
      </c>
      <c r="CA45" s="1367">
        <v>22.5</v>
      </c>
      <c r="CB45" s="1369">
        <f t="shared" ref="CB45:CB61" si="47">CA45-E45</f>
        <v>-8322548833.5</v>
      </c>
      <c r="CH45" s="1367">
        <v>22.5</v>
      </c>
      <c r="CI45" s="1369">
        <f t="shared" ref="CI45:CI61" si="48">E45-CH45</f>
        <v>8322548833.5</v>
      </c>
      <c r="CL45" s="1367" t="e">
        <f>VLOOKUP(B45,#REF!,4,0)</f>
        <v>#REF!</v>
      </c>
      <c r="CN45" s="1370">
        <f>IFERROR(VLOOKUP(B45,#REF!,6,0),0)</f>
        <v>0</v>
      </c>
      <c r="CO45" s="1369">
        <f t="shared" ref="CO45:CO63" si="49">E45-CN45</f>
        <v>8322548856</v>
      </c>
      <c r="CQ45" s="1371">
        <v>28895788.982846789</v>
      </c>
      <c r="CR45" s="1372">
        <f t="shared" ref="CR45:CR63" si="50">AJ45-CQ45</f>
        <v>3064931.0171532109</v>
      </c>
      <c r="CS45" s="1371"/>
      <c r="CT45" s="1375">
        <f>IFERROR(VLOOKUP(B45,#REF!,6,0),0)</f>
        <v>0</v>
      </c>
      <c r="CU45" s="1369">
        <f t="shared" ref="CU45:CU66" si="51">E45-CT45</f>
        <v>8322548856</v>
      </c>
    </row>
    <row r="46" spans="1:99" s="1367" customFormat="1" ht="27.75" customHeight="1">
      <c r="A46" s="1356">
        <v>37</v>
      </c>
      <c r="B46" s="1357" t="s">
        <v>57</v>
      </c>
      <c r="C46" s="1382" t="s">
        <v>58</v>
      </c>
      <c r="D46" s="1359">
        <f>IFERROR(VLOOKUP(B46,'[10]Danh sách CTV'!A$3:G$81,7,0),0)</f>
        <v>4718700</v>
      </c>
      <c r="E46" s="1434" t="str">
        <f>VLOOKUP(C46,[11]NhanSu!$D$4:$E$86,2,0)</f>
        <v>8322748885</v>
      </c>
      <c r="F46" s="1360">
        <f>IFERROR(VLOOKUP(B46,'Bảng lương t1.2025'!$B$10:$H$89,7,0),0)</f>
        <v>10297442</v>
      </c>
      <c r="G46" s="1360"/>
      <c r="H46" s="1364"/>
      <c r="I46" s="1452">
        <f>IFERROR(VLOOKUP(B46,'Bảng lương t1.2025'!$B$10:$I$89,8,0),0)</f>
        <v>0</v>
      </c>
      <c r="J46" s="1452"/>
      <c r="K46" s="1435">
        <f>SUMIFS('64'!$E:$E,'64'!$B:$B,'DSOAT-T1.2025'!C46)</f>
        <v>0</v>
      </c>
      <c r="L46" s="1365"/>
      <c r="M46" s="1365"/>
      <c r="N46" s="1365"/>
      <c r="O46" s="1365"/>
      <c r="P46" s="1365"/>
      <c r="Q46" s="1365"/>
      <c r="R46" s="1365"/>
      <c r="S46" s="1365"/>
      <c r="T46" s="1365"/>
      <c r="U46" s="1365"/>
      <c r="V46" s="1365"/>
      <c r="W46" s="1365"/>
      <c r="X46" s="1365"/>
      <c r="Y46" s="1365"/>
      <c r="Z46" s="1365">
        <f>IFERROR(VLOOKUP(B46,'[12]CTV thuê lại'!B$9:F$90,5,0),0)</f>
        <v>2288483</v>
      </c>
      <c r="AA46" s="1436"/>
      <c r="AB46" s="1365">
        <v>200000</v>
      </c>
      <c r="AC46" s="1365"/>
      <c r="AD46" s="1365"/>
      <c r="AE46" s="1365"/>
      <c r="AF46" s="1365"/>
      <c r="AG46" s="1365"/>
      <c r="AH46" s="1365"/>
      <c r="AI46" s="1365"/>
      <c r="AJ46" s="1361">
        <f t="shared" si="35"/>
        <v>12785925</v>
      </c>
      <c r="AK46" s="1362">
        <f t="shared" si="36"/>
        <v>1014521</v>
      </c>
      <c r="AL46" s="1363">
        <f t="shared" si="37"/>
        <v>94374</v>
      </c>
      <c r="AM46" s="1363">
        <v>300000</v>
      </c>
      <c r="AN46" s="1363">
        <f t="shared" si="20"/>
        <v>24000</v>
      </c>
      <c r="AO46" s="1363">
        <f t="shared" si="21"/>
        <v>324000</v>
      </c>
      <c r="AP46" s="1362">
        <f t="shared" si="38"/>
        <v>11406337</v>
      </c>
      <c r="AQ46" s="1363">
        <f t="shared" si="39"/>
        <v>495464</v>
      </c>
      <c r="AR46" s="1363">
        <f t="shared" si="40"/>
        <v>47187</v>
      </c>
      <c r="AS46" s="1363">
        <f>VLOOKUP(B46,'Thuế TNCN _T1'!$B$9:$K$86,10,0)</f>
        <v>0</v>
      </c>
      <c r="AT46" s="1366">
        <f t="shared" si="41"/>
        <v>12243274</v>
      </c>
      <c r="AU46" s="1363">
        <f t="shared" si="42"/>
        <v>141561</v>
      </c>
      <c r="AV46" s="1363">
        <v>1509984</v>
      </c>
      <c r="AW46" s="1366">
        <f t="shared" si="43"/>
        <v>324001</v>
      </c>
      <c r="AX46" s="1374">
        <f t="shared" si="32"/>
        <v>10297442</v>
      </c>
      <c r="AY46" s="1374">
        <f t="shared" si="23"/>
        <v>10297442</v>
      </c>
      <c r="AZ46" s="1374"/>
      <c r="BA46" s="1437">
        <f t="shared" si="44"/>
        <v>1432895</v>
      </c>
      <c r="BB46" s="1437" t="e">
        <f>#REF!</f>
        <v>#REF!</v>
      </c>
      <c r="BC46" s="1437" t="e">
        <f>#REF!</f>
        <v>#REF!</v>
      </c>
      <c r="BD46" s="1437">
        <f t="shared" si="45"/>
        <v>1408895</v>
      </c>
      <c r="BE46" s="1374"/>
      <c r="BF46" s="1374">
        <f>IFERROR(VLOOKUP(B46,'Bảng lương T5.2024'!$B$10:$N$85,13,0),0)</f>
        <v>38948</v>
      </c>
      <c r="BG46" s="1374">
        <f t="shared" si="33"/>
        <v>8239</v>
      </c>
      <c r="BH46" s="1367" t="s">
        <v>20</v>
      </c>
      <c r="BT46" s="1373">
        <f t="shared" si="46"/>
        <v>1408895</v>
      </c>
      <c r="BU46" s="1373">
        <f>IFERROR(VLOOKUP(B46,#REF!,13,0),0)</f>
        <v>0</v>
      </c>
      <c r="BV46" s="1373">
        <f t="shared" si="34"/>
        <v>495464</v>
      </c>
      <c r="CA46" s="1367">
        <v>22</v>
      </c>
      <c r="CB46" s="1369">
        <f t="shared" si="47"/>
        <v>-8322748863</v>
      </c>
      <c r="CH46" s="1367">
        <v>22</v>
      </c>
      <c r="CI46" s="1369">
        <f t="shared" si="48"/>
        <v>8322748863</v>
      </c>
      <c r="CN46" s="1370">
        <f>IFERROR(VLOOKUP(B46,#REF!,6,0),0)</f>
        <v>0</v>
      </c>
      <c r="CO46" s="1369">
        <f t="shared" si="49"/>
        <v>8322748885</v>
      </c>
      <c r="CQ46" s="1371">
        <v>14939594.726866605</v>
      </c>
      <c r="CR46" s="1372">
        <f t="shared" si="50"/>
        <v>-2153669.7268666048</v>
      </c>
      <c r="CS46" s="1371"/>
      <c r="CT46" s="1375">
        <f>IFERROR(VLOOKUP(B46,#REF!,6,0),0)</f>
        <v>0</v>
      </c>
      <c r="CU46" s="1369">
        <f t="shared" si="51"/>
        <v>8322748885</v>
      </c>
    </row>
    <row r="47" spans="1:99" s="1367" customFormat="1" ht="21" customHeight="1">
      <c r="A47" s="1356">
        <v>38</v>
      </c>
      <c r="B47" s="1357" t="s">
        <v>77</v>
      </c>
      <c r="C47" s="1383" t="s">
        <v>78</v>
      </c>
      <c r="D47" s="1359">
        <f>IFERROR(VLOOKUP(B47,'[10]Danh sách CTV'!A$3:G$81,7,0),0)</f>
        <v>4718700</v>
      </c>
      <c r="E47" s="1434" t="str">
        <f>VLOOKUP(C47,[11]NhanSu!$D$4:$E$86,2,0)</f>
        <v>8311002589</v>
      </c>
      <c r="F47" s="1360">
        <f>IFERROR(VLOOKUP(B47,'Bảng lương t1.2025'!$B$10:$H$89,7,0),0)</f>
        <v>3022864</v>
      </c>
      <c r="G47" s="1360"/>
      <c r="H47" s="1364"/>
      <c r="I47" s="1452">
        <f>IFERROR(VLOOKUP(B47,'Bảng lương t1.2025'!$B$10:$I$89,8,0),0)</f>
        <v>10114381</v>
      </c>
      <c r="J47" s="1452">
        <v>39305709</v>
      </c>
      <c r="K47" s="1435">
        <f>SUMIFS('64'!$E:$E,'64'!$B:$B,'DSOAT-T1.2025'!C47)</f>
        <v>0</v>
      </c>
      <c r="L47" s="1365">
        <v>5500</v>
      </c>
      <c r="M47" s="1365"/>
      <c r="N47" s="1365"/>
      <c r="O47" s="1365"/>
      <c r="P47" s="1365"/>
      <c r="Q47" s="1365"/>
      <c r="R47" s="1365"/>
      <c r="S47" s="1365"/>
      <c r="T47" s="1365"/>
      <c r="U47" s="1365"/>
      <c r="V47" s="1365"/>
      <c r="W47" s="1365"/>
      <c r="X47" s="1365">
        <v>1000000</v>
      </c>
      <c r="Y47" s="1365"/>
      <c r="Z47" s="1365">
        <f>IFERROR(VLOOKUP(B47,'[12]CTV thuê lại'!B$9:F$90,5,0),0)</f>
        <v>3814444</v>
      </c>
      <c r="AA47" s="1436"/>
      <c r="AB47" s="1365">
        <f>SUMIFS('210'!$G:$G,'210'!$B:$B,'DSOAT-T1.2025'!C47)</f>
        <v>500000</v>
      </c>
      <c r="AC47" s="1365"/>
      <c r="AD47" s="1365"/>
      <c r="AE47" s="1365"/>
      <c r="AF47" s="1365"/>
      <c r="AG47" s="1365"/>
      <c r="AH47" s="1365"/>
      <c r="AI47" s="1365"/>
      <c r="AJ47" s="1361">
        <f t="shared" si="35"/>
        <v>57762898</v>
      </c>
      <c r="AK47" s="1362">
        <f t="shared" si="36"/>
        <v>1014521</v>
      </c>
      <c r="AL47" s="1363">
        <f t="shared" si="37"/>
        <v>94374</v>
      </c>
      <c r="AM47" s="1363">
        <v>300000</v>
      </c>
      <c r="AN47" s="1363">
        <f t="shared" si="20"/>
        <v>24000</v>
      </c>
      <c r="AO47" s="1363">
        <f t="shared" si="21"/>
        <v>324000</v>
      </c>
      <c r="AP47" s="1362">
        <f t="shared" si="38"/>
        <v>53557349</v>
      </c>
      <c r="AQ47" s="1363">
        <f t="shared" si="39"/>
        <v>495464</v>
      </c>
      <c r="AR47" s="1363">
        <f t="shared" si="40"/>
        <v>47187</v>
      </c>
      <c r="AS47" s="1363">
        <f>VLOOKUP(B47,'Thuế TNCN _T1'!$B$9:$K$86,10,0)</f>
        <v>6116859</v>
      </c>
      <c r="AT47" s="1366">
        <f t="shared" si="41"/>
        <v>51103388</v>
      </c>
      <c r="AU47" s="1363">
        <f t="shared" si="42"/>
        <v>141561</v>
      </c>
      <c r="AV47" s="1363">
        <f>VLOOKUP(C47,'[13]1'!$B$7:$F$83,5,0)</f>
        <v>1509984</v>
      </c>
      <c r="AW47" s="1366">
        <f t="shared" si="43"/>
        <v>6440860</v>
      </c>
      <c r="AX47" s="1374">
        <f t="shared" si="32"/>
        <v>13137245</v>
      </c>
      <c r="AY47" s="1374">
        <f t="shared" si="23"/>
        <v>52448454</v>
      </c>
      <c r="AZ47" s="1374"/>
      <c r="BA47" s="1437">
        <f t="shared" si="44"/>
        <v>40744104</v>
      </c>
      <c r="BB47" s="1437" t="e">
        <f>#REF!</f>
        <v>#REF!</v>
      </c>
      <c r="BC47" s="1437" t="e">
        <f>#REF!</f>
        <v>#REF!</v>
      </c>
      <c r="BD47" s="1437">
        <f t="shared" si="45"/>
        <v>1408895</v>
      </c>
      <c r="BE47" s="1374"/>
      <c r="BF47" s="1374">
        <f>IFERROR(VLOOKUP(B47,'Bảng lương T5.2024'!$B$10:$N$85,13,0),0)</f>
        <v>44512</v>
      </c>
      <c r="BG47" s="1374">
        <f t="shared" si="33"/>
        <v>2675</v>
      </c>
      <c r="BH47" s="1367" t="s">
        <v>79</v>
      </c>
      <c r="BT47" s="1373">
        <f t="shared" si="46"/>
        <v>1408895</v>
      </c>
      <c r="BU47" s="1373">
        <f>IFERROR(VLOOKUP(B47,#REF!,13,0),0)</f>
        <v>0</v>
      </c>
      <c r="BV47" s="1373">
        <f t="shared" si="34"/>
        <v>495464</v>
      </c>
      <c r="CA47" s="1367">
        <v>22.5</v>
      </c>
      <c r="CB47" s="1369">
        <f t="shared" si="47"/>
        <v>-8311002566.5</v>
      </c>
      <c r="CH47" s="1367">
        <v>22.5</v>
      </c>
      <c r="CI47" s="1369">
        <f t="shared" si="48"/>
        <v>8311002566.5</v>
      </c>
      <c r="CL47" s="1367" t="e">
        <f>VLOOKUP(B47,#REF!,4,0)</f>
        <v>#REF!</v>
      </c>
      <c r="CN47" s="1370">
        <f>IFERROR(VLOOKUP(B47,#REF!,6,0),0)</f>
        <v>0</v>
      </c>
      <c r="CO47" s="1369">
        <f t="shared" si="49"/>
        <v>8311002589</v>
      </c>
      <c r="CQ47" s="1371">
        <v>26561523.836837713</v>
      </c>
      <c r="CR47" s="1372">
        <f t="shared" si="50"/>
        <v>31201374.163162287</v>
      </c>
      <c r="CS47" s="1371"/>
      <c r="CT47" s="1375">
        <f>IFERROR(VLOOKUP(B47,#REF!,6,0),0)</f>
        <v>0</v>
      </c>
      <c r="CU47" s="1369">
        <f t="shared" si="51"/>
        <v>8311002589</v>
      </c>
    </row>
    <row r="48" spans="1:99" s="1367" customFormat="1" ht="21" customHeight="1">
      <c r="A48" s="1356">
        <v>39</v>
      </c>
      <c r="B48" s="1357" t="s">
        <v>80</v>
      </c>
      <c r="C48" s="1384" t="s">
        <v>81</v>
      </c>
      <c r="D48" s="1359">
        <f>IFERROR(VLOOKUP(B48,'[10]Danh sách CTV'!A$3:G$81,7,0),0)</f>
        <v>4718700</v>
      </c>
      <c r="E48" s="1434" t="str">
        <f>VLOOKUP(C48,[11]NhanSu!$D$4:$E$86,2,0)</f>
        <v>0116347982</v>
      </c>
      <c r="F48" s="1360">
        <f>IFERROR(VLOOKUP(B48,'Bảng lương t1.2025'!$B$10:$H$89,7,0),0)</f>
        <v>2432348</v>
      </c>
      <c r="G48" s="1360"/>
      <c r="H48" s="1364"/>
      <c r="I48" s="1452">
        <f>IFERROR(VLOOKUP(B48,'Bảng lương t1.2025'!$B$10:$I$89,8,0),0)</f>
        <v>3063643</v>
      </c>
      <c r="J48" s="1452"/>
      <c r="K48" s="1435">
        <f>SUMIFS('64'!$E:$E,'64'!$B:$B,'DSOAT-T1.2025'!C48)</f>
        <v>100000</v>
      </c>
      <c r="L48" s="1365"/>
      <c r="M48" s="1365"/>
      <c r="N48" s="1365"/>
      <c r="O48" s="1365"/>
      <c r="P48" s="1365"/>
      <c r="Q48" s="1365"/>
      <c r="R48" s="1365"/>
      <c r="S48" s="1365"/>
      <c r="T48" s="1365"/>
      <c r="U48" s="1365"/>
      <c r="V48" s="1365"/>
      <c r="W48" s="1365"/>
      <c r="X48" s="1365"/>
      <c r="Y48" s="1365"/>
      <c r="Z48" s="1365">
        <f>IFERROR(VLOOKUP(B48,'[12]CTV thuê lại'!B$9:F$90,5,0),0)</f>
        <v>1698477</v>
      </c>
      <c r="AA48" s="1436"/>
      <c r="AB48" s="1365">
        <f>SUMIFS('210'!$G:$G,'210'!$B:$B,'DSOAT-T1.2025'!C48)</f>
        <v>200000</v>
      </c>
      <c r="AC48" s="1365"/>
      <c r="AD48" s="1365"/>
      <c r="AE48" s="1365"/>
      <c r="AF48" s="1365"/>
      <c r="AG48" s="1365"/>
      <c r="AH48" s="1365"/>
      <c r="AI48" s="1365"/>
      <c r="AJ48" s="1361">
        <f t="shared" si="35"/>
        <v>7494468</v>
      </c>
      <c r="AK48" s="1362">
        <f t="shared" si="36"/>
        <v>1014521</v>
      </c>
      <c r="AL48" s="1363">
        <f t="shared" si="37"/>
        <v>94374</v>
      </c>
      <c r="AM48" s="1363">
        <v>300000</v>
      </c>
      <c r="AN48" s="1363">
        <f t="shared" si="20"/>
        <v>24000</v>
      </c>
      <c r="AO48" s="1363">
        <f t="shared" si="21"/>
        <v>324000</v>
      </c>
      <c r="AP48" s="1362">
        <f t="shared" si="38"/>
        <v>6704886</v>
      </c>
      <c r="AQ48" s="1363">
        <f t="shared" si="39"/>
        <v>495464</v>
      </c>
      <c r="AR48" s="1363">
        <f t="shared" si="40"/>
        <v>47187</v>
      </c>
      <c r="AS48" s="1363">
        <f>VLOOKUP(B48,'Thuế TNCN _T1'!$B$9:$K$86,10,0)</f>
        <v>0</v>
      </c>
      <c r="AT48" s="1366">
        <f t="shared" si="41"/>
        <v>6951817</v>
      </c>
      <c r="AU48" s="1363">
        <f t="shared" si="42"/>
        <v>141561</v>
      </c>
      <c r="AV48" s="1363">
        <f>VLOOKUP(C48,'[13]1'!$B$7:$F$83,5,0)</f>
        <v>1509984</v>
      </c>
      <c r="AW48" s="1366">
        <f t="shared" si="43"/>
        <v>324001</v>
      </c>
      <c r="AX48" s="1374">
        <f t="shared" si="32"/>
        <v>5495991</v>
      </c>
      <c r="AY48" s="1374">
        <f t="shared" si="23"/>
        <v>5595991</v>
      </c>
      <c r="AZ48" s="1374"/>
      <c r="BA48" s="1437">
        <f t="shared" si="44"/>
        <v>1532895</v>
      </c>
      <c r="BB48" s="1437" t="e">
        <f>#REF!</f>
        <v>#REF!</v>
      </c>
      <c r="BC48" s="1437" t="e">
        <f>#REF!</f>
        <v>#REF!</v>
      </c>
      <c r="BD48" s="1437">
        <f t="shared" si="45"/>
        <v>1408895</v>
      </c>
      <c r="BE48" s="1374"/>
      <c r="BF48" s="1374">
        <f>IFERROR(VLOOKUP(B48,'Bảng lương T5.2024'!$B$10:$N$85,13,0),0)</f>
        <v>44512</v>
      </c>
      <c r="BG48" s="1374">
        <f t="shared" si="33"/>
        <v>2675</v>
      </c>
      <c r="BH48" s="1367" t="s">
        <v>79</v>
      </c>
      <c r="BT48" s="1373">
        <f t="shared" si="46"/>
        <v>1408895</v>
      </c>
      <c r="BU48" s="1373">
        <f>IFERROR(VLOOKUP(B48,#REF!,13,0),0)</f>
        <v>0</v>
      </c>
      <c r="BV48" s="1373">
        <f t="shared" si="34"/>
        <v>495464</v>
      </c>
      <c r="CA48" s="1367">
        <v>22.5</v>
      </c>
      <c r="CB48" s="1369">
        <f t="shared" si="47"/>
        <v>-116347959.5</v>
      </c>
      <c r="CH48" s="1367">
        <v>22.5</v>
      </c>
      <c r="CI48" s="1369">
        <f t="shared" si="48"/>
        <v>116347959.5</v>
      </c>
      <c r="CL48" s="1367" t="e">
        <f>VLOOKUP(B48,#REF!,4,0)</f>
        <v>#REF!</v>
      </c>
      <c r="CN48" s="1370">
        <f>IFERROR(VLOOKUP(B48,#REF!,6,0),0)</f>
        <v>0</v>
      </c>
      <c r="CO48" s="1369">
        <f t="shared" si="49"/>
        <v>116347982</v>
      </c>
      <c r="CQ48" s="1371">
        <v>19075636.403522667</v>
      </c>
      <c r="CR48" s="1372">
        <f t="shared" si="50"/>
        <v>-11581168.403522667</v>
      </c>
      <c r="CS48" s="1371"/>
      <c r="CT48" s="1375">
        <f>IFERROR(VLOOKUP(B48,#REF!,6,0),0)</f>
        <v>0</v>
      </c>
      <c r="CU48" s="1369">
        <f t="shared" si="51"/>
        <v>116347982</v>
      </c>
    </row>
    <row r="49" spans="1:103" s="1367" customFormat="1" ht="21" customHeight="1">
      <c r="A49" s="1356">
        <v>40</v>
      </c>
      <c r="B49" s="1357" t="s">
        <v>82</v>
      </c>
      <c r="C49" s="1358" t="s">
        <v>83</v>
      </c>
      <c r="D49" s="1359">
        <f>IFERROR(VLOOKUP(B49,'[10]Danh sách CTV'!A$3:G$81,7,0),0)</f>
        <v>3691500</v>
      </c>
      <c r="E49" s="1434" t="str">
        <f>VLOOKUP(C49,[11]NhanSu!$D$4:$E$86,2,0)</f>
        <v>8323008357</v>
      </c>
      <c r="F49" s="1360">
        <f>IFERROR(VLOOKUP(B49,'Bảng lương t1.2025'!$B$10:$H$89,7,0),0)</f>
        <v>2668190</v>
      </c>
      <c r="G49" s="1360"/>
      <c r="H49" s="1364"/>
      <c r="I49" s="1452">
        <f>IFERROR(VLOOKUP(B49,'Bảng lương t1.2025'!$B$10:$I$89,8,0),0)</f>
        <v>1138743</v>
      </c>
      <c r="J49" s="1452"/>
      <c r="K49" s="1435">
        <f>SUMIFS('64'!$E:$E,'64'!$B:$B,'DSOAT-T1.2025'!C49)</f>
        <v>0</v>
      </c>
      <c r="L49" s="1365"/>
      <c r="M49" s="1365"/>
      <c r="N49" s="1365"/>
      <c r="O49" s="1365"/>
      <c r="P49" s="1365"/>
      <c r="Q49" s="1365"/>
      <c r="R49" s="1365"/>
      <c r="S49" s="1365"/>
      <c r="T49" s="1365"/>
      <c r="U49" s="1365"/>
      <c r="V49" s="1365"/>
      <c r="W49" s="1365"/>
      <c r="X49" s="1365"/>
      <c r="Y49" s="1365"/>
      <c r="Z49" s="1365">
        <f>IFERROR(VLOOKUP(B49,'[12]CTV thuê lại'!B$9:F$90,5,0),0)</f>
        <v>1683061</v>
      </c>
      <c r="AA49" s="1436"/>
      <c r="AB49" s="1365">
        <f>SUMIFS('210'!$G:$G,'210'!$B:$B,'DSOAT-T1.2025'!C49)</f>
        <v>200000</v>
      </c>
      <c r="AC49" s="1365"/>
      <c r="AD49" s="1365"/>
      <c r="AE49" s="1365"/>
      <c r="AF49" s="1365"/>
      <c r="AG49" s="1365"/>
      <c r="AH49" s="1365"/>
      <c r="AI49" s="1365"/>
      <c r="AJ49" s="1361">
        <f t="shared" si="35"/>
        <v>5689994</v>
      </c>
      <c r="AK49" s="1362">
        <f t="shared" si="36"/>
        <v>793673</v>
      </c>
      <c r="AL49" s="1363">
        <f t="shared" si="37"/>
        <v>73830</v>
      </c>
      <c r="AM49" s="1363">
        <v>300000</v>
      </c>
      <c r="AN49" s="1363">
        <f t="shared" si="20"/>
        <v>24000</v>
      </c>
      <c r="AO49" s="1363">
        <f t="shared" si="21"/>
        <v>324000</v>
      </c>
      <c r="AP49" s="1362">
        <f t="shared" si="38"/>
        <v>4674436</v>
      </c>
      <c r="AQ49" s="1363">
        <f t="shared" si="39"/>
        <v>387608</v>
      </c>
      <c r="AR49" s="1363">
        <f t="shared" si="40"/>
        <v>36915</v>
      </c>
      <c r="AS49" s="1363">
        <f>VLOOKUP(B49,'Thuế TNCN _T1'!$B$9:$K$86,10,0)</f>
        <v>0</v>
      </c>
      <c r="AT49" s="1366">
        <f t="shared" si="41"/>
        <v>5265471</v>
      </c>
      <c r="AU49" s="1363">
        <f t="shared" si="42"/>
        <v>110745</v>
      </c>
      <c r="AV49" s="1363">
        <f>VLOOKUP(C49,'[13]1'!$B$7:$F$83,5,0)</f>
        <v>1181280</v>
      </c>
      <c r="AW49" s="1366">
        <f t="shared" si="43"/>
        <v>324001</v>
      </c>
      <c r="AX49" s="1374">
        <f t="shared" si="32"/>
        <v>3806933</v>
      </c>
      <c r="AY49" s="1374">
        <f t="shared" si="23"/>
        <v>3806933</v>
      </c>
      <c r="AZ49" s="1374"/>
      <c r="BA49" s="1437">
        <f t="shared" si="44"/>
        <v>1191503</v>
      </c>
      <c r="BB49" s="1437" t="e">
        <f>#REF!</f>
        <v>#REF!</v>
      </c>
      <c r="BC49" s="1437" t="e">
        <f>#REF!</f>
        <v>#REF!</v>
      </c>
      <c r="BD49" s="1437">
        <f t="shared" si="45"/>
        <v>1167503</v>
      </c>
      <c r="BE49" s="1374"/>
      <c r="BF49" s="1374">
        <f>IFERROR(VLOOKUP(B49,'Bảng lương T5.2024'!$B$10:$N$85,13,0),0)</f>
        <v>34775</v>
      </c>
      <c r="BG49" s="1374">
        <f t="shared" si="33"/>
        <v>2140</v>
      </c>
      <c r="BH49" s="1367" t="s">
        <v>87</v>
      </c>
      <c r="BT49" s="1373">
        <f t="shared" si="46"/>
        <v>1167503</v>
      </c>
      <c r="BU49" s="1373">
        <f>IFERROR(VLOOKUP(B49,#REF!,13,0),0)</f>
        <v>0</v>
      </c>
      <c r="BV49" s="1373">
        <f t="shared" si="34"/>
        <v>387608</v>
      </c>
      <c r="CA49" s="1367">
        <v>22.5</v>
      </c>
      <c r="CB49" s="1369">
        <f t="shared" si="47"/>
        <v>-8323008334.5</v>
      </c>
      <c r="CH49" s="1367">
        <v>22.5</v>
      </c>
      <c r="CI49" s="1369">
        <f t="shared" si="48"/>
        <v>8323008334.5</v>
      </c>
      <c r="CL49" s="1367" t="e">
        <f>VLOOKUP(B49,#REF!,4,0)</f>
        <v>#REF!</v>
      </c>
      <c r="CN49" s="1370">
        <f>IFERROR(VLOOKUP(B49,#REF!,6,0),0)</f>
        <v>0</v>
      </c>
      <c r="CO49" s="1369">
        <f t="shared" si="49"/>
        <v>8323008357</v>
      </c>
      <c r="CQ49" s="1371">
        <v>22062149.602457203</v>
      </c>
      <c r="CR49" s="1372">
        <f t="shared" si="50"/>
        <v>-16372155.602457203</v>
      </c>
      <c r="CS49" s="1371"/>
      <c r="CT49" s="1375">
        <f>IFERROR(VLOOKUP(B49,#REF!,6,0),0)</f>
        <v>0</v>
      </c>
      <c r="CU49" s="1369">
        <f t="shared" si="51"/>
        <v>8323008357</v>
      </c>
    </row>
    <row r="50" spans="1:103" s="1367" customFormat="1" ht="21" customHeight="1">
      <c r="A50" s="1356">
        <v>41</v>
      </c>
      <c r="B50" s="1357" t="s">
        <v>84</v>
      </c>
      <c r="C50" s="1385" t="s">
        <v>139</v>
      </c>
      <c r="D50" s="1359">
        <f>IFERROR(VLOOKUP(B50,'[10]Danh sách CTV'!A$3:G$81,7,0),0)</f>
        <v>4718700</v>
      </c>
      <c r="E50" s="1434" t="str">
        <f>VLOOKUP(C50,[11]NhanSu!$D$4:$E$86,2,0)</f>
        <v>4807016222</v>
      </c>
      <c r="F50" s="1360">
        <f>IFERROR(VLOOKUP(B50,'Bảng lương t1.2025'!$B$10:$H$89,7,0),0)</f>
        <v>6667468</v>
      </c>
      <c r="G50" s="1360"/>
      <c r="H50" s="1364"/>
      <c r="I50" s="1452">
        <f>IFERROR(VLOOKUP(B50,'Bảng lương t1.2025'!$B$10:$I$89,8,0),0)</f>
        <v>0</v>
      </c>
      <c r="J50" s="1452"/>
      <c r="K50" s="1435">
        <f>SUMIFS('64'!$E:$E,'64'!$B:$B,'DSOAT-T1.2025'!C50)</f>
        <v>0</v>
      </c>
      <c r="L50" s="1365"/>
      <c r="M50" s="1365"/>
      <c r="N50" s="1365"/>
      <c r="O50" s="1365"/>
      <c r="P50" s="1365"/>
      <c r="Q50" s="1365"/>
      <c r="R50" s="1365"/>
      <c r="S50" s="1365"/>
      <c r="T50" s="1365"/>
      <c r="U50" s="1365"/>
      <c r="V50" s="1365"/>
      <c r="W50" s="1365"/>
      <c r="X50" s="1365"/>
      <c r="Y50" s="1365"/>
      <c r="Z50" s="1365">
        <f>IFERROR(VLOOKUP(B50,'[12]CTV thuê lại'!B$9:F$90,5,0),0)</f>
        <v>1709509</v>
      </c>
      <c r="AA50" s="1436"/>
      <c r="AB50" s="1365">
        <f>SUMIFS('210'!$G:$G,'210'!$B:$B,'DSOAT-T1.2025'!C50)</f>
        <v>200000</v>
      </c>
      <c r="AC50" s="1365"/>
      <c r="AD50" s="1365"/>
      <c r="AE50" s="1365"/>
      <c r="AF50" s="1365"/>
      <c r="AG50" s="1365"/>
      <c r="AH50" s="1365"/>
      <c r="AI50" s="1365"/>
      <c r="AJ50" s="1361">
        <f t="shared" si="35"/>
        <v>8576977</v>
      </c>
      <c r="AK50" s="1362">
        <f t="shared" si="36"/>
        <v>1014521</v>
      </c>
      <c r="AL50" s="1363">
        <f t="shared" si="37"/>
        <v>94374</v>
      </c>
      <c r="AM50" s="1363">
        <v>300000</v>
      </c>
      <c r="AN50" s="1363">
        <f t="shared" si="20"/>
        <v>24000</v>
      </c>
      <c r="AO50" s="1363">
        <f t="shared" si="21"/>
        <v>324000</v>
      </c>
      <c r="AP50" s="1362">
        <f t="shared" si="38"/>
        <v>7776363</v>
      </c>
      <c r="AQ50" s="1363">
        <f t="shared" si="39"/>
        <v>495464</v>
      </c>
      <c r="AR50" s="1363">
        <f t="shared" si="40"/>
        <v>47187</v>
      </c>
      <c r="AS50" s="1363">
        <f>VLOOKUP(B50,'Thuế TNCN _T1'!$B$9:$K$86,10,0)</f>
        <v>0</v>
      </c>
      <c r="AT50" s="1366">
        <f t="shared" si="41"/>
        <v>8034326</v>
      </c>
      <c r="AU50" s="1363">
        <f t="shared" si="42"/>
        <v>141561</v>
      </c>
      <c r="AV50" s="1363">
        <f>VLOOKUP(C50,'[13]1'!$B$7:$F$83,5,0)</f>
        <v>1509984</v>
      </c>
      <c r="AW50" s="1366">
        <f t="shared" si="43"/>
        <v>324001</v>
      </c>
      <c r="AX50" s="1374">
        <f t="shared" si="32"/>
        <v>6667468</v>
      </c>
      <c r="AY50" s="1374">
        <f t="shared" si="23"/>
        <v>6667468</v>
      </c>
      <c r="AZ50" s="1374"/>
      <c r="BA50" s="1437">
        <f t="shared" si="44"/>
        <v>1432895</v>
      </c>
      <c r="BB50" s="1437" t="e">
        <f>#REF!</f>
        <v>#REF!</v>
      </c>
      <c r="BC50" s="1437" t="e">
        <f>#REF!</f>
        <v>#REF!</v>
      </c>
      <c r="BD50" s="1437">
        <f t="shared" si="45"/>
        <v>1408895</v>
      </c>
      <c r="BE50" s="1374"/>
      <c r="BF50" s="1374">
        <f>IFERROR(VLOOKUP(B50,'Bảng lương T5.2024'!$B$10:$N$85,13,0),0)</f>
        <v>44512</v>
      </c>
      <c r="BG50" s="1374">
        <f t="shared" si="33"/>
        <v>2675</v>
      </c>
      <c r="BH50" s="1367" t="s">
        <v>79</v>
      </c>
      <c r="BT50" s="1373">
        <f t="shared" si="46"/>
        <v>1408895</v>
      </c>
      <c r="BU50" s="1373">
        <f>IFERROR(VLOOKUP(B50,#REF!,13,0),0)</f>
        <v>0</v>
      </c>
      <c r="BV50" s="1373">
        <f t="shared" si="34"/>
        <v>495464</v>
      </c>
      <c r="CA50" s="1367">
        <v>22.5</v>
      </c>
      <c r="CB50" s="1369">
        <f t="shared" si="47"/>
        <v>-4807016199.5</v>
      </c>
      <c r="CH50" s="1367">
        <v>22.5</v>
      </c>
      <c r="CI50" s="1369">
        <f t="shared" si="48"/>
        <v>4807016199.5</v>
      </c>
      <c r="CN50" s="1370">
        <f>IFERROR(VLOOKUP(B50,#REF!,6,0),0)</f>
        <v>0</v>
      </c>
      <c r="CO50" s="1369">
        <f t="shared" si="49"/>
        <v>4807016222</v>
      </c>
      <c r="CQ50" s="1371">
        <v>13939763.558889337</v>
      </c>
      <c r="CR50" s="1372">
        <f t="shared" si="50"/>
        <v>-5362786.5588893369</v>
      </c>
      <c r="CS50" s="1371"/>
      <c r="CT50" s="1375">
        <f>IFERROR(VLOOKUP(B50,#REF!,6,0),0)</f>
        <v>0</v>
      </c>
      <c r="CU50" s="1369">
        <f t="shared" si="51"/>
        <v>4807016222</v>
      </c>
    </row>
    <row r="51" spans="1:103" s="1367" customFormat="1" ht="21" customHeight="1">
      <c r="A51" s="1356">
        <v>42</v>
      </c>
      <c r="B51" s="1357" t="s">
        <v>161</v>
      </c>
      <c r="C51" s="1358" t="s">
        <v>152</v>
      </c>
      <c r="D51" s="1359">
        <f>IFERROR(VLOOKUP(B51,'[10]Danh sách CTV'!A$3:G$81,7,0),0)</f>
        <v>4718700</v>
      </c>
      <c r="E51" s="1434" t="str">
        <f>VLOOKUP(C51,[11]NhanSu!$D$4:$E$86,2,0)</f>
        <v>8323075123</v>
      </c>
      <c r="F51" s="1360">
        <f>IFERROR(VLOOKUP(B51,'Bảng lương t1.2025'!$B$10:$H$89,7,0),0)</f>
        <v>3748947</v>
      </c>
      <c r="G51" s="1360"/>
      <c r="H51" s="1364"/>
      <c r="I51" s="1452">
        <f>IFERROR(VLOOKUP(B51,'Bảng lương t1.2025'!$B$10:$I$89,8,0),0)</f>
        <v>23700602</v>
      </c>
      <c r="J51" s="1452"/>
      <c r="K51" s="1435">
        <f>SUMIFS('64'!$E:$E,'64'!$B:$B,'DSOAT-T1.2025'!C51)</f>
        <v>600000</v>
      </c>
      <c r="L51" s="1365"/>
      <c r="M51" s="1365"/>
      <c r="N51" s="1365"/>
      <c r="O51" s="1365"/>
      <c r="P51" s="1365"/>
      <c r="Q51" s="1365"/>
      <c r="R51" s="1365"/>
      <c r="S51" s="1365"/>
      <c r="T51" s="1365"/>
      <c r="U51" s="1365"/>
      <c r="V51" s="1365"/>
      <c r="W51" s="1365"/>
      <c r="X51" s="1365"/>
      <c r="Y51" s="1365"/>
      <c r="Z51" s="1365">
        <f>IFERROR(VLOOKUP(B51,'[12]CTV thuê lại'!B$9:F$90,5,0),0)</f>
        <v>4214304</v>
      </c>
      <c r="AA51" s="1436"/>
      <c r="AB51" s="1365">
        <f>SUMIFS('210'!$G:$G,'210'!$B:$B,'DSOAT-T1.2025'!C51)</f>
        <v>500000</v>
      </c>
      <c r="AC51" s="1365"/>
      <c r="AD51" s="1365"/>
      <c r="AE51" s="1365"/>
      <c r="AF51" s="1365"/>
      <c r="AG51" s="1365"/>
      <c r="AH51" s="1365"/>
      <c r="AI51" s="1365"/>
      <c r="AJ51" s="1361">
        <f t="shared" si="35"/>
        <v>32763853</v>
      </c>
      <c r="AK51" s="1362">
        <f t="shared" si="36"/>
        <v>1014521</v>
      </c>
      <c r="AL51" s="1363">
        <f t="shared" si="37"/>
        <v>94374</v>
      </c>
      <c r="AM51" s="1363">
        <v>300000</v>
      </c>
      <c r="AN51" s="1363">
        <f t="shared" si="20"/>
        <v>24000</v>
      </c>
      <c r="AO51" s="1363">
        <f t="shared" si="21"/>
        <v>324000</v>
      </c>
      <c r="AP51" s="1362">
        <f t="shared" si="38"/>
        <v>29158444</v>
      </c>
      <c r="AQ51" s="1363">
        <f t="shared" si="39"/>
        <v>495464</v>
      </c>
      <c r="AR51" s="1363">
        <f t="shared" si="40"/>
        <v>47187</v>
      </c>
      <c r="AS51" s="1363">
        <f>VLOOKUP(B51,'Thuế TNCN _T1'!$B$9:$K$86,10,0)</f>
        <v>183419</v>
      </c>
      <c r="AT51" s="1366">
        <f t="shared" si="41"/>
        <v>32037783</v>
      </c>
      <c r="AU51" s="1363">
        <f t="shared" si="42"/>
        <v>141561</v>
      </c>
      <c r="AV51" s="1363">
        <f>VLOOKUP(C51,'[13]1'!$B$7:$F$83,5,0)</f>
        <v>1509984</v>
      </c>
      <c r="AW51" s="1366">
        <f t="shared" si="43"/>
        <v>507420</v>
      </c>
      <c r="AX51" s="1374">
        <f t="shared" si="32"/>
        <v>27449549</v>
      </c>
      <c r="AY51" s="1374">
        <f t="shared" si="23"/>
        <v>28049549</v>
      </c>
      <c r="AZ51" s="1374"/>
      <c r="BA51" s="1437">
        <f t="shared" si="44"/>
        <v>2032895</v>
      </c>
      <c r="BB51" s="1437" t="e">
        <f>#REF!</f>
        <v>#REF!</v>
      </c>
      <c r="BC51" s="1437" t="e">
        <f>#REF!</f>
        <v>#REF!</v>
      </c>
      <c r="BD51" s="1437">
        <f t="shared" si="45"/>
        <v>1408895</v>
      </c>
      <c r="BE51" s="1374"/>
      <c r="BF51" s="1374">
        <f>IFERROR(VLOOKUP(B51,'Bảng lương T5.2024'!$B$10:$N$85,13,0),0)</f>
        <v>44512</v>
      </c>
      <c r="BG51" s="1374">
        <f t="shared" si="33"/>
        <v>2675</v>
      </c>
      <c r="BH51" s="1367" t="s">
        <v>79</v>
      </c>
      <c r="BI51" s="1371">
        <v>4038098</v>
      </c>
      <c r="BJ51" s="1386">
        <f>BI51-AS51</f>
        <v>3854679</v>
      </c>
      <c r="BT51" s="1373">
        <f t="shared" si="46"/>
        <v>1408895</v>
      </c>
      <c r="BU51" s="1373">
        <f>IFERROR(VLOOKUP(B51,#REF!,13,0),0)</f>
        <v>0</v>
      </c>
      <c r="BV51" s="1373">
        <f t="shared" si="34"/>
        <v>495464</v>
      </c>
      <c r="CA51" s="1367">
        <v>22.5</v>
      </c>
      <c r="CB51" s="1369">
        <f t="shared" si="47"/>
        <v>-8323075100.5</v>
      </c>
      <c r="CH51" s="1367">
        <v>22.5</v>
      </c>
      <c r="CI51" s="1369">
        <f t="shared" si="48"/>
        <v>8323075100.5</v>
      </c>
      <c r="CL51" s="1367" t="e">
        <f>VLOOKUP(B51,#REF!,4,0)</f>
        <v>#REF!</v>
      </c>
      <c r="CN51" s="1370">
        <f>IFERROR(VLOOKUP(B51,#REF!,6,0),0)</f>
        <v>0</v>
      </c>
      <c r="CO51" s="1369">
        <f t="shared" si="49"/>
        <v>8323075123</v>
      </c>
      <c r="CQ51" s="1371">
        <v>33349777.344617266</v>
      </c>
      <c r="CR51" s="1372">
        <f t="shared" si="50"/>
        <v>-585924.34461726621</v>
      </c>
      <c r="CS51" s="1371"/>
      <c r="CT51" s="1375">
        <f>IFERROR(VLOOKUP(B51,#REF!,6,0),0)</f>
        <v>0</v>
      </c>
      <c r="CU51" s="1369">
        <f t="shared" si="51"/>
        <v>8323075123</v>
      </c>
    </row>
    <row r="52" spans="1:103" s="1367" customFormat="1" ht="21" customHeight="1">
      <c r="A52" s="1356">
        <v>43</v>
      </c>
      <c r="B52" s="1357" t="s">
        <v>85</v>
      </c>
      <c r="C52" s="1358" t="s">
        <v>86</v>
      </c>
      <c r="D52" s="1359">
        <f>IFERROR(VLOOKUP(B52,'[10]Danh sách CTV'!A$3:G$81,7,0),0)</f>
        <v>4130200.0000000005</v>
      </c>
      <c r="E52" s="1434" t="str">
        <f>VLOOKUP(C52,[11]NhanSu!$D$4:$E$86,2,0)</f>
        <v>8313014270</v>
      </c>
      <c r="F52" s="1360">
        <f>IFERROR(VLOOKUP(B52,'Bảng lương t1.2025'!$B$10:$H$89,7,0),0)</f>
        <v>7581034</v>
      </c>
      <c r="G52" s="1360"/>
      <c r="H52" s="1364"/>
      <c r="I52" s="1452">
        <f>IFERROR(VLOOKUP(B52,'Bảng lương t1.2025'!$B$10:$I$89,8,0),0)</f>
        <v>47712</v>
      </c>
      <c r="J52" s="1452"/>
      <c r="K52" s="1435">
        <f>SUMIFS('64'!$E:$E,'64'!$B:$B,'DSOAT-T1.2025'!C52)</f>
        <v>0</v>
      </c>
      <c r="L52" s="1365"/>
      <c r="M52" s="1365"/>
      <c r="N52" s="1365"/>
      <c r="O52" s="1365"/>
      <c r="P52" s="1365"/>
      <c r="Q52" s="1365"/>
      <c r="R52" s="1365"/>
      <c r="S52" s="1365"/>
      <c r="T52" s="1365"/>
      <c r="U52" s="1365"/>
      <c r="V52" s="1365"/>
      <c r="W52" s="1365"/>
      <c r="X52" s="1365"/>
      <c r="Y52" s="1365"/>
      <c r="Z52" s="1365">
        <f>IFERROR(VLOOKUP(B52,'[12]CTV thuê lại'!B$9:F$90,5,0),0)</f>
        <v>1866786</v>
      </c>
      <c r="AA52" s="1436"/>
      <c r="AB52" s="1365">
        <f>SUMIFS('210'!$G:$G,'210'!$B:$B,'DSOAT-T1.2025'!C52)</f>
        <v>200000</v>
      </c>
      <c r="AC52" s="1365"/>
      <c r="AD52" s="1365"/>
      <c r="AE52" s="1365"/>
      <c r="AF52" s="1365"/>
      <c r="AG52" s="1365"/>
      <c r="AH52" s="1365"/>
      <c r="AI52" s="1365"/>
      <c r="AJ52" s="1361">
        <f t="shared" si="35"/>
        <v>9695532</v>
      </c>
      <c r="AK52" s="1362">
        <f t="shared" si="36"/>
        <v>887993</v>
      </c>
      <c r="AL52" s="1363">
        <f t="shared" si="37"/>
        <v>82604.000000000015</v>
      </c>
      <c r="AM52" s="1363">
        <v>300000</v>
      </c>
      <c r="AN52" s="1363">
        <f t="shared" si="20"/>
        <v>24000</v>
      </c>
      <c r="AO52" s="1363">
        <f t="shared" si="21"/>
        <v>324000</v>
      </c>
      <c r="AP52" s="1362">
        <f t="shared" si="38"/>
        <v>8599343</v>
      </c>
      <c r="AQ52" s="1363">
        <f t="shared" si="39"/>
        <v>433671</v>
      </c>
      <c r="AR52" s="1363">
        <f t="shared" si="40"/>
        <v>41302.000000000007</v>
      </c>
      <c r="AS52" s="1363">
        <f>VLOOKUP(B52,'Thuế TNCN _T1'!$B$9:$K$86,10,0)</f>
        <v>0</v>
      </c>
      <c r="AT52" s="1366">
        <f t="shared" si="41"/>
        <v>9220559</v>
      </c>
      <c r="AU52" s="1363">
        <f t="shared" si="42"/>
        <v>123906.00000000003</v>
      </c>
      <c r="AV52" s="1363">
        <f>VLOOKUP(C52,'[13]1'!$B$7:$F$83,5,0)</f>
        <v>1181280</v>
      </c>
      <c r="AW52" s="1366">
        <f t="shared" si="43"/>
        <v>464384</v>
      </c>
      <c r="AX52" s="1374">
        <f t="shared" si="32"/>
        <v>7628746</v>
      </c>
      <c r="AY52" s="1374">
        <f t="shared" si="23"/>
        <v>7628746</v>
      </c>
      <c r="AZ52" s="1374"/>
      <c r="BA52" s="1437">
        <f t="shared" si="44"/>
        <v>1294597</v>
      </c>
      <c r="BB52" s="1437" t="e">
        <f>#REF!</f>
        <v>#REF!</v>
      </c>
      <c r="BC52" s="1437" t="e">
        <f>#REF!</f>
        <v>#REF!</v>
      </c>
      <c r="BD52" s="1437">
        <f t="shared" si="45"/>
        <v>1270597</v>
      </c>
      <c r="BE52" s="1374"/>
      <c r="BF52" s="1374">
        <f>IFERROR(VLOOKUP(B52,'Bảng lương T5.2024'!$B$10:$N$85,13,0),0)</f>
        <v>38948</v>
      </c>
      <c r="BG52" s="1374">
        <f t="shared" si="33"/>
        <v>2354.0000000000073</v>
      </c>
      <c r="BH52" s="1367" t="s">
        <v>92</v>
      </c>
      <c r="BT52" s="1373">
        <f t="shared" si="46"/>
        <v>1270597</v>
      </c>
      <c r="BU52" s="1373">
        <f>IFERROR(VLOOKUP(B52,#REF!,13,0),0)</f>
        <v>0</v>
      </c>
      <c r="BV52" s="1373">
        <f t="shared" si="34"/>
        <v>433671</v>
      </c>
      <c r="CA52" s="1367">
        <v>22.5</v>
      </c>
      <c r="CB52" s="1369">
        <f t="shared" si="47"/>
        <v>-8313014247.5</v>
      </c>
      <c r="CH52" s="1367">
        <v>22.5</v>
      </c>
      <c r="CI52" s="1369">
        <f t="shared" si="48"/>
        <v>8313014247.5</v>
      </c>
      <c r="CL52" s="1367" t="e">
        <f>VLOOKUP(B52,#REF!,4,0)</f>
        <v>#REF!</v>
      </c>
      <c r="CN52" s="1370">
        <f>IFERROR(VLOOKUP(B52,#REF!,6,0),0)</f>
        <v>0</v>
      </c>
      <c r="CO52" s="1369">
        <f t="shared" si="49"/>
        <v>8313014270</v>
      </c>
      <c r="CQ52" s="1371">
        <v>22829598.976521567</v>
      </c>
      <c r="CR52" s="1372">
        <f t="shared" si="50"/>
        <v>-13134066.976521567</v>
      </c>
      <c r="CS52" s="1371"/>
      <c r="CT52" s="1375">
        <f>IFERROR(VLOOKUP(B52,#REF!,6,0),0)</f>
        <v>0</v>
      </c>
      <c r="CU52" s="1369">
        <f t="shared" si="51"/>
        <v>8313014270</v>
      </c>
    </row>
    <row r="53" spans="1:103" s="1367" customFormat="1" ht="21" customHeight="1">
      <c r="A53" s="1356">
        <v>44</v>
      </c>
      <c r="B53" s="1357" t="s">
        <v>88</v>
      </c>
      <c r="C53" s="1358" t="s">
        <v>89</v>
      </c>
      <c r="D53" s="1359">
        <f>IFERROR(VLOOKUP(B53,'[10]Danh sách CTV'!A$3:G$81,7,0),0)</f>
        <v>3691500</v>
      </c>
      <c r="E53" s="1434" t="str">
        <f>VLOOKUP(C53,[11]NhanSu!$D$4:$E$86,2,0)</f>
        <v>8322720359</v>
      </c>
      <c r="F53" s="1360">
        <f>IFERROR(VLOOKUP(B53,'Bảng lương t1.2025'!$B$10:$H$89,7,0),0)</f>
        <v>3044453</v>
      </c>
      <c r="G53" s="1360"/>
      <c r="H53" s="1364"/>
      <c r="I53" s="1452">
        <f>IFERROR(VLOOKUP(B53,'Bảng lương t1.2025'!$B$10:$I$89,8,0),0)</f>
        <v>14544231</v>
      </c>
      <c r="J53" s="1452">
        <f>66000+1963518+1984000+2417200+600000+3612500</f>
        <v>10643218</v>
      </c>
      <c r="K53" s="1435">
        <f>SUMIFS('64'!$E:$E,'64'!$B:$B,'DSOAT-T1.2025'!C53)</f>
        <v>0</v>
      </c>
      <c r="L53" s="1365"/>
      <c r="M53" s="1365"/>
      <c r="N53" s="1365"/>
      <c r="O53" s="1365"/>
      <c r="P53" s="1365"/>
      <c r="Q53" s="1365"/>
      <c r="R53" s="1365"/>
      <c r="S53" s="1365"/>
      <c r="T53" s="1365"/>
      <c r="U53" s="1365"/>
      <c r="V53" s="1365"/>
      <c r="W53" s="1365"/>
      <c r="X53" s="1365"/>
      <c r="Y53" s="1365"/>
      <c r="Z53" s="1365">
        <f>IFERROR(VLOOKUP(B53,'[12]CTV thuê lại'!B$9:F$90,5,0),0)</f>
        <v>3318525</v>
      </c>
      <c r="AA53" s="1436">
        <v>300000</v>
      </c>
      <c r="AB53" s="1365">
        <f>SUMIFS('210'!$G:$G,'210'!$B:$B,'DSOAT-T1.2025'!C53)</f>
        <v>200000</v>
      </c>
      <c r="AC53" s="1365"/>
      <c r="AD53" s="1365"/>
      <c r="AE53" s="1365"/>
      <c r="AF53" s="1365"/>
      <c r="AG53" s="1365"/>
      <c r="AH53" s="1365"/>
      <c r="AI53" s="1365"/>
      <c r="AJ53" s="1361">
        <f t="shared" si="35"/>
        <v>32050427</v>
      </c>
      <c r="AK53" s="1362">
        <f t="shared" si="36"/>
        <v>793673</v>
      </c>
      <c r="AL53" s="1363">
        <f t="shared" si="37"/>
        <v>73830</v>
      </c>
      <c r="AM53" s="1363">
        <v>300000</v>
      </c>
      <c r="AN53" s="1363">
        <f t="shared" si="20"/>
        <v>24000</v>
      </c>
      <c r="AO53" s="1363">
        <f t="shared" si="21"/>
        <v>324000</v>
      </c>
      <c r="AP53" s="1362">
        <f t="shared" si="38"/>
        <v>29099405</v>
      </c>
      <c r="AQ53" s="1363">
        <f t="shared" si="39"/>
        <v>387608</v>
      </c>
      <c r="AR53" s="1363">
        <f t="shared" si="40"/>
        <v>36915</v>
      </c>
      <c r="AS53" s="1363">
        <f>VLOOKUP(B53,'Thuế TNCN _T1'!$B$9:$K$86,10,0)</f>
        <v>1689423</v>
      </c>
      <c r="AT53" s="1366">
        <f t="shared" si="41"/>
        <v>29936481</v>
      </c>
      <c r="AU53" s="1363">
        <f t="shared" si="42"/>
        <v>110745</v>
      </c>
      <c r="AV53" s="1363">
        <f>VLOOKUP(C53,'[13]1'!$B$7:$F$83,5,0)</f>
        <v>1181280</v>
      </c>
      <c r="AW53" s="1366">
        <f t="shared" si="43"/>
        <v>2013424</v>
      </c>
      <c r="AX53" s="1374">
        <f t="shared" si="32"/>
        <v>17588684</v>
      </c>
      <c r="AY53" s="1374">
        <f t="shared" si="23"/>
        <v>28231902</v>
      </c>
      <c r="AZ53" s="1374"/>
      <c r="BA53" s="1437">
        <f t="shared" si="44"/>
        <v>11834721</v>
      </c>
      <c r="BB53" s="1437" t="e">
        <f>#REF!</f>
        <v>#REF!</v>
      </c>
      <c r="BC53" s="1437" t="e">
        <f>#REF!</f>
        <v>#REF!</v>
      </c>
      <c r="BD53" s="1437">
        <f t="shared" si="45"/>
        <v>1167503</v>
      </c>
      <c r="BE53" s="1374"/>
      <c r="BF53" s="1374">
        <f>IFERROR(VLOOKUP(B53,'Bảng lương T5.2024'!$B$10:$N$85,13,0),0)</f>
        <v>34775</v>
      </c>
      <c r="BG53" s="1374">
        <f t="shared" si="33"/>
        <v>2140</v>
      </c>
      <c r="BH53" s="1367" t="s">
        <v>87</v>
      </c>
      <c r="BT53" s="1373">
        <f t="shared" si="46"/>
        <v>1167503</v>
      </c>
      <c r="BU53" s="1373">
        <f>IFERROR(VLOOKUP(B53,#REF!,13,0),0)</f>
        <v>0</v>
      </c>
      <c r="BV53" s="1373">
        <f t="shared" si="34"/>
        <v>387608</v>
      </c>
      <c r="CA53" s="1367">
        <v>26</v>
      </c>
      <c r="CB53" s="1369">
        <f t="shared" si="47"/>
        <v>-8322720333</v>
      </c>
      <c r="CH53" s="1367">
        <v>26</v>
      </c>
      <c r="CI53" s="1369">
        <f t="shared" si="48"/>
        <v>8322720333</v>
      </c>
      <c r="CL53" s="1367" t="e">
        <f>VLOOKUP(B53,#REF!,4,0)</f>
        <v>#REF!</v>
      </c>
      <c r="CN53" s="1370">
        <f>IFERROR(VLOOKUP(B53,#REF!,6,0),0)</f>
        <v>0</v>
      </c>
      <c r="CO53" s="1369">
        <f t="shared" si="49"/>
        <v>8322720359</v>
      </c>
      <c r="CQ53" s="1371">
        <v>19503965.516132906</v>
      </c>
      <c r="CR53" s="1372">
        <f t="shared" si="50"/>
        <v>12546461.483867094</v>
      </c>
      <c r="CS53" s="1371"/>
      <c r="CT53" s="1375">
        <f>IFERROR(VLOOKUP(B53,#REF!,6,0),0)</f>
        <v>0</v>
      </c>
      <c r="CU53" s="1369">
        <f t="shared" si="51"/>
        <v>8322720359</v>
      </c>
    </row>
    <row r="54" spans="1:103" s="1367" customFormat="1" ht="21" customHeight="1">
      <c r="A54" s="1356">
        <v>45</v>
      </c>
      <c r="B54" s="1357" t="s">
        <v>90</v>
      </c>
      <c r="C54" s="1358" t="s">
        <v>91</v>
      </c>
      <c r="D54" s="1359">
        <f>IFERROR(VLOOKUP(B54,'[10]Danh sách CTV'!A$3:G$81,7,0),0)</f>
        <v>3691500</v>
      </c>
      <c r="E54" s="1434" t="str">
        <f>VLOOKUP(C54,[11]NhanSu!$D$4:$E$86,2,0)</f>
        <v>8316008262</v>
      </c>
      <c r="F54" s="1360">
        <f>IFERROR(VLOOKUP(B54,'Bảng lương t1.2025'!$B$10:$H$89,7,0),0)</f>
        <v>3483593</v>
      </c>
      <c r="G54" s="1360"/>
      <c r="H54" s="1364"/>
      <c r="I54" s="1452">
        <f>IFERROR(VLOOKUP(B54,'Bảng lương t1.2025'!$B$10:$I$89,8,0),0)</f>
        <v>12488032</v>
      </c>
      <c r="J54" s="1452"/>
      <c r="K54" s="1435">
        <f>SUMIFS('64'!$E:$E,'64'!$B:$B,'DSOAT-T1.2025'!C54)</f>
        <v>0</v>
      </c>
      <c r="L54" s="1365"/>
      <c r="M54" s="1365"/>
      <c r="N54" s="1365"/>
      <c r="O54" s="1365"/>
      <c r="P54" s="1365"/>
      <c r="Q54" s="1365"/>
      <c r="R54" s="1365"/>
      <c r="S54" s="1365"/>
      <c r="T54" s="1365"/>
      <c r="U54" s="1365"/>
      <c r="V54" s="1365"/>
      <c r="W54" s="1365"/>
      <c r="X54" s="1365"/>
      <c r="Y54" s="1365"/>
      <c r="Z54" s="1365">
        <f>IFERROR(VLOOKUP(B54,'[12]CTV thuê lại'!B$9:F$90,5,0),0)</f>
        <v>3650745</v>
      </c>
      <c r="AA54" s="1436"/>
      <c r="AB54" s="1365">
        <f>SUMIFS('210'!$G:$G,'210'!$B:$B,'DSOAT-T1.2025'!C54)</f>
        <v>500000</v>
      </c>
      <c r="AC54" s="1365"/>
      <c r="AD54" s="1365"/>
      <c r="AE54" s="1365"/>
      <c r="AF54" s="1365"/>
      <c r="AG54" s="1365"/>
      <c r="AH54" s="1365"/>
      <c r="AI54" s="1365"/>
      <c r="AJ54" s="1361">
        <f t="shared" si="35"/>
        <v>20122370</v>
      </c>
      <c r="AK54" s="1362">
        <f t="shared" si="36"/>
        <v>793673</v>
      </c>
      <c r="AL54" s="1363">
        <f t="shared" si="37"/>
        <v>73830</v>
      </c>
      <c r="AM54" s="1363">
        <v>300000</v>
      </c>
      <c r="AN54" s="1363">
        <f t="shared" si="20"/>
        <v>24000</v>
      </c>
      <c r="AO54" s="1363">
        <f t="shared" si="21"/>
        <v>324000</v>
      </c>
      <c r="AP54" s="1362">
        <f t="shared" si="38"/>
        <v>16839128</v>
      </c>
      <c r="AQ54" s="1363">
        <f t="shared" si="39"/>
        <v>387608</v>
      </c>
      <c r="AR54" s="1363">
        <f t="shared" si="40"/>
        <v>36915</v>
      </c>
      <c r="AS54" s="1363">
        <f>VLOOKUP(B54,'Thuế TNCN _T1'!$B$9:$K$86,10,0)</f>
        <v>0</v>
      </c>
      <c r="AT54" s="1366">
        <f t="shared" si="41"/>
        <v>19697847</v>
      </c>
      <c r="AU54" s="1363">
        <f t="shared" si="42"/>
        <v>110745</v>
      </c>
      <c r="AV54" s="1363">
        <f>VLOOKUP(C54,'[13]1'!$B$7:$F$83,5,0)</f>
        <v>1181280</v>
      </c>
      <c r="AW54" s="1366">
        <f t="shared" si="43"/>
        <v>324001</v>
      </c>
      <c r="AX54" s="1374">
        <f t="shared" si="32"/>
        <v>15971625</v>
      </c>
      <c r="AY54" s="1374">
        <f t="shared" si="23"/>
        <v>15971625</v>
      </c>
      <c r="AZ54" s="1374"/>
      <c r="BA54" s="1437">
        <f t="shared" si="44"/>
        <v>1191503</v>
      </c>
      <c r="BB54" s="1437" t="e">
        <f>#REF!</f>
        <v>#REF!</v>
      </c>
      <c r="BC54" s="1437" t="e">
        <f>#REF!</f>
        <v>#REF!</v>
      </c>
      <c r="BD54" s="1437">
        <f t="shared" si="45"/>
        <v>1167503</v>
      </c>
      <c r="BE54" s="1374"/>
      <c r="BF54" s="1374">
        <f>IFERROR(VLOOKUP(B54,'Bảng lương T5.2024'!$B$10:$N$85,13,0),0)</f>
        <v>34775</v>
      </c>
      <c r="BG54" s="1374">
        <f t="shared" si="33"/>
        <v>2140</v>
      </c>
      <c r="BH54" s="1367" t="s">
        <v>87</v>
      </c>
      <c r="BT54" s="1373">
        <f t="shared" si="46"/>
        <v>1167503</v>
      </c>
      <c r="BU54" s="1373">
        <f>IFERROR(VLOOKUP(B54,#REF!,13,0),0)</f>
        <v>0</v>
      </c>
      <c r="BV54" s="1373">
        <f t="shared" si="34"/>
        <v>387608</v>
      </c>
      <c r="CA54" s="1367">
        <v>24</v>
      </c>
      <c r="CB54" s="1369">
        <f t="shared" si="47"/>
        <v>-8316008238</v>
      </c>
      <c r="CH54" s="1367">
        <v>24</v>
      </c>
      <c r="CI54" s="1369">
        <f t="shared" si="48"/>
        <v>8316008238</v>
      </c>
      <c r="CL54" s="1367" t="e">
        <f>VLOOKUP(B54,#REF!,4,0)</f>
        <v>#REF!</v>
      </c>
      <c r="CN54" s="1370">
        <f>IFERROR(VLOOKUP(B54,#REF!,6,0),0)</f>
        <v>0</v>
      </c>
      <c r="CO54" s="1369">
        <f t="shared" si="49"/>
        <v>8316008262</v>
      </c>
      <c r="CQ54" s="1371">
        <v>32184829.918960456</v>
      </c>
      <c r="CR54" s="1372">
        <f t="shared" si="50"/>
        <v>-12062459.918960456</v>
      </c>
      <c r="CS54" s="1371"/>
      <c r="CT54" s="1375">
        <f>IFERROR(VLOOKUP(B54,#REF!,6,0),0)</f>
        <v>0</v>
      </c>
      <c r="CU54" s="1369">
        <f t="shared" si="51"/>
        <v>8316008262</v>
      </c>
    </row>
    <row r="55" spans="1:103" s="1367" customFormat="1" ht="21" customHeight="1">
      <c r="A55" s="1356">
        <v>46</v>
      </c>
      <c r="B55" s="1357" t="s">
        <v>93</v>
      </c>
      <c r="C55" s="1358" t="s">
        <v>94</v>
      </c>
      <c r="D55" s="1359">
        <f>IFERROR(VLOOKUP(B55,'[10]Danh sách CTV'!A$3:G$81,7,0),0)</f>
        <v>4130200.0000000005</v>
      </c>
      <c r="E55" s="1434" t="str">
        <f>VLOOKUP(C55,[11]NhanSu!$D$4:$E$86,2,0)</f>
        <v>8310002344</v>
      </c>
      <c r="F55" s="1360">
        <f>IFERROR(VLOOKUP(B55,'Bảng lương t1.2025'!$B$10:$H$89,7,0),0)</f>
        <v>1911041</v>
      </c>
      <c r="G55" s="1360"/>
      <c r="H55" s="1364"/>
      <c r="I55" s="1452">
        <f>IFERROR(VLOOKUP(B55,'Bảng lương t1.2025'!$B$10:$I$89,8,0),0)</f>
        <v>2288147</v>
      </c>
      <c r="J55" s="1452">
        <f>500000+110000+250000+15730400+4044145</f>
        <v>20634545</v>
      </c>
      <c r="K55" s="1435">
        <f>SUMIFS('64'!$E:$E,'64'!$B:$B,'DSOAT-T1.2025'!C55)</f>
        <v>0</v>
      </c>
      <c r="L55" s="1365">
        <v>11000</v>
      </c>
      <c r="M55" s="1365"/>
      <c r="N55" s="1365"/>
      <c r="O55" s="1365"/>
      <c r="P55" s="1365"/>
      <c r="Q55" s="1365"/>
      <c r="R55" s="1365"/>
      <c r="S55" s="1365"/>
      <c r="T55" s="1365"/>
      <c r="U55" s="1365"/>
      <c r="V55" s="1365"/>
      <c r="W55" s="1365"/>
      <c r="X55" s="1365"/>
      <c r="Y55" s="1365"/>
      <c r="Z55" s="1365">
        <f>IFERROR(VLOOKUP(B55,'[12]CTV thuê lại'!B$9:F$90,5,0),0)</f>
        <v>1939245</v>
      </c>
      <c r="AA55" s="1436"/>
      <c r="AB55" s="1365">
        <f>SUMIFS('210'!$G:$G,'210'!$B:$B,'DSOAT-T1.2025'!C55)</f>
        <v>500000</v>
      </c>
      <c r="AC55" s="1365"/>
      <c r="AD55" s="1365"/>
      <c r="AE55" s="1365"/>
      <c r="AF55" s="1365"/>
      <c r="AG55" s="1365"/>
      <c r="AH55" s="1365"/>
      <c r="AI55" s="1365"/>
      <c r="AJ55" s="1361">
        <f t="shared" si="35"/>
        <v>27283978</v>
      </c>
      <c r="AK55" s="1362">
        <f t="shared" si="36"/>
        <v>887993</v>
      </c>
      <c r="AL55" s="1363">
        <f t="shared" si="37"/>
        <v>82604.000000000015</v>
      </c>
      <c r="AM55" s="1363">
        <v>300000</v>
      </c>
      <c r="AN55" s="1363">
        <f t="shared" si="20"/>
        <v>24000</v>
      </c>
      <c r="AO55" s="1363">
        <f t="shared" si="21"/>
        <v>324000</v>
      </c>
      <c r="AP55" s="1362">
        <f t="shared" si="38"/>
        <v>25815330</v>
      </c>
      <c r="AQ55" s="1363">
        <f t="shared" si="39"/>
        <v>433671</v>
      </c>
      <c r="AR55" s="1387">
        <f t="shared" si="40"/>
        <v>41302.000000000007</v>
      </c>
      <c r="AS55" s="1363">
        <f>VLOOKUP(B55,'Thuế TNCN _T1'!$B$9:$K$86,10,0)</f>
        <v>455031</v>
      </c>
      <c r="AT55" s="1366">
        <f t="shared" si="41"/>
        <v>26353974</v>
      </c>
      <c r="AU55" s="1387">
        <f t="shared" si="42"/>
        <v>123906.00000000003</v>
      </c>
      <c r="AV55" s="1363">
        <f>VLOOKUP(C55,'[13]1'!$B$7:$F$83,5,0)</f>
        <v>1181280</v>
      </c>
      <c r="AW55" s="1366">
        <f t="shared" si="43"/>
        <v>919415</v>
      </c>
      <c r="AX55" s="1374">
        <f t="shared" si="32"/>
        <v>4199188</v>
      </c>
      <c r="AY55" s="1374">
        <f t="shared" si="23"/>
        <v>24844733</v>
      </c>
      <c r="AZ55" s="1374"/>
      <c r="BA55" s="1437">
        <f t="shared" si="44"/>
        <v>21940142</v>
      </c>
      <c r="BB55" s="1437" t="e">
        <f>#REF!</f>
        <v>#REF!</v>
      </c>
      <c r="BC55" s="1437" t="e">
        <f>#REF!</f>
        <v>#REF!</v>
      </c>
      <c r="BD55" s="1437">
        <f t="shared" si="45"/>
        <v>1270597</v>
      </c>
      <c r="BE55" s="1374"/>
      <c r="BF55" s="1374">
        <f>IFERROR(VLOOKUP(B55,'Bảng lương T5.2024'!$B$10:$N$85,13,0),0)</f>
        <v>38948</v>
      </c>
      <c r="BG55" s="1374">
        <f t="shared" si="33"/>
        <v>2354.0000000000073</v>
      </c>
      <c r="BH55" s="1367" t="s">
        <v>92</v>
      </c>
      <c r="BI55" s="1371">
        <v>68451727</v>
      </c>
      <c r="BJ55" s="1386">
        <f>BI55-AS55</f>
        <v>67996696</v>
      </c>
      <c r="BT55" s="1373">
        <f t="shared" si="46"/>
        <v>1270597</v>
      </c>
      <c r="BU55" s="1373">
        <f>IFERROR(VLOOKUP(B55,#REF!,13,0),0)</f>
        <v>0</v>
      </c>
      <c r="BV55" s="1373">
        <f t="shared" si="34"/>
        <v>433671</v>
      </c>
      <c r="CA55" s="1367">
        <v>22.5</v>
      </c>
      <c r="CB55" s="1369">
        <f t="shared" si="47"/>
        <v>-8310002321.5</v>
      </c>
      <c r="CH55" s="1367">
        <v>22.5</v>
      </c>
      <c r="CI55" s="1369">
        <f t="shared" si="48"/>
        <v>8310002321.5</v>
      </c>
      <c r="CL55" s="1367" t="e">
        <f>VLOOKUP(B55,#REF!,4,0)</f>
        <v>#REF!</v>
      </c>
      <c r="CN55" s="1370">
        <f>IFERROR(VLOOKUP(B55,#REF!,6,0),0)</f>
        <v>0</v>
      </c>
      <c r="CO55" s="1369">
        <f t="shared" si="49"/>
        <v>8310002344</v>
      </c>
      <c r="CQ55" s="1371">
        <v>23634651.448678926</v>
      </c>
      <c r="CR55" s="1372">
        <f t="shared" si="50"/>
        <v>3649326.5513210744</v>
      </c>
      <c r="CS55" s="1371"/>
      <c r="CT55" s="1375">
        <f>IFERROR(VLOOKUP(B55,#REF!,6,0),0)</f>
        <v>0</v>
      </c>
      <c r="CU55" s="1369">
        <f t="shared" si="51"/>
        <v>8310002344</v>
      </c>
    </row>
    <row r="56" spans="1:103" s="1367" customFormat="1" ht="21" customHeight="1">
      <c r="A56" s="1356">
        <v>47</v>
      </c>
      <c r="B56" s="1357" t="s">
        <v>164</v>
      </c>
      <c r="C56" s="1358" t="s">
        <v>153</v>
      </c>
      <c r="D56" s="1359">
        <f>IFERROR(VLOOKUP(B56,'[10]Danh sách CTV'!A$3:G$81,7,0),0)</f>
        <v>4130200.0000000005</v>
      </c>
      <c r="E56" s="1434" t="str">
        <f>VLOOKUP(C56,[11]NhanSu!$D$4:$E$86,2,0)</f>
        <v>8321932655</v>
      </c>
      <c r="F56" s="1360">
        <f>IFERROR(VLOOKUP(B56,'Bảng lương t1.2025'!$B$10:$H$89,7,0),0)</f>
        <v>1465286</v>
      </c>
      <c r="G56" s="1360"/>
      <c r="H56" s="1364"/>
      <c r="I56" s="1452">
        <f>IFERROR(VLOOKUP(B56,'Bảng lương t1.2025'!$B$10:$I$89,8,0),0)</f>
        <v>4869014</v>
      </c>
      <c r="J56" s="1452"/>
      <c r="K56" s="1435">
        <f>SUMIFS('64'!$E:$E,'64'!$B:$B,'DSOAT-T1.2025'!C56)</f>
        <v>0</v>
      </c>
      <c r="L56" s="1365"/>
      <c r="M56" s="1365"/>
      <c r="N56" s="1365"/>
      <c r="O56" s="1365"/>
      <c r="P56" s="1365"/>
      <c r="Q56" s="1365"/>
      <c r="R56" s="1365"/>
      <c r="S56" s="1365"/>
      <c r="T56" s="1365"/>
      <c r="U56" s="1365"/>
      <c r="V56" s="1365"/>
      <c r="W56" s="1365"/>
      <c r="X56" s="1365"/>
      <c r="Y56" s="1365"/>
      <c r="Z56" s="1365">
        <f>IFERROR(VLOOKUP(B56,'[12]CTV thuê lại'!B$9:F$90,5,0),0)</f>
        <v>411486</v>
      </c>
      <c r="AA56" s="1436"/>
      <c r="AB56" s="1365">
        <f>SUMIFS('210'!$G:$G,'210'!$B:$B,'DSOAT-T1.2025'!C56)</f>
        <v>200000</v>
      </c>
      <c r="AC56" s="1365"/>
      <c r="AD56" s="1365"/>
      <c r="AE56" s="1365"/>
      <c r="AF56" s="1365"/>
      <c r="AG56" s="1365"/>
      <c r="AH56" s="1365"/>
      <c r="AI56" s="1365"/>
      <c r="AJ56" s="1361">
        <f t="shared" si="35"/>
        <v>6945786</v>
      </c>
      <c r="AK56" s="1362">
        <f t="shared" si="36"/>
        <v>887993</v>
      </c>
      <c r="AL56" s="1363">
        <f t="shared" si="37"/>
        <v>82604.000000000015</v>
      </c>
      <c r="AM56" s="1363">
        <v>300000</v>
      </c>
      <c r="AN56" s="1363">
        <f t="shared" si="20"/>
        <v>24000</v>
      </c>
      <c r="AO56" s="1363">
        <f t="shared" si="21"/>
        <v>324000</v>
      </c>
      <c r="AP56" s="1362">
        <f t="shared" si="38"/>
        <v>7304897</v>
      </c>
      <c r="AQ56" s="1363">
        <f t="shared" si="39"/>
        <v>433671</v>
      </c>
      <c r="AR56" s="1363">
        <f t="shared" si="40"/>
        <v>41302.000000000007</v>
      </c>
      <c r="AS56" s="1363">
        <f>VLOOKUP(B56,'Thuế TNCN _T1'!$B$9:$K$86,10,0)</f>
        <v>0</v>
      </c>
      <c r="AT56" s="1366">
        <f t="shared" si="41"/>
        <v>6470813</v>
      </c>
      <c r="AU56" s="1363">
        <f t="shared" si="42"/>
        <v>123906.00000000003</v>
      </c>
      <c r="AV56" s="1363">
        <f>VLOOKUP(C56,'[13]1'!$B$7:$F$83,5,0)</f>
        <v>1181280</v>
      </c>
      <c r="AW56" s="1366">
        <f t="shared" si="43"/>
        <v>464384</v>
      </c>
      <c r="AX56" s="1374">
        <f t="shared" si="32"/>
        <v>6334300</v>
      </c>
      <c r="AY56" s="1374">
        <f t="shared" si="23"/>
        <v>6334300</v>
      </c>
      <c r="AZ56" s="1374"/>
      <c r="BA56" s="1437">
        <f t="shared" si="44"/>
        <v>1294597</v>
      </c>
      <c r="BB56" s="1437" t="e">
        <f>#REF!</f>
        <v>#REF!</v>
      </c>
      <c r="BC56" s="1437" t="e">
        <f>#REF!</f>
        <v>#REF!</v>
      </c>
      <c r="BD56" s="1437">
        <f t="shared" si="45"/>
        <v>1270597</v>
      </c>
      <c r="BE56" s="1374"/>
      <c r="BF56" s="1374">
        <f>IFERROR(VLOOKUP(B56,'Bảng lương T5.2024'!$B$10:$N$85,13,0),0)</f>
        <v>38948</v>
      </c>
      <c r="BG56" s="1374">
        <f t="shared" si="33"/>
        <v>2354.0000000000073</v>
      </c>
      <c r="BH56" s="1367" t="s">
        <v>92</v>
      </c>
      <c r="BT56" s="1373">
        <f t="shared" si="46"/>
        <v>1270597</v>
      </c>
      <c r="BU56" s="1373">
        <f>IFERROR(VLOOKUP(B56,#REF!,13,0),0)</f>
        <v>0</v>
      </c>
      <c r="BV56" s="1373">
        <f t="shared" si="34"/>
        <v>433671</v>
      </c>
      <c r="CA56" s="1367">
        <v>22.5</v>
      </c>
      <c r="CB56" s="1369">
        <f t="shared" si="47"/>
        <v>-8321932632.5</v>
      </c>
      <c r="CH56" s="1367">
        <v>22.5</v>
      </c>
      <c r="CI56" s="1369">
        <f t="shared" si="48"/>
        <v>8321932632.5</v>
      </c>
      <c r="CL56" s="1367" t="e">
        <f>VLOOKUP(B56,#REF!,4,0)</f>
        <v>#REF!</v>
      </c>
      <c r="CN56" s="1370">
        <f>IFERROR(VLOOKUP(B56,#REF!,6,0),0)</f>
        <v>0</v>
      </c>
      <c r="CO56" s="1369">
        <f t="shared" si="49"/>
        <v>8321932655</v>
      </c>
      <c r="CQ56" s="1371">
        <v>83079692.512475654</v>
      </c>
      <c r="CR56" s="1372">
        <f t="shared" si="50"/>
        <v>-76133906.512475654</v>
      </c>
      <c r="CS56" s="1371"/>
      <c r="CT56" s="1375">
        <f>IFERROR(VLOOKUP(B56,#REF!,6,0),0)</f>
        <v>0</v>
      </c>
      <c r="CU56" s="1369">
        <f t="shared" si="51"/>
        <v>8321932655</v>
      </c>
    </row>
    <row r="57" spans="1:103" s="1367" customFormat="1" ht="21" customHeight="1">
      <c r="A57" s="1356">
        <v>48</v>
      </c>
      <c r="B57" s="1357" t="s">
        <v>18</v>
      </c>
      <c r="C57" s="1358" t="s">
        <v>19</v>
      </c>
      <c r="D57" s="1359">
        <f>IFERROR(VLOOKUP(B57,'[10]Danh sách CTV'!A$3:G$81,7,0),0)</f>
        <v>4130200.0000000005</v>
      </c>
      <c r="E57" s="1434" t="str">
        <f>VLOOKUP(C57,[11]NhanSu!$D$4:$E$86,2,0)</f>
        <v>8322664341</v>
      </c>
      <c r="F57" s="1360">
        <f>IFERROR(VLOOKUP(B57,'Bảng lương t1.2025'!$B$10:$H$89,7,0),0)</f>
        <v>1976006</v>
      </c>
      <c r="G57" s="1360"/>
      <c r="H57" s="1364"/>
      <c r="I57" s="1452">
        <f>IFERROR(VLOOKUP(B57,'Bảng lương t1.2025'!$B$10:$I$89,8,0),0)</f>
        <v>2513383</v>
      </c>
      <c r="J57" s="1452"/>
      <c r="K57" s="1435">
        <f>SUMIFS('64'!$E:$E,'64'!$B:$B,'DSOAT-T1.2025'!C57)</f>
        <v>0</v>
      </c>
      <c r="L57" s="1365"/>
      <c r="M57" s="1365"/>
      <c r="N57" s="1365"/>
      <c r="O57" s="1365"/>
      <c r="P57" s="1365"/>
      <c r="Q57" s="1365"/>
      <c r="R57" s="1365"/>
      <c r="S57" s="1365"/>
      <c r="T57" s="1365"/>
      <c r="U57" s="1365"/>
      <c r="V57" s="1365"/>
      <c r="W57" s="1365"/>
      <c r="X57" s="1365"/>
      <c r="Y57" s="1365"/>
      <c r="Z57" s="1365">
        <f>IFERROR(VLOOKUP(B57,'[12]CTV thuê lại'!B$9:F$90,5,0),0)</f>
        <v>734722</v>
      </c>
      <c r="AA57" s="1436"/>
      <c r="AB57" s="1365">
        <f>SUMIFS('210'!$G:$G,'210'!$B:$B,'DSOAT-T1.2025'!C57)</f>
        <v>200000</v>
      </c>
      <c r="AC57" s="1365"/>
      <c r="AD57" s="1365"/>
      <c r="AE57" s="1365"/>
      <c r="AF57" s="1365"/>
      <c r="AG57" s="1365"/>
      <c r="AH57" s="1365"/>
      <c r="AI57" s="1365"/>
      <c r="AJ57" s="1361">
        <f t="shared" si="35"/>
        <v>5424111</v>
      </c>
      <c r="AK57" s="1362">
        <f t="shared" si="36"/>
        <v>887993</v>
      </c>
      <c r="AL57" s="1363">
        <f t="shared" si="37"/>
        <v>82604.000000000015</v>
      </c>
      <c r="AM57" s="1363">
        <v>300000</v>
      </c>
      <c r="AN57" s="1363">
        <f t="shared" si="20"/>
        <v>24000</v>
      </c>
      <c r="AO57" s="1363">
        <f t="shared" si="21"/>
        <v>324000</v>
      </c>
      <c r="AP57" s="1362">
        <f t="shared" si="38"/>
        <v>5459986</v>
      </c>
      <c r="AQ57" s="1363">
        <f t="shared" si="39"/>
        <v>433671</v>
      </c>
      <c r="AR57" s="1363">
        <f t="shared" si="40"/>
        <v>41302.000000000007</v>
      </c>
      <c r="AS57" s="1363">
        <f>VLOOKUP(B57,'Thuế TNCN _T1'!$B$9:$K$86,10,0)</f>
        <v>0</v>
      </c>
      <c r="AT57" s="1366">
        <f t="shared" si="41"/>
        <v>4949138</v>
      </c>
      <c r="AU57" s="1363">
        <f t="shared" si="42"/>
        <v>123906.00000000003</v>
      </c>
      <c r="AV57" s="1363">
        <f>VLOOKUP(C57,'[13]1'!$B$7:$F$83,5,0)</f>
        <v>1181280</v>
      </c>
      <c r="AW57" s="1366">
        <f t="shared" si="43"/>
        <v>464384</v>
      </c>
      <c r="AX57" s="1374">
        <f t="shared" si="32"/>
        <v>4489389</v>
      </c>
      <c r="AY57" s="1374">
        <f t="shared" si="23"/>
        <v>4489389</v>
      </c>
      <c r="AZ57" s="1374" t="s">
        <v>513</v>
      </c>
      <c r="BA57" s="1437">
        <f t="shared" si="44"/>
        <v>1294597</v>
      </c>
      <c r="BB57" s="1437" t="e">
        <f>#REF!</f>
        <v>#REF!</v>
      </c>
      <c r="BC57" s="1437" t="e">
        <f>#REF!</f>
        <v>#REF!</v>
      </c>
      <c r="BD57" s="1437">
        <f t="shared" si="45"/>
        <v>1270597</v>
      </c>
      <c r="BE57" s="1374"/>
      <c r="BF57" s="1374">
        <f>IFERROR(VLOOKUP(B57,'Bảng lương T5.2024'!$B$10:$N$85,13,0),0)</f>
        <v>0</v>
      </c>
      <c r="BG57" s="1374">
        <f t="shared" si="33"/>
        <v>41302.000000000007</v>
      </c>
      <c r="BH57" s="1367" t="s">
        <v>20</v>
      </c>
      <c r="BT57" s="1373">
        <f t="shared" si="46"/>
        <v>1270597</v>
      </c>
      <c r="BU57" s="1373">
        <f>IFERROR(VLOOKUP(B57,#REF!,13,0),0)</f>
        <v>0</v>
      </c>
      <c r="BV57" s="1373">
        <f t="shared" si="34"/>
        <v>433671</v>
      </c>
      <c r="CA57" s="1367">
        <v>23</v>
      </c>
      <c r="CB57" s="1369">
        <f t="shared" si="47"/>
        <v>-8322664318</v>
      </c>
      <c r="CH57" s="1367">
        <v>23</v>
      </c>
      <c r="CI57" s="1369">
        <f t="shared" si="48"/>
        <v>8322664318</v>
      </c>
      <c r="CL57" s="1367" t="e">
        <f>VLOOKUP(B57,#REF!,4,0)</f>
        <v>#REF!</v>
      </c>
      <c r="CN57" s="1370">
        <f>IFERROR(VLOOKUP(B57,#REF!,6,0),0)</f>
        <v>0</v>
      </c>
      <c r="CO57" s="1369">
        <f t="shared" si="49"/>
        <v>8322664341</v>
      </c>
      <c r="CP57" s="1367" t="s">
        <v>903</v>
      </c>
      <c r="CQ57" s="1371">
        <v>18062060</v>
      </c>
      <c r="CR57" s="1372">
        <f t="shared" si="50"/>
        <v>-12637949</v>
      </c>
      <c r="CS57" s="1371"/>
      <c r="CT57" s="1375">
        <f>IFERROR(VLOOKUP(B57,#REF!,6,0),0)</f>
        <v>0</v>
      </c>
      <c r="CU57" s="1369">
        <f t="shared" si="51"/>
        <v>8322664341</v>
      </c>
    </row>
    <row r="58" spans="1:103" s="1367" customFormat="1" ht="21" customHeight="1">
      <c r="A58" s="1356">
        <v>49</v>
      </c>
      <c r="B58" s="1357" t="s">
        <v>95</v>
      </c>
      <c r="C58" s="1358" t="s">
        <v>96</v>
      </c>
      <c r="D58" s="1359">
        <f>IFERROR(VLOOKUP(B58,'[10]Danh sách CTV'!A$3:G$81,7,0),0)</f>
        <v>4130200.0000000005</v>
      </c>
      <c r="E58" s="1434" t="str">
        <f>VLOOKUP(C58,[11]NhanSu!$D$4:$E$86,2,0)</f>
        <v>8316008418</v>
      </c>
      <c r="F58" s="1360">
        <f>IFERROR(VLOOKUP(B58,'Bảng lương t1.2025'!$B$10:$H$89,7,0),0)</f>
        <v>1948675</v>
      </c>
      <c r="G58" s="1360"/>
      <c r="H58" s="1364"/>
      <c r="I58" s="1452">
        <f>IFERROR(VLOOKUP(B58,'Bảng lương t1.2025'!$B$10:$I$89,8,0),0)</f>
        <v>7942203</v>
      </c>
      <c r="J58" s="1452"/>
      <c r="K58" s="1435">
        <f>SUMIFS('64'!$E:$E,'64'!$B:$B,'DSOAT-T1.2025'!C58)</f>
        <v>0</v>
      </c>
      <c r="L58" s="1365"/>
      <c r="M58" s="1365"/>
      <c r="N58" s="1365"/>
      <c r="O58" s="1365"/>
      <c r="P58" s="1365"/>
      <c r="Q58" s="1365"/>
      <c r="R58" s="1365"/>
      <c r="S58" s="1365"/>
      <c r="T58" s="1365"/>
      <c r="U58" s="1365"/>
      <c r="V58" s="1365"/>
      <c r="W58" s="1365"/>
      <c r="X58" s="1365"/>
      <c r="Y58" s="1365"/>
      <c r="Z58" s="1365">
        <f>IFERROR(VLOOKUP(B58,'[12]CTV thuê lại'!B$9:F$90,5,0),0)</f>
        <v>2226844</v>
      </c>
      <c r="AA58" s="1436"/>
      <c r="AB58" s="1365">
        <f>SUMIFS('210'!$G:$G,'210'!$B:$B,'DSOAT-T1.2025'!C58)</f>
        <v>200000</v>
      </c>
      <c r="AC58" s="1365"/>
      <c r="AD58" s="1365"/>
      <c r="AE58" s="1365"/>
      <c r="AF58" s="1365"/>
      <c r="AG58" s="1365"/>
      <c r="AH58" s="1365"/>
      <c r="AI58" s="1365"/>
      <c r="AJ58" s="1361">
        <f t="shared" si="35"/>
        <v>12317722</v>
      </c>
      <c r="AK58" s="1362">
        <f t="shared" si="36"/>
        <v>887993</v>
      </c>
      <c r="AL58" s="1363">
        <f t="shared" si="37"/>
        <v>82604.000000000015</v>
      </c>
      <c r="AM58" s="1363">
        <v>300000</v>
      </c>
      <c r="AN58" s="1363">
        <f t="shared" si="20"/>
        <v>24000</v>
      </c>
      <c r="AO58" s="1363">
        <f t="shared" si="21"/>
        <v>324000</v>
      </c>
      <c r="AP58" s="1362">
        <f t="shared" si="38"/>
        <v>10861475</v>
      </c>
      <c r="AQ58" s="1363">
        <f t="shared" si="39"/>
        <v>433671</v>
      </c>
      <c r="AR58" s="1363">
        <f t="shared" si="40"/>
        <v>41302.000000000007</v>
      </c>
      <c r="AS58" s="1363">
        <f>VLOOKUP(B58,'Thuế TNCN _T1'!$B$9:$K$86,10,0)</f>
        <v>44203</v>
      </c>
      <c r="AT58" s="1366">
        <f t="shared" si="41"/>
        <v>11798546</v>
      </c>
      <c r="AU58" s="1363">
        <f t="shared" si="42"/>
        <v>123906.00000000003</v>
      </c>
      <c r="AV58" s="1363">
        <f>VLOOKUP(C58,'[13]1'!$B$7:$F$83,5,0)</f>
        <v>1181280</v>
      </c>
      <c r="AW58" s="1366">
        <f t="shared" si="43"/>
        <v>508587</v>
      </c>
      <c r="AX58" s="1374">
        <f t="shared" si="32"/>
        <v>9890878</v>
      </c>
      <c r="AY58" s="1374">
        <f t="shared" si="23"/>
        <v>9890878</v>
      </c>
      <c r="AZ58" s="1374"/>
      <c r="BA58" s="1437">
        <f t="shared" si="44"/>
        <v>1294597</v>
      </c>
      <c r="BB58" s="1437" t="e">
        <f>#REF!</f>
        <v>#REF!</v>
      </c>
      <c r="BC58" s="1437" t="e">
        <f>#REF!</f>
        <v>#REF!</v>
      </c>
      <c r="BD58" s="1437">
        <f t="shared" si="45"/>
        <v>1270597</v>
      </c>
      <c r="BE58" s="1374"/>
      <c r="BF58" s="1374">
        <f>IFERROR(VLOOKUP(B58,'Bảng lương T5.2024'!$B$10:$N$85,13,0),0)</f>
        <v>38948</v>
      </c>
      <c r="BG58" s="1374">
        <f t="shared" si="33"/>
        <v>2354.0000000000073</v>
      </c>
      <c r="BH58" s="1367" t="s">
        <v>20</v>
      </c>
      <c r="BT58" s="1373">
        <f t="shared" si="46"/>
        <v>1270597</v>
      </c>
      <c r="BU58" s="1373">
        <f>IFERROR(VLOOKUP(B58,#REF!,13,0),0)</f>
        <v>0</v>
      </c>
      <c r="BV58" s="1373">
        <f t="shared" si="34"/>
        <v>433671</v>
      </c>
      <c r="CA58" s="1367">
        <v>23</v>
      </c>
      <c r="CB58" s="1369">
        <f t="shared" si="47"/>
        <v>-8316008395</v>
      </c>
      <c r="CH58" s="1367">
        <v>23</v>
      </c>
      <c r="CI58" s="1369">
        <f t="shared" si="48"/>
        <v>8316008395</v>
      </c>
      <c r="CL58" s="1367" t="e">
        <f>VLOOKUP(B58,#REF!,4,0)</f>
        <v>#REF!</v>
      </c>
      <c r="CN58" s="1370">
        <f>IFERROR(VLOOKUP(B58,#REF!,6,0),0)</f>
        <v>0</v>
      </c>
      <c r="CO58" s="1369">
        <f t="shared" si="49"/>
        <v>8316008418</v>
      </c>
      <c r="CQ58" s="1371">
        <v>19765906</v>
      </c>
      <c r="CR58" s="1372">
        <f t="shared" si="50"/>
        <v>-7448184</v>
      </c>
      <c r="CS58" s="1371"/>
      <c r="CT58" s="1375">
        <f>IFERROR(VLOOKUP(B58,#REF!,6,0),0)</f>
        <v>0</v>
      </c>
      <c r="CU58" s="1369">
        <f t="shared" si="51"/>
        <v>8316008418</v>
      </c>
    </row>
    <row r="59" spans="1:103" s="1367" customFormat="1" ht="21" customHeight="1">
      <c r="A59" s="1356">
        <v>50</v>
      </c>
      <c r="B59" s="1357" t="s">
        <v>97</v>
      </c>
      <c r="C59" s="1358" t="s">
        <v>98</v>
      </c>
      <c r="D59" s="1359">
        <f>IFERROR(VLOOKUP(B59,'[10]Danh sách CTV'!A$3:G$81,7,0),0)</f>
        <v>4130200.0000000005</v>
      </c>
      <c r="E59" s="1434" t="str">
        <f>VLOOKUP(C59,[11]NhanSu!$D$4:$E$86,2,0)</f>
        <v>8322013908</v>
      </c>
      <c r="F59" s="1360">
        <f>IFERROR(VLOOKUP(B59,'Bảng lương t1.2025'!$B$10:$H$89,7,0),0)</f>
        <v>2160622</v>
      </c>
      <c r="G59" s="1360"/>
      <c r="H59" s="1364"/>
      <c r="I59" s="1452">
        <f>IFERROR(VLOOKUP(B59,'Bảng lương t1.2025'!$B$10:$I$89,8,0),0)</f>
        <v>4056736</v>
      </c>
      <c r="J59" s="1452"/>
      <c r="K59" s="1435">
        <f>SUMIFS('64'!$E:$E,'64'!$B:$B,'DSOAT-T1.2025'!C59)</f>
        <v>0</v>
      </c>
      <c r="L59" s="1365"/>
      <c r="M59" s="1365"/>
      <c r="N59" s="1365"/>
      <c r="O59" s="1365"/>
      <c r="P59" s="1365"/>
      <c r="Q59" s="1365"/>
      <c r="R59" s="1365"/>
      <c r="S59" s="1365"/>
      <c r="T59" s="1365"/>
      <c r="U59" s="1365"/>
      <c r="V59" s="1365"/>
      <c r="W59" s="1365"/>
      <c r="X59" s="1365"/>
      <c r="Y59" s="1365"/>
      <c r="Z59" s="1365">
        <f>IFERROR(VLOOKUP(B59,'[12]CTV thuê lại'!B$9:F$90,5,0),0)</f>
        <v>1902795</v>
      </c>
      <c r="AA59" s="1436"/>
      <c r="AB59" s="1365">
        <f>SUMIFS('210'!$G:$G,'210'!$B:$B,'DSOAT-T1.2025'!C59)</f>
        <v>500000</v>
      </c>
      <c r="AC59" s="1365"/>
      <c r="AD59" s="1365"/>
      <c r="AE59" s="1365"/>
      <c r="AF59" s="1365"/>
      <c r="AG59" s="1365"/>
      <c r="AH59" s="1365"/>
      <c r="AI59" s="1365"/>
      <c r="AJ59" s="1361">
        <f t="shared" si="35"/>
        <v>8620153</v>
      </c>
      <c r="AK59" s="1362">
        <f t="shared" si="36"/>
        <v>887993</v>
      </c>
      <c r="AL59" s="1363">
        <f t="shared" si="37"/>
        <v>82604.000000000015</v>
      </c>
      <c r="AM59" s="1363">
        <v>300000</v>
      </c>
      <c r="AN59" s="1363">
        <f t="shared" si="20"/>
        <v>24000</v>
      </c>
      <c r="AO59" s="1363">
        <f t="shared" si="21"/>
        <v>324000</v>
      </c>
      <c r="AP59" s="1362">
        <f t="shared" si="38"/>
        <v>7187955</v>
      </c>
      <c r="AQ59" s="1363">
        <f t="shared" si="39"/>
        <v>433671</v>
      </c>
      <c r="AR59" s="1363">
        <f t="shared" si="40"/>
        <v>41302.000000000007</v>
      </c>
      <c r="AS59" s="1363">
        <f>VLOOKUP(B59,'Thuế TNCN _T1'!$B$9:$K$86,10,0)</f>
        <v>0</v>
      </c>
      <c r="AT59" s="1366">
        <f t="shared" si="41"/>
        <v>8145180</v>
      </c>
      <c r="AU59" s="1363">
        <f t="shared" si="42"/>
        <v>123906.00000000003</v>
      </c>
      <c r="AV59" s="1363">
        <f>VLOOKUP(C59,'[13]1'!$B$7:$F$83,5,0)</f>
        <v>1181280</v>
      </c>
      <c r="AW59" s="1366">
        <f t="shared" si="43"/>
        <v>464384</v>
      </c>
      <c r="AX59" s="1374">
        <f t="shared" si="32"/>
        <v>6217358</v>
      </c>
      <c r="AY59" s="1374">
        <f t="shared" si="23"/>
        <v>6217358</v>
      </c>
      <c r="AZ59" s="1374"/>
      <c r="BA59" s="1437">
        <f t="shared" si="44"/>
        <v>1294597</v>
      </c>
      <c r="BB59" s="1437" t="e">
        <f>#REF!</f>
        <v>#REF!</v>
      </c>
      <c r="BC59" s="1437" t="e">
        <f>#REF!</f>
        <v>#REF!</v>
      </c>
      <c r="BD59" s="1437">
        <f t="shared" si="45"/>
        <v>1270597</v>
      </c>
      <c r="BE59" s="1374"/>
      <c r="BF59" s="1374">
        <f>IFERROR(VLOOKUP(B59,'Bảng lương T5.2024'!$B$10:$N$85,13,0),0)</f>
        <v>38948</v>
      </c>
      <c r="BG59" s="1374">
        <f t="shared" si="33"/>
        <v>2354.0000000000073</v>
      </c>
      <c r="BH59" s="1367" t="s">
        <v>20</v>
      </c>
      <c r="BT59" s="1373">
        <f t="shared" si="46"/>
        <v>1270597</v>
      </c>
      <c r="BU59" s="1373">
        <f>IFERROR(VLOOKUP(B59,#REF!,13,0),0)</f>
        <v>0</v>
      </c>
      <c r="BV59" s="1373">
        <f t="shared" si="34"/>
        <v>433671</v>
      </c>
      <c r="CA59" s="1367">
        <v>22.5</v>
      </c>
      <c r="CB59" s="1369">
        <f t="shared" si="47"/>
        <v>-8322013885.5</v>
      </c>
      <c r="CH59" s="1367">
        <v>22.5</v>
      </c>
      <c r="CI59" s="1369">
        <f t="shared" si="48"/>
        <v>8322013885.5</v>
      </c>
      <c r="CL59" s="1367" t="e">
        <f>VLOOKUP(B59,#REF!,4,0)</f>
        <v>#REF!</v>
      </c>
      <c r="CN59" s="1370">
        <f>IFERROR(VLOOKUP(B59,#REF!,6,0),0)</f>
        <v>0</v>
      </c>
      <c r="CO59" s="1369">
        <f t="shared" si="49"/>
        <v>8322013908</v>
      </c>
      <c r="CQ59" s="1371">
        <v>22692056</v>
      </c>
      <c r="CR59" s="1372">
        <f t="shared" si="50"/>
        <v>-14071903</v>
      </c>
      <c r="CS59" s="1371"/>
      <c r="CT59" s="1375">
        <f>IFERROR(VLOOKUP(B59,#REF!,6,0),0)</f>
        <v>0</v>
      </c>
      <c r="CU59" s="1369">
        <f t="shared" si="51"/>
        <v>8322013908</v>
      </c>
    </row>
    <row r="60" spans="1:103" s="1367" customFormat="1" ht="21" customHeight="1">
      <c r="A60" s="1356">
        <v>51</v>
      </c>
      <c r="B60" s="1357" t="s">
        <v>101</v>
      </c>
      <c r="C60" s="1358" t="s">
        <v>102</v>
      </c>
      <c r="D60" s="1359">
        <f>IFERROR(VLOOKUP(B60,'[10]Danh sách CTV'!A$3:G$81,7,0),0)</f>
        <v>4130200.0000000005</v>
      </c>
      <c r="E60" s="1434" t="str">
        <f>VLOOKUP(C60,[11]NhanSu!$D$4:$E$86,2,0)</f>
        <v>7913281950</v>
      </c>
      <c r="F60" s="1360">
        <f>IFERROR(VLOOKUP(B60,'Bảng lương t1.2025'!$B$10:$H$89,7,0),0)</f>
        <v>6757993</v>
      </c>
      <c r="G60" s="1360"/>
      <c r="H60" s="1364"/>
      <c r="I60" s="1452">
        <f>IFERROR(VLOOKUP(B60,'Bảng lương t1.2025'!$B$10:$I$89,8,0),0)</f>
        <v>0</v>
      </c>
      <c r="J60" s="1452"/>
      <c r="K60" s="1435">
        <f>SUMIFS('64'!$E:$E,'64'!$B:$B,'DSOAT-T1.2025'!C60)</f>
        <v>0</v>
      </c>
      <c r="L60" s="1365"/>
      <c r="M60" s="1365"/>
      <c r="N60" s="1365"/>
      <c r="O60" s="1365"/>
      <c r="P60" s="1365"/>
      <c r="Q60" s="1365"/>
      <c r="R60" s="1365"/>
      <c r="S60" s="1365"/>
      <c r="T60" s="1365"/>
      <c r="U60" s="1365"/>
      <c r="V60" s="1365"/>
      <c r="W60" s="1365"/>
      <c r="X60" s="1365"/>
      <c r="Y60" s="1365"/>
      <c r="Z60" s="1365">
        <f>IFERROR(VLOOKUP(B60,'[12]CTV thuê lại'!B$9:F$90,5,0),0)</f>
        <v>1845153</v>
      </c>
      <c r="AA60" s="1436"/>
      <c r="AB60" s="1365">
        <f>SUMIFS('210'!$G:$G,'210'!$B:$B,'DSOAT-T1.2025'!C60)</f>
        <v>200000</v>
      </c>
      <c r="AC60" s="1365"/>
      <c r="AD60" s="1365"/>
      <c r="AE60" s="1365"/>
      <c r="AF60" s="1365"/>
      <c r="AG60" s="1365"/>
      <c r="AH60" s="1365"/>
      <c r="AI60" s="1365"/>
      <c r="AJ60" s="1361">
        <f t="shared" si="35"/>
        <v>8803146</v>
      </c>
      <c r="AK60" s="1362">
        <f t="shared" si="36"/>
        <v>887993</v>
      </c>
      <c r="AL60" s="1363">
        <f t="shared" si="37"/>
        <v>82604.000000000015</v>
      </c>
      <c r="AM60" s="1363">
        <v>300000</v>
      </c>
      <c r="AN60" s="1363">
        <f t="shared" si="20"/>
        <v>24000</v>
      </c>
      <c r="AO60" s="1363">
        <f t="shared" si="21"/>
        <v>324000</v>
      </c>
      <c r="AP60" s="1362">
        <f t="shared" si="38"/>
        <v>7728590</v>
      </c>
      <c r="AQ60" s="1363">
        <f t="shared" si="39"/>
        <v>433671</v>
      </c>
      <c r="AR60" s="1387">
        <f t="shared" si="40"/>
        <v>41302.000000000007</v>
      </c>
      <c r="AS60" s="1363">
        <f>VLOOKUP(B60,'Thuế TNCN _T1'!$B$9:$K$86,10,0)</f>
        <v>0</v>
      </c>
      <c r="AT60" s="1366">
        <f t="shared" si="41"/>
        <v>8328173</v>
      </c>
      <c r="AU60" s="1387">
        <f t="shared" si="42"/>
        <v>123906.00000000003</v>
      </c>
      <c r="AV60" s="1363">
        <f>VLOOKUP(C60,'[13]1'!$B$7:$F$83,5,0)</f>
        <v>1181280</v>
      </c>
      <c r="AW60" s="1366">
        <f t="shared" si="43"/>
        <v>464384</v>
      </c>
      <c r="AX60" s="1374">
        <f t="shared" si="32"/>
        <v>6757993</v>
      </c>
      <c r="AY60" s="1374">
        <f t="shared" si="23"/>
        <v>6757993</v>
      </c>
      <c r="AZ60" s="1374"/>
      <c r="BA60" s="1437">
        <f t="shared" si="44"/>
        <v>1294597</v>
      </c>
      <c r="BB60" s="1437" t="e">
        <f>#REF!</f>
        <v>#REF!</v>
      </c>
      <c r="BC60" s="1437" t="e">
        <f>#REF!</f>
        <v>#REF!</v>
      </c>
      <c r="BD60" s="1437">
        <f t="shared" si="45"/>
        <v>1270597</v>
      </c>
      <c r="BE60" s="1374"/>
      <c r="BF60" s="1374">
        <f>IFERROR(VLOOKUP(B60,'Bảng lương T5.2024'!$B$10:$N$85,13,0),0)</f>
        <v>38948</v>
      </c>
      <c r="BG60" s="1374">
        <f t="shared" si="33"/>
        <v>2354.0000000000073</v>
      </c>
      <c r="BH60" s="1367" t="s">
        <v>20</v>
      </c>
      <c r="BT60" s="1373">
        <f t="shared" si="46"/>
        <v>1270597</v>
      </c>
      <c r="BU60" s="1373">
        <f>IFERROR(VLOOKUP(B60,#REF!,13,0),0)</f>
        <v>0</v>
      </c>
      <c r="BV60" s="1373">
        <f t="shared" si="34"/>
        <v>433671</v>
      </c>
      <c r="CA60" s="1367">
        <v>22.5</v>
      </c>
      <c r="CB60" s="1369">
        <f t="shared" si="47"/>
        <v>-7913281927.5</v>
      </c>
      <c r="CH60" s="1367">
        <v>22.5</v>
      </c>
      <c r="CI60" s="1369">
        <f t="shared" si="48"/>
        <v>7913281927.5</v>
      </c>
      <c r="CL60" s="1367" t="e">
        <f>VLOOKUP(B60,#REF!,4,0)</f>
        <v>#REF!</v>
      </c>
      <c r="CN60" s="1370">
        <f>IFERROR(VLOOKUP(B60,#REF!,6,0),0)</f>
        <v>0</v>
      </c>
      <c r="CO60" s="1369">
        <f t="shared" si="49"/>
        <v>7913281950</v>
      </c>
      <c r="CQ60" s="1371">
        <v>16268800</v>
      </c>
      <c r="CR60" s="1372">
        <f t="shared" si="50"/>
        <v>-7465654</v>
      </c>
      <c r="CS60" s="1371"/>
      <c r="CT60" s="1375">
        <f>IFERROR(VLOOKUP(B60,#REF!,6,0),0)</f>
        <v>0</v>
      </c>
      <c r="CU60" s="1369">
        <f t="shared" si="51"/>
        <v>7913281950</v>
      </c>
      <c r="CY60" s="1367" t="s">
        <v>222</v>
      </c>
    </row>
    <row r="61" spans="1:103" s="1367" customFormat="1" ht="21" customHeight="1">
      <c r="A61" s="1356">
        <v>53</v>
      </c>
      <c r="B61" s="1357" t="s">
        <v>163</v>
      </c>
      <c r="C61" s="1358" t="s">
        <v>154</v>
      </c>
      <c r="D61" s="1359">
        <f>IFERROR(VLOOKUP(B61,'[10]Danh sách CTV'!A$3:G$81,7,0),0)</f>
        <v>4130200.0000000005</v>
      </c>
      <c r="E61" s="1434" t="str">
        <f>VLOOKUP(C61,[11]NhanSu!$D$4:$E$86,2,0)</f>
        <v>8322027400</v>
      </c>
      <c r="F61" s="1360">
        <f>IFERROR(VLOOKUP(B61,'Bảng lương t1.2025'!$B$10:$H$89,7,0),0)</f>
        <v>2788614</v>
      </c>
      <c r="G61" s="1360"/>
      <c r="H61" s="1364"/>
      <c r="I61" s="1452">
        <f>IFERROR(VLOOKUP(B61,'Bảng lương t1.2025'!$B$10:$I$89,8,0),0)</f>
        <v>8275478</v>
      </c>
      <c r="J61" s="1452"/>
      <c r="K61" s="1435">
        <f>SUMIFS('64'!$E:$E,'64'!$B:$B,'DSOAT-T1.2025'!C61)</f>
        <v>0</v>
      </c>
      <c r="L61" s="1365"/>
      <c r="M61" s="1365"/>
      <c r="N61" s="1365"/>
      <c r="O61" s="1365"/>
      <c r="P61" s="1365"/>
      <c r="Q61" s="1365"/>
      <c r="R61" s="1365"/>
      <c r="S61" s="1365"/>
      <c r="T61" s="1365"/>
      <c r="U61" s="1365"/>
      <c r="V61" s="1365"/>
      <c r="W61" s="1365"/>
      <c r="X61" s="1365"/>
      <c r="Y61" s="1365"/>
      <c r="Z61" s="1365">
        <f>IFERROR(VLOOKUP(B61,'[12]CTV thuê lại'!B$9:F$90,5,0),0)</f>
        <v>3130320</v>
      </c>
      <c r="AA61" s="1436"/>
      <c r="AB61" s="1365">
        <f>SUMIFS('210'!$G:$G,'210'!$B:$B,'DSOAT-T1.2025'!C61)</f>
        <v>500000</v>
      </c>
      <c r="AC61" s="1365"/>
      <c r="AD61" s="1365"/>
      <c r="AE61" s="1365"/>
      <c r="AF61" s="1365"/>
      <c r="AG61" s="1365"/>
      <c r="AH61" s="1365"/>
      <c r="AI61" s="1365"/>
      <c r="AJ61" s="1361">
        <f t="shared" si="35"/>
        <v>14694412</v>
      </c>
      <c r="AK61" s="1362">
        <f t="shared" si="36"/>
        <v>887993</v>
      </c>
      <c r="AL61" s="1363">
        <f t="shared" si="37"/>
        <v>82604.000000000015</v>
      </c>
      <c r="AM61" s="1363">
        <v>300000</v>
      </c>
      <c r="AN61" s="1363">
        <f t="shared" si="20"/>
        <v>24000</v>
      </c>
      <c r="AO61" s="1363">
        <f t="shared" si="21"/>
        <v>324000</v>
      </c>
      <c r="AP61" s="1362">
        <f t="shared" si="38"/>
        <v>12034689</v>
      </c>
      <c r="AQ61" s="1363">
        <f t="shared" si="39"/>
        <v>433671</v>
      </c>
      <c r="AR61" s="1363">
        <f t="shared" si="40"/>
        <v>41302.000000000007</v>
      </c>
      <c r="AS61" s="1363">
        <f>VLOOKUP(B61,'Thuế TNCN _T1'!$B$9:$K$86,10,0)</f>
        <v>0</v>
      </c>
      <c r="AT61" s="1366">
        <f t="shared" si="41"/>
        <v>14219439</v>
      </c>
      <c r="AU61" s="1363">
        <f t="shared" si="42"/>
        <v>123906.00000000003</v>
      </c>
      <c r="AV61" s="1363">
        <f>VLOOKUP(C61,'[13]1'!$B$7:$F$83,5,0)</f>
        <v>1181280</v>
      </c>
      <c r="AW61" s="1366">
        <f t="shared" si="43"/>
        <v>464384</v>
      </c>
      <c r="AX61" s="1374">
        <f t="shared" si="32"/>
        <v>11064092</v>
      </c>
      <c r="AY61" s="1374">
        <f t="shared" si="23"/>
        <v>11064092</v>
      </c>
      <c r="AZ61" s="1374"/>
      <c r="BA61" s="1437">
        <f t="shared" si="44"/>
        <v>1294597</v>
      </c>
      <c r="BB61" s="1437" t="e">
        <f>#REF!</f>
        <v>#REF!</v>
      </c>
      <c r="BC61" s="1437" t="e">
        <f>#REF!</f>
        <v>#REF!</v>
      </c>
      <c r="BD61" s="1437">
        <f t="shared" si="45"/>
        <v>1270597</v>
      </c>
      <c r="BE61" s="1374"/>
      <c r="BF61" s="1374">
        <f>IFERROR(VLOOKUP(B61,'Bảng lương T5.2024'!$B$10:$N$85,13,0),0)</f>
        <v>38948</v>
      </c>
      <c r="BG61" s="1374">
        <f t="shared" si="33"/>
        <v>2354.0000000000073</v>
      </c>
      <c r="BH61" s="1367" t="s">
        <v>20</v>
      </c>
      <c r="BT61" s="1373">
        <f t="shared" si="46"/>
        <v>1270597</v>
      </c>
      <c r="BU61" s="1373">
        <f>IFERROR(VLOOKUP(B61,#REF!,13,0),0)</f>
        <v>0</v>
      </c>
      <c r="BV61" s="1373">
        <f t="shared" si="34"/>
        <v>433671</v>
      </c>
      <c r="CA61" s="1367">
        <v>22.5</v>
      </c>
      <c r="CB61" s="1369">
        <f t="shared" si="47"/>
        <v>-8322027377.5</v>
      </c>
      <c r="CH61" s="1367">
        <v>22.5</v>
      </c>
      <c r="CI61" s="1369">
        <f t="shared" si="48"/>
        <v>8322027377.5</v>
      </c>
      <c r="CL61" s="1367" t="e">
        <f>VLOOKUP(B61,#REF!,4,0)</f>
        <v>#REF!</v>
      </c>
      <c r="CN61" s="1370">
        <f>IFERROR(VLOOKUP(B61,#REF!,6,0),0)</f>
        <v>0</v>
      </c>
      <c r="CO61" s="1369">
        <f t="shared" si="49"/>
        <v>8322027400</v>
      </c>
      <c r="CQ61" s="1371">
        <v>22429805</v>
      </c>
      <c r="CR61" s="1372">
        <f t="shared" si="50"/>
        <v>-7735393</v>
      </c>
      <c r="CS61" s="1371"/>
      <c r="CT61" s="1375">
        <f>IFERROR(VLOOKUP(B61,#REF!,6,0),0)</f>
        <v>0</v>
      </c>
      <c r="CU61" s="1369">
        <f t="shared" si="51"/>
        <v>8322027400</v>
      </c>
    </row>
    <row r="62" spans="1:103" s="1367" customFormat="1" ht="21" customHeight="1">
      <c r="A62" s="1356">
        <v>55</v>
      </c>
      <c r="B62" s="1357" t="s">
        <v>209</v>
      </c>
      <c r="C62" s="1358" t="s">
        <v>210</v>
      </c>
      <c r="D62" s="1359">
        <f>IFERROR(VLOOKUP(B62,'[10]Danh sách CTV'!A$3:G$81,7,0),0)</f>
        <v>4130200.0000000005</v>
      </c>
      <c r="E62" s="1434" t="str">
        <f>VLOOKUP(C62,[11]NhanSu!$D$4:$E$86,2,0)</f>
        <v>8322757665</v>
      </c>
      <c r="F62" s="1360">
        <f>IFERROR(VLOOKUP(B62,'Bảng lương t1.2025'!$B$10:$H$89,7,0),0)</f>
        <v>2917499</v>
      </c>
      <c r="G62" s="1360"/>
      <c r="H62" s="1364"/>
      <c r="I62" s="1452">
        <f>IFERROR(VLOOKUP(B62,'Bảng lương t1.2025'!$B$10:$I$89,8,0),0)</f>
        <v>10994226</v>
      </c>
      <c r="J62" s="1452"/>
      <c r="K62" s="1435">
        <f>SUMIFS('64'!$E:$E,'64'!$B:$B,'DSOAT-T1.2025'!C62)</f>
        <v>0</v>
      </c>
      <c r="L62" s="1365"/>
      <c r="M62" s="1365"/>
      <c r="N62" s="1365"/>
      <c r="O62" s="1365"/>
      <c r="P62" s="1365"/>
      <c r="Q62" s="1365"/>
      <c r="R62" s="1365"/>
      <c r="S62" s="1365"/>
      <c r="T62" s="1365"/>
      <c r="U62" s="1365"/>
      <c r="V62" s="1365"/>
      <c r="W62" s="1365"/>
      <c r="X62" s="1365"/>
      <c r="Y62" s="1365"/>
      <c r="Z62" s="1365">
        <f>IFERROR(VLOOKUP(B62,'[12]CTV thuê lại'!B$9:F$90,5,0),0)</f>
        <v>2861499</v>
      </c>
      <c r="AA62" s="1436"/>
      <c r="AB62" s="1365">
        <f>SUMIFS('210'!$G:$G,'210'!$B:$B,'DSOAT-T1.2025'!C62)</f>
        <v>200000</v>
      </c>
      <c r="AC62" s="1365"/>
      <c r="AD62" s="1365"/>
      <c r="AE62" s="1365"/>
      <c r="AF62" s="1365"/>
      <c r="AG62" s="1365"/>
      <c r="AH62" s="1365"/>
      <c r="AI62" s="1365"/>
      <c r="AJ62" s="1361">
        <f t="shared" si="35"/>
        <v>16973224</v>
      </c>
      <c r="AK62" s="1362">
        <f t="shared" si="36"/>
        <v>887993</v>
      </c>
      <c r="AL62" s="1363">
        <f t="shared" si="37"/>
        <v>82604.000000000015</v>
      </c>
      <c r="AM62" s="1363">
        <v>300000</v>
      </c>
      <c r="AN62" s="1363">
        <f t="shared" si="20"/>
        <v>24000</v>
      </c>
      <c r="AO62" s="1363">
        <f t="shared" si="21"/>
        <v>324000</v>
      </c>
      <c r="AP62" s="1362">
        <f t="shared" si="38"/>
        <v>14882322</v>
      </c>
      <c r="AQ62" s="1363">
        <f t="shared" si="39"/>
        <v>433671</v>
      </c>
      <c r="AR62" s="1363">
        <f t="shared" si="40"/>
        <v>41302.000000000007</v>
      </c>
      <c r="AS62" s="1363">
        <f>VLOOKUP(B62,'Thuế TNCN _T1'!$B$9:$K$86,10,0)</f>
        <v>56978</v>
      </c>
      <c r="AT62" s="1366">
        <f t="shared" si="41"/>
        <v>16441273</v>
      </c>
      <c r="AU62" s="1363">
        <f t="shared" si="42"/>
        <v>123906.00000000003</v>
      </c>
      <c r="AV62" s="1363">
        <f>VLOOKUP(C62,'[13]1'!$B$7:$F$83,5,0)</f>
        <v>1181280</v>
      </c>
      <c r="AW62" s="1366">
        <f t="shared" si="43"/>
        <v>521362</v>
      </c>
      <c r="AX62" s="1374">
        <f t="shared" si="32"/>
        <v>13911725</v>
      </c>
      <c r="AY62" s="1374">
        <f t="shared" si="23"/>
        <v>13911725</v>
      </c>
      <c r="AZ62" s="1374"/>
      <c r="BA62" s="1437">
        <f t="shared" si="44"/>
        <v>1294597</v>
      </c>
      <c r="BB62" s="1437" t="e">
        <f>#REF!</f>
        <v>#REF!</v>
      </c>
      <c r="BC62" s="1437" t="e">
        <f>#REF!</f>
        <v>#REF!</v>
      </c>
      <c r="BD62" s="1437">
        <f t="shared" si="45"/>
        <v>1270597</v>
      </c>
      <c r="BE62" s="1374"/>
      <c r="BF62" s="1374">
        <f>IFERROR(VLOOKUP(B62,'Bảng lương T5.2024'!$B$10:$N$85,13,0),0)</f>
        <v>38948</v>
      </c>
      <c r="BG62" s="1374">
        <f t="shared" si="33"/>
        <v>2354.0000000000073</v>
      </c>
      <c r="BH62" s="1367" t="s">
        <v>20</v>
      </c>
      <c r="BT62" s="1373">
        <f t="shared" si="46"/>
        <v>1270597</v>
      </c>
      <c r="BU62" s="1373">
        <f>IFERROR(VLOOKUP(B62,#REF!,13,0),0)</f>
        <v>0</v>
      </c>
      <c r="BV62" s="1373">
        <f t="shared" si="34"/>
        <v>433671</v>
      </c>
      <c r="CB62" s="1369"/>
      <c r="CI62" s="1369"/>
      <c r="CN62" s="1370">
        <f>IFERROR(VLOOKUP(B62,#REF!,6,0),0)</f>
        <v>0</v>
      </c>
      <c r="CO62" s="1369">
        <f t="shared" si="49"/>
        <v>8322757665</v>
      </c>
      <c r="CQ62" s="1371">
        <v>30742255</v>
      </c>
      <c r="CR62" s="1372">
        <f t="shared" si="50"/>
        <v>-13769031</v>
      </c>
      <c r="CS62" s="1371"/>
      <c r="CT62" s="1375">
        <f>IFERROR(VLOOKUP(B62,#REF!,6,0),0)</f>
        <v>0</v>
      </c>
      <c r="CU62" s="1369">
        <f t="shared" si="51"/>
        <v>8322757665</v>
      </c>
    </row>
    <row r="63" spans="1:103" s="1367" customFormat="1" ht="21" customHeight="1">
      <c r="A63" s="1356">
        <v>56</v>
      </c>
      <c r="B63" s="1357" t="s">
        <v>204</v>
      </c>
      <c r="C63" s="1358" t="s">
        <v>205</v>
      </c>
      <c r="D63" s="1359">
        <f>IFERROR(VLOOKUP(B63,'[10]Danh sách CTV'!A$3:G$81,7,0),0)</f>
        <v>4718700</v>
      </c>
      <c r="E63" s="1434" t="str">
        <f>VLOOKUP(C63,[11]NhanSu!$D$4:$E$86,2,0)</f>
        <v>8223672610</v>
      </c>
      <c r="F63" s="1360">
        <f>IFERROR(VLOOKUP(B63,'Bảng lương t1.2025'!$B$10:$H$89,7,0),0)</f>
        <v>2147826</v>
      </c>
      <c r="G63" s="1360"/>
      <c r="H63" s="1364"/>
      <c r="I63" s="1452">
        <f>IFERROR(VLOOKUP(B63,'Bảng lương t1.2025'!$B$10:$I$89,8,0),0)</f>
        <v>9771051</v>
      </c>
      <c r="J63" s="1452"/>
      <c r="K63" s="1435">
        <f>SUMIFS('64'!$E:$E,'64'!$B:$B,'DSOAT-T1.2025'!C63)</f>
        <v>0</v>
      </c>
      <c r="L63" s="1365"/>
      <c r="M63" s="1365"/>
      <c r="N63" s="1365"/>
      <c r="O63" s="1365"/>
      <c r="P63" s="1365"/>
      <c r="Q63" s="1365"/>
      <c r="R63" s="1365"/>
      <c r="S63" s="1365"/>
      <c r="T63" s="1365"/>
      <c r="U63" s="1365"/>
      <c r="V63" s="1365"/>
      <c r="W63" s="1365"/>
      <c r="X63" s="1365"/>
      <c r="Y63" s="1365"/>
      <c r="Z63" s="1365">
        <f>IFERROR(VLOOKUP(B63,'[12]CTV thuê lại'!B$9:F$90,5,0),0)</f>
        <v>3106039</v>
      </c>
      <c r="AA63" s="1436"/>
      <c r="AB63" s="1365">
        <f>SUMIFS('210'!$G:$G,'210'!$B:$B,'DSOAT-T1.2025'!C63)</f>
        <v>500000</v>
      </c>
      <c r="AC63" s="1365"/>
      <c r="AD63" s="1365"/>
      <c r="AE63" s="1365"/>
      <c r="AF63" s="1365"/>
      <c r="AG63" s="1365"/>
      <c r="AH63" s="1365"/>
      <c r="AI63" s="1365"/>
      <c r="AJ63" s="1361">
        <f t="shared" si="35"/>
        <v>15524916</v>
      </c>
      <c r="AK63" s="1362">
        <f t="shared" si="36"/>
        <v>1014521</v>
      </c>
      <c r="AL63" s="1363">
        <f t="shared" si="37"/>
        <v>94374</v>
      </c>
      <c r="AM63" s="1363">
        <v>300000</v>
      </c>
      <c r="AN63" s="1363">
        <f t="shared" si="20"/>
        <v>24000</v>
      </c>
      <c r="AO63" s="1363">
        <f t="shared" si="21"/>
        <v>324000</v>
      </c>
      <c r="AP63" s="1362">
        <f t="shared" si="38"/>
        <v>13027772</v>
      </c>
      <c r="AQ63" s="1363">
        <f t="shared" si="39"/>
        <v>495464</v>
      </c>
      <c r="AR63" s="1363">
        <f t="shared" si="40"/>
        <v>47187</v>
      </c>
      <c r="AS63" s="1363">
        <f>VLOOKUP(B63,'Thuế TNCN _T1'!$B$9:$K$86,10,0)</f>
        <v>0</v>
      </c>
      <c r="AT63" s="1366">
        <f t="shared" si="41"/>
        <v>14982265</v>
      </c>
      <c r="AU63" s="1363">
        <f t="shared" si="42"/>
        <v>141561</v>
      </c>
      <c r="AV63" s="1363">
        <f>VLOOKUP(C63,'[13]1'!$B$7:$F$83,5,0)</f>
        <v>1509984</v>
      </c>
      <c r="AW63" s="1366">
        <f t="shared" si="43"/>
        <v>324001</v>
      </c>
      <c r="AX63" s="1374">
        <f t="shared" si="32"/>
        <v>11918877</v>
      </c>
      <c r="AY63" s="1374">
        <f t="shared" si="23"/>
        <v>11918877</v>
      </c>
      <c r="AZ63" s="1374"/>
      <c r="BA63" s="1437">
        <f t="shared" si="44"/>
        <v>1432895</v>
      </c>
      <c r="BB63" s="1437" t="e">
        <f>#REF!</f>
        <v>#REF!</v>
      </c>
      <c r="BC63" s="1437" t="e">
        <f>#REF!</f>
        <v>#REF!</v>
      </c>
      <c r="BD63" s="1437">
        <f t="shared" si="45"/>
        <v>1408895</v>
      </c>
      <c r="BE63" s="1374"/>
      <c r="BF63" s="1374">
        <f>IFERROR(VLOOKUP(B63,'Bảng lương T5.2024'!$B$10:$N$85,13,0),0)</f>
        <v>44512</v>
      </c>
      <c r="BG63" s="1374">
        <f t="shared" si="33"/>
        <v>2675</v>
      </c>
      <c r="BH63" s="1367" t="s">
        <v>79</v>
      </c>
      <c r="BT63" s="1373">
        <f t="shared" si="46"/>
        <v>1408895</v>
      </c>
      <c r="BU63" s="1373">
        <f>IFERROR(VLOOKUP(B63,#REF!,13,0),0)</f>
        <v>0</v>
      </c>
      <c r="BV63" s="1373">
        <f t="shared" si="34"/>
        <v>495464</v>
      </c>
      <c r="CB63" s="1369"/>
      <c r="CI63" s="1369"/>
      <c r="CN63" s="1370">
        <f>IFERROR(VLOOKUP(B63,#REF!,6,0),0)</f>
        <v>0</v>
      </c>
      <c r="CO63" s="1369">
        <f t="shared" si="49"/>
        <v>8223672610</v>
      </c>
      <c r="CQ63" s="1371">
        <v>23355923.199981719</v>
      </c>
      <c r="CR63" s="1372">
        <f t="shared" si="50"/>
        <v>-7831007.1999817193</v>
      </c>
      <c r="CS63" s="1371"/>
      <c r="CT63" s="1375">
        <f>IFERROR(VLOOKUP(B63,#REF!,6,0),0)</f>
        <v>0</v>
      </c>
      <c r="CU63" s="1369">
        <f t="shared" si="51"/>
        <v>8223672610</v>
      </c>
    </row>
    <row r="64" spans="1:103" s="1367" customFormat="1" ht="21" customHeight="1">
      <c r="A64" s="1356">
        <v>57</v>
      </c>
      <c r="B64" s="1357" t="s">
        <v>212</v>
      </c>
      <c r="C64" s="1388" t="s">
        <v>213</v>
      </c>
      <c r="D64" s="1359">
        <f>IFERROR(VLOOKUP(B64,'[10]Danh sách CTV'!A$3:G$81,7,0),0)</f>
        <v>4718700</v>
      </c>
      <c r="E64" s="1434" t="str">
        <f>VLOOKUP(C64,[11]NhanSu!$D$4:$E$86,2,0)</f>
        <v>8316018975</v>
      </c>
      <c r="F64" s="1360">
        <f>IFERROR(VLOOKUP(B64,'Bảng lương t1.2025'!$B$10:$H$89,7,0),0)</f>
        <v>2653107</v>
      </c>
      <c r="G64" s="1360"/>
      <c r="H64" s="1364"/>
      <c r="I64" s="1452">
        <f>IFERROR(VLOOKUP(B64,'Bảng lương t1.2025'!$B$10:$I$89,8,0),0)</f>
        <v>3535207</v>
      </c>
      <c r="J64" s="1452"/>
      <c r="K64" s="1435">
        <f>SUMIFS('64'!$E:$E,'64'!$B:$B,'DSOAT-T1.2025'!C64)</f>
        <v>0</v>
      </c>
      <c r="L64" s="1365"/>
      <c r="M64" s="1365"/>
      <c r="N64" s="1365"/>
      <c r="O64" s="1365"/>
      <c r="P64" s="1365"/>
      <c r="Q64" s="1365"/>
      <c r="R64" s="1365"/>
      <c r="S64" s="1365"/>
      <c r="T64" s="1365"/>
      <c r="U64" s="1365"/>
      <c r="V64" s="1365"/>
      <c r="W64" s="1365"/>
      <c r="X64" s="1365"/>
      <c r="Y64" s="1365">
        <v>65000</v>
      </c>
      <c r="Z64" s="1365">
        <f>IFERROR(VLOOKUP(B64,'[12]CTV thuê lại'!B$9:F$90,5,0),0)</f>
        <v>2034312</v>
      </c>
      <c r="AA64" s="1436"/>
      <c r="AB64" s="1365">
        <f>SUMIFS('210'!$G:$G,'210'!$B:$B,'DSOAT-T1.2025'!C64)</f>
        <v>200000</v>
      </c>
      <c r="AC64" s="1365"/>
      <c r="AD64" s="1365"/>
      <c r="AE64" s="1365"/>
      <c r="AF64" s="1365"/>
      <c r="AG64" s="1365"/>
      <c r="AH64" s="1365"/>
      <c r="AI64" s="1365"/>
      <c r="AJ64" s="1361">
        <f t="shared" si="35"/>
        <v>8487626</v>
      </c>
      <c r="AK64" s="1362">
        <f t="shared" si="36"/>
        <v>1014521</v>
      </c>
      <c r="AL64" s="1363">
        <f t="shared" si="37"/>
        <v>94374</v>
      </c>
      <c r="AM64" s="1363">
        <v>300000</v>
      </c>
      <c r="AN64" s="1363">
        <f t="shared" si="20"/>
        <v>24000</v>
      </c>
      <c r="AO64" s="1363">
        <f t="shared" si="21"/>
        <v>324000</v>
      </c>
      <c r="AP64" s="1362">
        <f t="shared" si="38"/>
        <v>7297209</v>
      </c>
      <c r="AQ64" s="1363">
        <f t="shared" si="39"/>
        <v>495464</v>
      </c>
      <c r="AR64" s="1363">
        <f t="shared" si="40"/>
        <v>47187</v>
      </c>
      <c r="AS64" s="1363">
        <f>VLOOKUP(B64,'Thuế TNCN _T1'!$B$9:$K$86,10,0)</f>
        <v>0</v>
      </c>
      <c r="AT64" s="1366">
        <f t="shared" si="41"/>
        <v>7944975</v>
      </c>
      <c r="AU64" s="1363">
        <f t="shared" si="42"/>
        <v>141561</v>
      </c>
      <c r="AV64" s="1363">
        <f>VLOOKUP(C64,'[13]1'!$B$7:$F$83,5,0)</f>
        <v>1509984</v>
      </c>
      <c r="AW64" s="1366">
        <f t="shared" si="43"/>
        <v>324001</v>
      </c>
      <c r="AX64" s="1374">
        <f t="shared" si="32"/>
        <v>6188314</v>
      </c>
      <c r="AY64" s="1374">
        <f t="shared" si="23"/>
        <v>6188314</v>
      </c>
      <c r="AZ64" s="1374"/>
      <c r="BA64" s="1437">
        <f t="shared" si="44"/>
        <v>1432895</v>
      </c>
      <c r="BB64" s="1437" t="e">
        <f>#REF!</f>
        <v>#REF!</v>
      </c>
      <c r="BC64" s="1437" t="e">
        <f>#REF!</f>
        <v>#REF!</v>
      </c>
      <c r="BD64" s="1437">
        <f t="shared" si="45"/>
        <v>1408895</v>
      </c>
      <c r="BE64" s="1374"/>
      <c r="BF64" s="1374">
        <f>IFERROR(VLOOKUP(B64,'Bảng lương T5.2024'!$B$10:$N$85,13,0),0)</f>
        <v>44512</v>
      </c>
      <c r="BG64" s="1374">
        <f t="shared" si="33"/>
        <v>2675</v>
      </c>
      <c r="BH64" s="1367" t="s">
        <v>23</v>
      </c>
      <c r="BT64" s="1373">
        <f t="shared" si="46"/>
        <v>1408895</v>
      </c>
      <c r="BU64" s="1373">
        <f>IFERROR(VLOOKUP(B64,#REF!,13,0),0)</f>
        <v>0</v>
      </c>
      <c r="BV64" s="1373">
        <f t="shared" si="34"/>
        <v>495464</v>
      </c>
      <c r="CB64" s="1369"/>
      <c r="CI64" s="1369"/>
      <c r="CN64" s="1370"/>
      <c r="CO64" s="1369"/>
      <c r="CQ64" s="1371"/>
      <c r="CR64" s="1372"/>
      <c r="CS64" s="1371"/>
      <c r="CT64" s="1375">
        <f>IFERROR(VLOOKUP(B64,#REF!,6,0),0)</f>
        <v>0</v>
      </c>
      <c r="CU64" s="1369">
        <f t="shared" si="51"/>
        <v>8316018975</v>
      </c>
    </row>
    <row r="65" spans="1:99" s="1367" customFormat="1" ht="21" customHeight="1">
      <c r="A65" s="1356">
        <v>59</v>
      </c>
      <c r="B65" s="1357" t="s">
        <v>206</v>
      </c>
      <c r="C65" s="1388" t="s">
        <v>207</v>
      </c>
      <c r="D65" s="1359">
        <f>IFERROR(VLOOKUP(B65,'[10]Danh sách CTV'!A$3:G$81,7,0),0)</f>
        <v>4130200.0000000005</v>
      </c>
      <c r="E65" s="1434" t="str">
        <f>VLOOKUP(C65,[11]NhanSu!$D$4:$E$86,2,0)</f>
        <v>8223777996</v>
      </c>
      <c r="F65" s="1360">
        <f>IFERROR(VLOOKUP(B65,'Bảng lương t1.2025'!$B$10:$H$89,7,0),0)</f>
        <v>1762833</v>
      </c>
      <c r="G65" s="1360"/>
      <c r="H65" s="1364"/>
      <c r="I65" s="1452">
        <f>IFERROR(VLOOKUP(B65,'Bảng lương t1.2025'!$B$10:$I$89,8,0),0)</f>
        <v>4209642</v>
      </c>
      <c r="J65" s="1452"/>
      <c r="K65" s="1435">
        <f>SUMIFS('64'!$E:$E,'64'!$B:$B,'DSOAT-T1.2025'!C65)</f>
        <v>0</v>
      </c>
      <c r="L65" s="1365"/>
      <c r="M65" s="1365"/>
      <c r="N65" s="1365"/>
      <c r="O65" s="1365"/>
      <c r="P65" s="1365"/>
      <c r="Q65" s="1365"/>
      <c r="R65" s="1365"/>
      <c r="S65" s="1365"/>
      <c r="T65" s="1365"/>
      <c r="U65" s="1365"/>
      <c r="V65" s="1365"/>
      <c r="W65" s="1365"/>
      <c r="X65" s="1365"/>
      <c r="Y65" s="1365"/>
      <c r="Z65" s="1365">
        <f>IFERROR(VLOOKUP(B65,'[12]CTV thuê lại'!B$9:F$90,5,0),0)</f>
        <v>596300</v>
      </c>
      <c r="AA65" s="1436"/>
      <c r="AB65" s="1365">
        <f>SUMIFS('210'!$G:$G,'210'!$B:$B,'DSOAT-T1.2025'!C65)</f>
        <v>200000</v>
      </c>
      <c r="AC65" s="1365"/>
      <c r="AD65" s="1365"/>
      <c r="AE65" s="1365"/>
      <c r="AF65" s="1365"/>
      <c r="AG65" s="1365"/>
      <c r="AH65" s="1365"/>
      <c r="AI65" s="1365"/>
      <c r="AJ65" s="1361">
        <f t="shared" si="35"/>
        <v>6768775</v>
      </c>
      <c r="AK65" s="1362">
        <f t="shared" si="36"/>
        <v>887993</v>
      </c>
      <c r="AL65" s="1363">
        <f t="shared" si="37"/>
        <v>82604.000000000015</v>
      </c>
      <c r="AM65" s="1363">
        <v>300000</v>
      </c>
      <c r="AN65" s="1363">
        <f t="shared" si="20"/>
        <v>24000</v>
      </c>
      <c r="AO65" s="1363">
        <f t="shared" si="21"/>
        <v>324000</v>
      </c>
      <c r="AP65" s="1362">
        <f t="shared" si="38"/>
        <v>6943072</v>
      </c>
      <c r="AQ65" s="1363">
        <f t="shared" si="39"/>
        <v>433671</v>
      </c>
      <c r="AR65" s="1363">
        <f t="shared" si="40"/>
        <v>41302.000000000007</v>
      </c>
      <c r="AS65" s="1363">
        <f>VLOOKUP(B65,'Thuế TNCN _T1'!$B$9:$K$86,10,0)</f>
        <v>0</v>
      </c>
      <c r="AT65" s="1366">
        <f t="shared" si="41"/>
        <v>6293802</v>
      </c>
      <c r="AU65" s="1363">
        <f t="shared" si="42"/>
        <v>123906.00000000003</v>
      </c>
      <c r="AV65" s="1363">
        <f>VLOOKUP(C65,'[13]1'!$B$7:$F$83,5,0)</f>
        <v>1181280</v>
      </c>
      <c r="AW65" s="1366">
        <f>AK65+AM65+AN65+AQ65+AS65-AV65</f>
        <v>464384</v>
      </c>
      <c r="AX65" s="1374">
        <f t="shared" si="32"/>
        <v>5972475</v>
      </c>
      <c r="AY65" s="1374">
        <f t="shared" si="23"/>
        <v>5972475</v>
      </c>
      <c r="AZ65" s="1374"/>
      <c r="BA65" s="1437">
        <f t="shared" si="44"/>
        <v>1294597</v>
      </c>
      <c r="BB65" s="1437" t="e">
        <f>#REF!</f>
        <v>#REF!</v>
      </c>
      <c r="BC65" s="1437" t="e">
        <f>#REF!</f>
        <v>#REF!</v>
      </c>
      <c r="BD65" s="1437">
        <f t="shared" si="45"/>
        <v>1270597</v>
      </c>
      <c r="BE65" s="1374"/>
      <c r="BF65" s="1374">
        <f>IFERROR(VLOOKUP(B65,'Bảng lương T5.2024'!$B$10:$N$85,13,0),0)</f>
        <v>38948</v>
      </c>
      <c r="BG65" s="1374">
        <f t="shared" si="33"/>
        <v>2354.0000000000073</v>
      </c>
      <c r="BH65" s="1367" t="s">
        <v>92</v>
      </c>
      <c r="BT65" s="1373"/>
      <c r="BU65" s="1373">
        <f>IFERROR(VLOOKUP(B65,#REF!,13,0),0)</f>
        <v>0</v>
      </c>
      <c r="BV65" s="1373">
        <f t="shared" si="34"/>
        <v>433671</v>
      </c>
      <c r="CB65" s="1369"/>
      <c r="CI65" s="1369"/>
      <c r="CN65" s="1370"/>
      <c r="CO65" s="1369"/>
      <c r="CQ65" s="1371"/>
      <c r="CR65" s="1372"/>
      <c r="CS65" s="1371" t="s">
        <v>218</v>
      </c>
      <c r="CT65" s="1375">
        <f>IFERROR(VLOOKUP(B65,#REF!,6,0),0)</f>
        <v>0</v>
      </c>
      <c r="CU65" s="1369">
        <f t="shared" si="51"/>
        <v>8223777996</v>
      </c>
    </row>
    <row r="66" spans="1:99" s="1367" customFormat="1" ht="21" customHeight="1">
      <c r="A66" s="1356">
        <v>60</v>
      </c>
      <c r="B66" s="1389" t="s">
        <v>217</v>
      </c>
      <c r="C66" s="1390" t="s">
        <v>216</v>
      </c>
      <c r="D66" s="1359">
        <f>IFERROR(VLOOKUP(B66,'[10]Danh sách CTV'!A$3:G$81,7,0),0)</f>
        <v>4718700</v>
      </c>
      <c r="E66" s="1434" t="str">
        <f>VLOOKUP(C66,[11]NhanSu!$D$4:$E$86,2,0)</f>
        <v>8322979998</v>
      </c>
      <c r="F66" s="1360">
        <f>IFERROR(VLOOKUP(B66,'Bảng lương t1.2025'!$B$10:$H$89,7,0),0)</f>
        <v>9045458</v>
      </c>
      <c r="G66" s="1360"/>
      <c r="H66" s="1364"/>
      <c r="I66" s="1452">
        <f>IFERROR(VLOOKUP(B66,'Bảng lương t1.2025'!$B$10:$I$89,8,0),0)</f>
        <v>103613</v>
      </c>
      <c r="J66" s="1452"/>
      <c r="K66" s="1435">
        <f>SUMIFS('64'!$E:$E,'64'!$B:$B,'DSOAT-T1.2025'!C66)</f>
        <v>0</v>
      </c>
      <c r="L66" s="1365"/>
      <c r="M66" s="1365"/>
      <c r="N66" s="1365"/>
      <c r="O66" s="1365"/>
      <c r="P66" s="1365"/>
      <c r="Q66" s="1365"/>
      <c r="R66" s="1365"/>
      <c r="S66" s="1365"/>
      <c r="T66" s="1365"/>
      <c r="U66" s="1365"/>
      <c r="V66" s="1365"/>
      <c r="W66" s="1365"/>
      <c r="X66" s="1365"/>
      <c r="Y66" s="1365"/>
      <c r="Z66" s="1365">
        <f>IFERROR(VLOOKUP(B66,'[12]CTV thuê lại'!B$9:F$90,5,0),0)</f>
        <v>2124876</v>
      </c>
      <c r="AA66" s="1436"/>
      <c r="AB66" s="1365">
        <f>SUMIFS('210'!$G:$G,'210'!$B:$B,'DSOAT-T1.2025'!C66)</f>
        <v>200000</v>
      </c>
      <c r="AC66" s="1365"/>
      <c r="AD66" s="1365"/>
      <c r="AE66" s="1365"/>
      <c r="AF66" s="1365"/>
      <c r="AG66" s="1365"/>
      <c r="AH66" s="1365"/>
      <c r="AI66" s="1365"/>
      <c r="AJ66" s="1361">
        <f t="shared" si="35"/>
        <v>11473947</v>
      </c>
      <c r="AK66" s="1362">
        <f t="shared" si="36"/>
        <v>1014521</v>
      </c>
      <c r="AL66" s="1363">
        <f t="shared" si="37"/>
        <v>94374</v>
      </c>
      <c r="AM66" s="1363">
        <v>300000</v>
      </c>
      <c r="AN66" s="1363">
        <f t="shared" si="20"/>
        <v>24000</v>
      </c>
      <c r="AO66" s="1363">
        <f t="shared" si="21"/>
        <v>324000</v>
      </c>
      <c r="AP66" s="1362">
        <f t="shared" si="38"/>
        <v>10257966</v>
      </c>
      <c r="AQ66" s="1363">
        <f t="shared" si="39"/>
        <v>495464</v>
      </c>
      <c r="AR66" s="1363">
        <f t="shared" si="40"/>
        <v>47187</v>
      </c>
      <c r="AS66" s="1363">
        <f>VLOOKUP(B66,'Thuế TNCN _T1'!$B$9:$K$86,10,0)</f>
        <v>0</v>
      </c>
      <c r="AT66" s="1366">
        <f t="shared" si="41"/>
        <v>10931296</v>
      </c>
      <c r="AU66" s="1363">
        <f t="shared" si="42"/>
        <v>141561</v>
      </c>
      <c r="AV66" s="1363">
        <f>VLOOKUP(C66,'[13]1'!$B$7:$F$83,5,0)</f>
        <v>1509984</v>
      </c>
      <c r="AW66" s="1366">
        <f t="shared" si="43"/>
        <v>324001</v>
      </c>
      <c r="AX66" s="1374">
        <f t="shared" si="32"/>
        <v>9149071</v>
      </c>
      <c r="AY66" s="1374">
        <f t="shared" si="23"/>
        <v>9149071</v>
      </c>
      <c r="AZ66" s="1374"/>
      <c r="BA66" s="1437">
        <f t="shared" si="44"/>
        <v>1432895</v>
      </c>
      <c r="BB66" s="1437" t="e">
        <f>#REF!</f>
        <v>#REF!</v>
      </c>
      <c r="BC66" s="1437" t="e">
        <f>#REF!</f>
        <v>#REF!</v>
      </c>
      <c r="BD66" s="1437">
        <f t="shared" si="45"/>
        <v>1408895</v>
      </c>
      <c r="BE66" s="1374"/>
      <c r="BF66" s="1374">
        <f>IFERROR(VLOOKUP(B66,'Bảng lương T5.2024'!$B$10:$N$85,13,0),0)</f>
        <v>44512</v>
      </c>
      <c r="BG66" s="1374">
        <f t="shared" si="33"/>
        <v>2675</v>
      </c>
      <c r="BH66" s="1367" t="s">
        <v>23</v>
      </c>
      <c r="BT66" s="1373"/>
      <c r="BU66" s="1373">
        <f>IFERROR(VLOOKUP(B66,#REF!,13,0),0)</f>
        <v>0</v>
      </c>
      <c r="BV66" s="1373">
        <f t="shared" si="34"/>
        <v>495464</v>
      </c>
      <c r="CB66" s="1369"/>
      <c r="CI66" s="1369"/>
      <c r="CN66" s="1370"/>
      <c r="CO66" s="1369"/>
      <c r="CQ66" s="1371"/>
      <c r="CR66" s="1372"/>
      <c r="CS66" s="1371" t="s">
        <v>218</v>
      </c>
      <c r="CT66" s="1375">
        <f>IFERROR(VLOOKUP(B66,#REF!,6,0),0)</f>
        <v>0</v>
      </c>
      <c r="CU66" s="1369">
        <f t="shared" si="51"/>
        <v>8322979998</v>
      </c>
    </row>
    <row r="67" spans="1:99" s="1367" customFormat="1" ht="21" customHeight="1">
      <c r="A67" s="1356">
        <v>62</v>
      </c>
      <c r="B67" s="1389" t="s">
        <v>141</v>
      </c>
      <c r="C67" s="1390" t="s">
        <v>187</v>
      </c>
      <c r="D67" s="1359">
        <f>IFERROR(VLOOKUP(B67,'[10]Danh sách CTV'!A$3:G$81,7,0),0)</f>
        <v>4718700</v>
      </c>
      <c r="E67" s="1434" t="str">
        <f>VLOOKUP(C67,[11]NhanSu!$D$4:$E$86,2,0)</f>
        <v>8321846063</v>
      </c>
      <c r="F67" s="1360">
        <f>IFERROR(VLOOKUP(B67,'Bảng lương t1.2025'!$B$10:$H$89,7,0),0)</f>
        <v>3448487</v>
      </c>
      <c r="G67" s="1360"/>
      <c r="H67" s="1364"/>
      <c r="I67" s="1452">
        <f>IFERROR(VLOOKUP(B67,'Bảng lương t1.2025'!$B$10:$I$89,8,0),0)</f>
        <v>12940526</v>
      </c>
      <c r="J67" s="1452"/>
      <c r="K67" s="1435">
        <f>SUMIFS('64'!$E:$E,'64'!$B:$B,'DSOAT-T1.2025'!C67)</f>
        <v>300000</v>
      </c>
      <c r="L67" s="1365"/>
      <c r="M67" s="1365"/>
      <c r="N67" s="1365"/>
      <c r="O67" s="1365"/>
      <c r="P67" s="1365"/>
      <c r="Q67" s="1365"/>
      <c r="R67" s="1365"/>
      <c r="S67" s="1365"/>
      <c r="T67" s="1365"/>
      <c r="U67" s="1365"/>
      <c r="V67" s="1365"/>
      <c r="W67" s="1365"/>
      <c r="X67" s="1365"/>
      <c r="Y67" s="1365"/>
      <c r="Z67" s="1365">
        <f>IFERROR(VLOOKUP(B67,'[12]CTV thuê lại'!B$9:F$90,5,0),0)</f>
        <v>3126187</v>
      </c>
      <c r="AA67" s="1436"/>
      <c r="AB67" s="1365">
        <f>SUMIFS('210'!$G:$G,'210'!$B:$B,'DSOAT-T1.2025'!C67)</f>
        <v>200000</v>
      </c>
      <c r="AC67" s="1365"/>
      <c r="AD67" s="1365"/>
      <c r="AE67" s="1365"/>
      <c r="AF67" s="1365"/>
      <c r="AG67" s="1365"/>
      <c r="AH67" s="1365"/>
      <c r="AI67" s="1365"/>
      <c r="AJ67" s="1361">
        <f t="shared" si="35"/>
        <v>20015200</v>
      </c>
      <c r="AK67" s="1362">
        <f t="shared" si="36"/>
        <v>1014521</v>
      </c>
      <c r="AL67" s="1363">
        <f t="shared" si="37"/>
        <v>94374</v>
      </c>
      <c r="AM67" s="1363">
        <v>300000</v>
      </c>
      <c r="AN67" s="1363">
        <f t="shared" si="20"/>
        <v>24000</v>
      </c>
      <c r="AO67" s="1363">
        <f t="shared" si="21"/>
        <v>324000</v>
      </c>
      <c r="AP67" s="1362">
        <f t="shared" si="38"/>
        <v>17797908</v>
      </c>
      <c r="AQ67" s="1363">
        <f t="shared" si="39"/>
        <v>495464</v>
      </c>
      <c r="AR67" s="1363">
        <f t="shared" si="40"/>
        <v>47187</v>
      </c>
      <c r="AS67" s="1363">
        <f>VLOOKUP(B67,'Thuế TNCN _T1'!$B$9:$K$86,10,0)</f>
        <v>205987</v>
      </c>
      <c r="AT67" s="1366">
        <f t="shared" si="41"/>
        <v>19266562</v>
      </c>
      <c r="AU67" s="1363">
        <f t="shared" si="42"/>
        <v>141561</v>
      </c>
      <c r="AV67" s="1363">
        <f>VLOOKUP(C67,'[13]1'!$B$7:$F$83,5,0)</f>
        <v>1509984</v>
      </c>
      <c r="AW67" s="1366">
        <f t="shared" si="43"/>
        <v>529988</v>
      </c>
      <c r="AX67" s="1374">
        <f t="shared" si="32"/>
        <v>16389013</v>
      </c>
      <c r="AY67" s="1374">
        <f t="shared" si="23"/>
        <v>16689013</v>
      </c>
      <c r="AZ67" s="1374"/>
      <c r="BA67" s="1437">
        <f t="shared" si="44"/>
        <v>1732895</v>
      </c>
      <c r="BB67" s="1437" t="e">
        <f>#REF!</f>
        <v>#REF!</v>
      </c>
      <c r="BC67" s="1437" t="e">
        <f>#REF!</f>
        <v>#REF!</v>
      </c>
      <c r="BD67" s="1437">
        <f t="shared" si="45"/>
        <v>1408895</v>
      </c>
      <c r="BE67" s="1374"/>
      <c r="BF67" s="1374">
        <f>IFERROR(VLOOKUP(B67,'Bảng lương T5.2024'!$B$10:$N$85,13,0),0)</f>
        <v>44512</v>
      </c>
      <c r="BG67" s="1374">
        <f t="shared" si="33"/>
        <v>2675</v>
      </c>
      <c r="BH67" s="1367" t="s">
        <v>79</v>
      </c>
      <c r="BT67" s="1373"/>
      <c r="BU67" s="1373">
        <f>IFERROR(VLOOKUP(B67,#REF!,13,0),0)</f>
        <v>0</v>
      </c>
      <c r="BV67" s="1373">
        <f t="shared" si="34"/>
        <v>495464</v>
      </c>
      <c r="CB67" s="1369"/>
      <c r="CI67" s="1369"/>
      <c r="CN67" s="1370"/>
      <c r="CO67" s="1369"/>
      <c r="CQ67" s="1371"/>
      <c r="CR67" s="1372"/>
      <c r="CS67" s="1371"/>
      <c r="CT67" s="1375"/>
      <c r="CU67" s="1369"/>
    </row>
    <row r="68" spans="1:99" s="1367" customFormat="1" ht="21" customHeight="1">
      <c r="A68" s="1356">
        <v>63</v>
      </c>
      <c r="B68" s="1389" t="s">
        <v>263</v>
      </c>
      <c r="C68" s="1390" t="s">
        <v>262</v>
      </c>
      <c r="D68" s="1359">
        <f>IFERROR(VLOOKUP(B68,'[10]Danh sách CTV'!A$3:G$81,7,0),0)</f>
        <v>4718700</v>
      </c>
      <c r="E68" s="1434" t="str">
        <f>VLOOKUP(C68,[11]NhanSu!$D$4:$E$86,2,0)</f>
        <v>7939489646</v>
      </c>
      <c r="F68" s="1360">
        <f>IFERROR(VLOOKUP(B68,'Bảng lương t1.2025'!$B$10:$H$89,7,0),0)</f>
        <v>3201198</v>
      </c>
      <c r="G68" s="1360"/>
      <c r="H68" s="1364"/>
      <c r="I68" s="1452">
        <f>IFERROR(VLOOKUP(B68,'Bảng lương t1.2025'!$B$10:$I$89,8,0),0)</f>
        <v>3644459</v>
      </c>
      <c r="J68" s="1452"/>
      <c r="K68" s="1435">
        <f>SUMIFS('64'!$E:$E,'64'!$B:$B,'DSOAT-T1.2025'!C68)</f>
        <v>0</v>
      </c>
      <c r="L68" s="1365"/>
      <c r="M68" s="1365"/>
      <c r="N68" s="1365"/>
      <c r="O68" s="1365"/>
      <c r="P68" s="1365"/>
      <c r="Q68" s="1365"/>
      <c r="R68" s="1365"/>
      <c r="S68" s="1365"/>
      <c r="T68" s="1365"/>
      <c r="U68" s="1365"/>
      <c r="V68" s="1365"/>
      <c r="W68" s="1365"/>
      <c r="X68" s="1365"/>
      <c r="Y68" s="1365">
        <v>50000</v>
      </c>
      <c r="Z68" s="1365">
        <f>IFERROR(VLOOKUP(B68,'[12]CTV thuê lại'!B$9:F$90,5,0),0)</f>
        <v>2430366</v>
      </c>
      <c r="AA68" s="1436"/>
      <c r="AB68" s="1365">
        <f>SUMIFS('210'!$G:$G,'210'!$B:$B,'DSOAT-T1.2025'!C68)</f>
        <v>200000</v>
      </c>
      <c r="AC68" s="1365"/>
      <c r="AD68" s="1365"/>
      <c r="AE68" s="1365"/>
      <c r="AF68" s="1365"/>
      <c r="AG68" s="1365"/>
      <c r="AH68" s="1365"/>
      <c r="AI68" s="1365"/>
      <c r="AJ68" s="1361">
        <f t="shared" si="35"/>
        <v>9526023</v>
      </c>
      <c r="AK68" s="1362">
        <f t="shared" si="36"/>
        <v>1014521</v>
      </c>
      <c r="AL68" s="1363">
        <f t="shared" si="37"/>
        <v>94374</v>
      </c>
      <c r="AM68" s="1363">
        <v>300000</v>
      </c>
      <c r="AN68" s="1363">
        <f t="shared" si="20"/>
        <v>24000</v>
      </c>
      <c r="AO68" s="1363">
        <f t="shared" si="21"/>
        <v>324000</v>
      </c>
      <c r="AP68" s="1362">
        <f t="shared" si="38"/>
        <v>7954552</v>
      </c>
      <c r="AQ68" s="1363">
        <f t="shared" si="39"/>
        <v>495464</v>
      </c>
      <c r="AR68" s="1363">
        <f t="shared" si="40"/>
        <v>47187</v>
      </c>
      <c r="AS68" s="1363">
        <f>VLOOKUP(B68,'Thuế TNCN _T1'!$B$9:$K$86,10,0)</f>
        <v>0</v>
      </c>
      <c r="AT68" s="1366">
        <f t="shared" si="41"/>
        <v>8983372</v>
      </c>
      <c r="AU68" s="1363">
        <f t="shared" si="42"/>
        <v>141561</v>
      </c>
      <c r="AV68" s="1363">
        <f>VLOOKUP(C68,'[13]1'!$B$7:$F$83,5,0)</f>
        <v>1509984</v>
      </c>
      <c r="AW68" s="1366">
        <f t="shared" si="43"/>
        <v>324001</v>
      </c>
      <c r="AX68" s="1374">
        <f t="shared" si="32"/>
        <v>6845657</v>
      </c>
      <c r="AY68" s="1374">
        <f t="shared" si="23"/>
        <v>6845657</v>
      </c>
      <c r="AZ68" s="1374"/>
      <c r="BA68" s="1437">
        <f t="shared" si="44"/>
        <v>1432895</v>
      </c>
      <c r="BB68" s="1437" t="e">
        <f>#REF!</f>
        <v>#REF!</v>
      </c>
      <c r="BC68" s="1437" t="e">
        <f>#REF!</f>
        <v>#REF!</v>
      </c>
      <c r="BD68" s="1437">
        <f t="shared" si="45"/>
        <v>1408895</v>
      </c>
      <c r="BE68" s="1374"/>
      <c r="BF68" s="1374">
        <f>IFERROR(VLOOKUP(B68,'Bảng lương T5.2024'!$B$10:$N$85,13,0),0)</f>
        <v>44512</v>
      </c>
      <c r="BG68" s="1374">
        <f t="shared" si="33"/>
        <v>2675</v>
      </c>
      <c r="BH68" s="1367" t="s">
        <v>23</v>
      </c>
      <c r="BT68" s="1373"/>
      <c r="BU68" s="1373"/>
      <c r="BV68" s="1373"/>
      <c r="CB68" s="1369"/>
      <c r="CI68" s="1369"/>
      <c r="CN68" s="1370"/>
      <c r="CO68" s="1369"/>
      <c r="CQ68" s="1371"/>
      <c r="CR68" s="1372"/>
      <c r="CS68" s="1371"/>
      <c r="CT68" s="1375"/>
      <c r="CU68" s="1369"/>
    </row>
    <row r="69" spans="1:99" s="1367" customFormat="1" ht="21" customHeight="1">
      <c r="A69" s="1356">
        <v>64</v>
      </c>
      <c r="B69" s="1389" t="s">
        <v>47</v>
      </c>
      <c r="C69" s="1390" t="s">
        <v>48</v>
      </c>
      <c r="D69" s="1359">
        <f>IFERROR(VLOOKUP(B69,'[10]Danh sách CTV'!A$3:G$81,7,0),0)</f>
        <v>4130200.0000000005</v>
      </c>
      <c r="E69" s="1434" t="str">
        <f>VLOOKUP(C69,[11]NhanSu!$D$4:$E$86,2,0)</f>
        <v>7409250997</v>
      </c>
      <c r="F69" s="1360">
        <f>IFERROR(VLOOKUP(B69,'Bảng lương t1.2025'!$B$10:$H$89,7,0),0)</f>
        <v>3163881</v>
      </c>
      <c r="G69" s="1360"/>
      <c r="H69" s="1364"/>
      <c r="I69" s="1452">
        <f>IFERROR(VLOOKUP(B69,'Bảng lương t1.2025'!$B$10:$I$89,8,0),0)</f>
        <v>2756826</v>
      </c>
      <c r="J69" s="1452"/>
      <c r="K69" s="1435">
        <f>SUMIFS('64'!$E:$E,'64'!$B:$B,'DSOAT-T1.2025'!C69)</f>
        <v>0</v>
      </c>
      <c r="L69" s="1365"/>
      <c r="M69" s="1365"/>
      <c r="N69" s="1365"/>
      <c r="O69" s="1365"/>
      <c r="P69" s="1365"/>
      <c r="Q69" s="1365"/>
      <c r="R69" s="1365"/>
      <c r="S69" s="1365"/>
      <c r="T69" s="1365"/>
      <c r="U69" s="1365"/>
      <c r="V69" s="1365"/>
      <c r="W69" s="1365"/>
      <c r="X69" s="1365"/>
      <c r="Y69" s="1365"/>
      <c r="Z69" s="1365">
        <f>IFERROR(VLOOKUP(B69,'[12]CTV thuê lại'!B$9:F$90,5,0),0)</f>
        <v>2061527</v>
      </c>
      <c r="AA69" s="1436"/>
      <c r="AB69" s="1365">
        <f>SUMIFS('210'!$G:$G,'210'!$B:$B,'DSOAT-T1.2025'!C69)</f>
        <v>200000</v>
      </c>
      <c r="AC69" s="1365"/>
      <c r="AD69" s="1365"/>
      <c r="AE69" s="1365"/>
      <c r="AF69" s="1365"/>
      <c r="AG69" s="1365">
        <v>0</v>
      </c>
      <c r="AH69" s="1365">
        <v>0</v>
      </c>
      <c r="AI69" s="1365">
        <v>0</v>
      </c>
      <c r="AJ69" s="1361">
        <f t="shared" si="35"/>
        <v>8182234</v>
      </c>
      <c r="AK69" s="1362">
        <f t="shared" si="36"/>
        <v>887993</v>
      </c>
      <c r="AL69" s="1363">
        <f t="shared" si="37"/>
        <v>82604.000000000015</v>
      </c>
      <c r="AM69" s="1363">
        <v>300000</v>
      </c>
      <c r="AN69" s="1363">
        <f t="shared" si="20"/>
        <v>24000</v>
      </c>
      <c r="AO69" s="1363">
        <f t="shared" si="21"/>
        <v>324000</v>
      </c>
      <c r="AP69" s="1362">
        <f t="shared" si="38"/>
        <v>6891304</v>
      </c>
      <c r="AQ69" s="1363">
        <f t="shared" si="39"/>
        <v>433671</v>
      </c>
      <c r="AR69" s="1363">
        <f t="shared" si="40"/>
        <v>41302.000000000007</v>
      </c>
      <c r="AS69" s="1363">
        <f>VLOOKUP(B69,'Thuế TNCN _T1'!$B$9:$K$86,10,0)</f>
        <v>0</v>
      </c>
      <c r="AT69" s="1366">
        <f t="shared" si="41"/>
        <v>7707261</v>
      </c>
      <c r="AU69" s="1363">
        <f t="shared" si="42"/>
        <v>123906.00000000003</v>
      </c>
      <c r="AV69" s="1363">
        <f>VLOOKUP(C69,'[13]1'!$B$7:$F$83,5,0)</f>
        <v>1321664</v>
      </c>
      <c r="AW69" s="1366">
        <f t="shared" si="43"/>
        <v>324000</v>
      </c>
      <c r="AX69" s="1374">
        <f t="shared" si="32"/>
        <v>5920707</v>
      </c>
      <c r="AY69" s="1374">
        <f t="shared" si="23"/>
        <v>5920707</v>
      </c>
      <c r="AZ69" s="1374"/>
      <c r="BA69" s="1437">
        <f t="shared" si="44"/>
        <v>1294597</v>
      </c>
      <c r="BB69" s="1437" t="e">
        <f>#REF!</f>
        <v>#REF!</v>
      </c>
      <c r="BC69" s="1437" t="e">
        <f>#REF!</f>
        <v>#REF!</v>
      </c>
      <c r="BD69" s="1437">
        <f t="shared" si="45"/>
        <v>1270597</v>
      </c>
      <c r="BE69" s="1374"/>
      <c r="BF69" s="1374">
        <f>IFERROR(VLOOKUP(B69,'Bảng lương T5.2024'!$B$10:$N$85,13,0),0)</f>
        <v>38948</v>
      </c>
      <c r="BG69" s="1374">
        <f t="shared" si="33"/>
        <v>2354.0000000000073</v>
      </c>
      <c r="BH69" s="1367" t="s">
        <v>42</v>
      </c>
      <c r="BT69" s="1373"/>
      <c r="BU69" s="1373"/>
      <c r="BV69" s="1373"/>
      <c r="CB69" s="1369"/>
      <c r="CI69" s="1369"/>
      <c r="CN69" s="1370"/>
      <c r="CO69" s="1369"/>
      <c r="CQ69" s="1371"/>
      <c r="CR69" s="1372"/>
      <c r="CS69" s="1371"/>
      <c r="CT69" s="1375"/>
      <c r="CU69" s="1369"/>
    </row>
    <row r="70" spans="1:99" s="1367" customFormat="1" ht="21" customHeight="1">
      <c r="A70" s="1356">
        <v>65</v>
      </c>
      <c r="B70" s="1389" t="s">
        <v>271</v>
      </c>
      <c r="C70" s="1390" t="s">
        <v>269</v>
      </c>
      <c r="D70" s="1359">
        <f>IFERROR(VLOOKUP(B70,'[10]Danh sách CTV'!A$3:G$81,7,0),0)</f>
        <v>3691500</v>
      </c>
      <c r="E70" s="1434" t="str">
        <f>VLOOKUP(C70,[11]NhanSu!$D$4:$E$86,2,0)</f>
        <v>9718634506</v>
      </c>
      <c r="F70" s="1360">
        <f>IFERROR(VLOOKUP(B70,'Bảng lương t1.2025'!$B$10:$H$89,7,0),0)</f>
        <v>1300583</v>
      </c>
      <c r="G70" s="1360"/>
      <c r="H70" s="1364"/>
      <c r="I70" s="1452">
        <f>IFERROR(VLOOKUP(B70,'Bảng lương t1.2025'!$B$10:$I$89,8,0),0)</f>
        <v>4371011</v>
      </c>
      <c r="J70" s="1452"/>
      <c r="K70" s="1435">
        <f>SUMIFS('64'!$E:$E,'64'!$B:$B,'DSOAT-T1.2025'!C70)</f>
        <v>0</v>
      </c>
      <c r="L70" s="1365"/>
      <c r="M70" s="1365"/>
      <c r="N70" s="1365"/>
      <c r="O70" s="1365"/>
      <c r="P70" s="1365"/>
      <c r="Q70" s="1365"/>
      <c r="R70" s="1365"/>
      <c r="S70" s="1365"/>
      <c r="T70" s="1365"/>
      <c r="U70" s="1365"/>
      <c r="V70" s="1365"/>
      <c r="W70" s="1365"/>
      <c r="X70" s="1365"/>
      <c r="Y70" s="1365"/>
      <c r="Z70" s="1365">
        <f>IFERROR(VLOOKUP(B70,'[12]CTV thuê lại'!B$9:F$90,5,0),0)</f>
        <v>1243297</v>
      </c>
      <c r="AA70" s="1436"/>
      <c r="AB70" s="1365">
        <f>SUMIFS('210'!$G:$G,'210'!$B:$B,'DSOAT-T1.2025'!C70)</f>
        <v>200000</v>
      </c>
      <c r="AC70" s="1365"/>
      <c r="AD70" s="1365"/>
      <c r="AE70" s="1365"/>
      <c r="AF70" s="1365"/>
      <c r="AG70" s="1365"/>
      <c r="AH70" s="1365"/>
      <c r="AI70" s="1365"/>
      <c r="AJ70" s="1361">
        <f t="shared" si="35"/>
        <v>7114891</v>
      </c>
      <c r="AK70" s="1362">
        <f t="shared" si="36"/>
        <v>793673</v>
      </c>
      <c r="AL70" s="1363">
        <f t="shared" si="37"/>
        <v>73830</v>
      </c>
      <c r="AM70" s="1363">
        <v>300000</v>
      </c>
      <c r="AN70" s="1363">
        <f t="shared" si="20"/>
        <v>24000</v>
      </c>
      <c r="AO70" s="1363">
        <f t="shared" si="21"/>
        <v>324000</v>
      </c>
      <c r="AP70" s="1362">
        <f t="shared" si="38"/>
        <v>6539097</v>
      </c>
      <c r="AQ70" s="1363">
        <f t="shared" si="39"/>
        <v>387608</v>
      </c>
      <c r="AR70" s="1363">
        <f t="shared" si="40"/>
        <v>36915</v>
      </c>
      <c r="AS70" s="1363">
        <f>VLOOKUP(B70,'Thuế TNCN _T1'!$B$9:$K$86,10,0)</f>
        <v>0</v>
      </c>
      <c r="AT70" s="1366">
        <f t="shared" si="41"/>
        <v>6690368</v>
      </c>
      <c r="AU70" s="1363">
        <f t="shared" si="42"/>
        <v>110745</v>
      </c>
      <c r="AV70" s="1363">
        <f>VLOOKUP(C70,'[13]1'!$B$7:$F$83,5,0)</f>
        <v>1181280</v>
      </c>
      <c r="AW70" s="1366">
        <f t="shared" si="43"/>
        <v>324001</v>
      </c>
      <c r="AX70" s="1374">
        <f t="shared" si="32"/>
        <v>5671594</v>
      </c>
      <c r="AY70" s="1374">
        <f t="shared" si="23"/>
        <v>5671594</v>
      </c>
      <c r="AZ70" s="1374"/>
      <c r="BA70" s="1437">
        <f t="shared" si="44"/>
        <v>1191503</v>
      </c>
      <c r="BB70" s="1437" t="e">
        <f>#REF!</f>
        <v>#REF!</v>
      </c>
      <c r="BC70" s="1437" t="e">
        <f>#REF!</f>
        <v>#REF!</v>
      </c>
      <c r="BD70" s="1437">
        <f t="shared" si="45"/>
        <v>1167503</v>
      </c>
      <c r="BE70" s="1374"/>
      <c r="BF70" s="1374">
        <f>IFERROR(VLOOKUP(B70,'Bảng lương T5.2024'!$B$10:$N$85,13,0),0)</f>
        <v>34775</v>
      </c>
      <c r="BG70" s="1374">
        <f t="shared" ref="BG70:BG81" si="52">AR70-BF70</f>
        <v>2140</v>
      </c>
      <c r="BH70" s="1367" t="s">
        <v>23</v>
      </c>
      <c r="BT70" s="1373"/>
      <c r="BU70" s="1373"/>
      <c r="BV70" s="1373"/>
      <c r="CB70" s="1369"/>
      <c r="CI70" s="1369"/>
      <c r="CN70" s="1370"/>
      <c r="CO70" s="1369"/>
      <c r="CQ70" s="1371"/>
      <c r="CR70" s="1372"/>
      <c r="CS70" s="1371"/>
      <c r="CT70" s="1375"/>
      <c r="CU70" s="1369"/>
    </row>
    <row r="71" spans="1:99" s="1367" customFormat="1" ht="21" customHeight="1">
      <c r="A71" s="1356">
        <v>66</v>
      </c>
      <c r="B71" s="1389" t="s">
        <v>272</v>
      </c>
      <c r="C71" s="1390" t="s">
        <v>273</v>
      </c>
      <c r="D71" s="1359">
        <f>IFERROR(VLOOKUP(B71,'[10]Danh sách CTV'!A$3:G$81,7,0),0)</f>
        <v>4718700</v>
      </c>
      <c r="E71" s="1434" t="str">
        <f>VLOOKUP(C71,[11]NhanSu!$D$4:$E$86,2,0)</f>
        <v>8321726977</v>
      </c>
      <c r="F71" s="1360">
        <f>IFERROR(VLOOKUP(B71,'Bảng lương t1.2025'!$B$10:$H$89,7,0),0)</f>
        <v>2566531</v>
      </c>
      <c r="G71" s="1360"/>
      <c r="H71" s="1364"/>
      <c r="I71" s="1452">
        <f>IFERROR(VLOOKUP(B71,'Bảng lương t1.2025'!$B$10:$I$89,8,0),0)</f>
        <v>7038837</v>
      </c>
      <c r="J71" s="1452"/>
      <c r="K71" s="1435">
        <f>SUMIFS('64'!$E:$E,'64'!$B:$B,'DSOAT-T1.2025'!C71)</f>
        <v>0</v>
      </c>
      <c r="L71" s="1365"/>
      <c r="M71" s="1365"/>
      <c r="N71" s="1365"/>
      <c r="O71" s="1365"/>
      <c r="P71" s="1365"/>
      <c r="Q71" s="1365"/>
      <c r="R71" s="1365"/>
      <c r="S71" s="1365"/>
      <c r="T71" s="1365"/>
      <c r="U71" s="1365"/>
      <c r="V71" s="1365"/>
      <c r="W71" s="1365"/>
      <c r="X71" s="1365"/>
      <c r="Y71" s="1365">
        <v>9000</v>
      </c>
      <c r="Z71" s="1365">
        <f>IFERROR(VLOOKUP(B71,'[12]CTV thuê lại'!B$9:F$90,5,0),0)</f>
        <v>1844362</v>
      </c>
      <c r="AA71" s="1436"/>
      <c r="AB71" s="1365">
        <f>SUMIFS('210'!$G:$G,'210'!$B:$B,'DSOAT-T1.2025'!C71)</f>
        <v>500000</v>
      </c>
      <c r="AC71" s="1365"/>
      <c r="AD71" s="1365"/>
      <c r="AE71" s="1365"/>
      <c r="AF71" s="1365"/>
      <c r="AG71" s="1365"/>
      <c r="AH71" s="1365"/>
      <c r="AI71" s="1365"/>
      <c r="AJ71" s="1361">
        <f t="shared" si="35"/>
        <v>11958730</v>
      </c>
      <c r="AK71" s="1362">
        <f t="shared" si="36"/>
        <v>1014521</v>
      </c>
      <c r="AL71" s="1363">
        <f t="shared" si="37"/>
        <v>94374</v>
      </c>
      <c r="AM71" s="1363">
        <v>300000</v>
      </c>
      <c r="AN71" s="1363">
        <f t="shared" ref="AN71:AN88" si="53">AM71*8%</f>
        <v>24000</v>
      </c>
      <c r="AO71" s="1363">
        <f t="shared" ref="AO71:AO88" si="54">AM71+AN71</f>
        <v>324000</v>
      </c>
      <c r="AP71" s="1362">
        <f t="shared" si="38"/>
        <v>10714263</v>
      </c>
      <c r="AQ71" s="1363">
        <f t="shared" si="39"/>
        <v>495464</v>
      </c>
      <c r="AR71" s="1363">
        <f t="shared" si="40"/>
        <v>47187</v>
      </c>
      <c r="AS71" s="1363">
        <f>VLOOKUP(B71,'Thuế TNCN _T1'!$B$9:$K$86,10,0)</f>
        <v>23163</v>
      </c>
      <c r="AT71" s="1366">
        <f t="shared" si="41"/>
        <v>11392916</v>
      </c>
      <c r="AU71" s="1363">
        <f t="shared" si="42"/>
        <v>141561</v>
      </c>
      <c r="AV71" s="1363">
        <f>VLOOKUP(C71,'[13]1'!$B$7:$F$83,5,0)</f>
        <v>1509984</v>
      </c>
      <c r="AW71" s="1366">
        <f t="shared" si="43"/>
        <v>347164</v>
      </c>
      <c r="AX71" s="1374">
        <f t="shared" si="32"/>
        <v>9605368</v>
      </c>
      <c r="AY71" s="1374">
        <f t="shared" si="23"/>
        <v>9605368</v>
      </c>
      <c r="AZ71" s="1374"/>
      <c r="BA71" s="1437">
        <f t="shared" si="44"/>
        <v>1432895</v>
      </c>
      <c r="BB71" s="1437" t="e">
        <f>#REF!</f>
        <v>#REF!</v>
      </c>
      <c r="BC71" s="1437" t="e">
        <f>#REF!</f>
        <v>#REF!</v>
      </c>
      <c r="BD71" s="1437">
        <f t="shared" si="45"/>
        <v>1408895</v>
      </c>
      <c r="BE71" s="1374"/>
      <c r="BF71" s="1374">
        <f>IFERROR(VLOOKUP(B71,'Bảng lương T5.2024'!$B$10:$N$85,13,0),0)</f>
        <v>44512</v>
      </c>
      <c r="BG71" s="1374">
        <f t="shared" si="52"/>
        <v>2675</v>
      </c>
      <c r="BH71" s="1367" t="s">
        <v>23</v>
      </c>
      <c r="BT71" s="1373"/>
      <c r="BU71" s="1373"/>
      <c r="BV71" s="1373"/>
      <c r="CB71" s="1369"/>
      <c r="CI71" s="1369"/>
      <c r="CN71" s="1370"/>
      <c r="CO71" s="1369"/>
      <c r="CQ71" s="1371"/>
      <c r="CR71" s="1372"/>
      <c r="CS71" s="1371"/>
      <c r="CT71" s="1375"/>
      <c r="CU71" s="1369"/>
    </row>
    <row r="72" spans="1:99" s="1367" customFormat="1" ht="21" customHeight="1">
      <c r="A72" s="1356">
        <v>67</v>
      </c>
      <c r="B72" s="1389" t="s">
        <v>283</v>
      </c>
      <c r="C72" s="1390" t="s">
        <v>281</v>
      </c>
      <c r="D72" s="1359">
        <f>IFERROR(VLOOKUP(B72,'[10]Danh sách CTV'!A$3:G$81,7,0),0)</f>
        <v>4130200.0000000005</v>
      </c>
      <c r="E72" s="1434" t="str">
        <f>VLOOKUP(C72,[11]NhanSu!$D$4:$E$86,2,0)</f>
        <v>7911244505</v>
      </c>
      <c r="F72" s="1360">
        <f>IFERROR(VLOOKUP(B72,'Bảng lương t1.2025'!$B$10:$H$89,7,0),0)</f>
        <v>6988564</v>
      </c>
      <c r="G72" s="1360"/>
      <c r="H72" s="1364"/>
      <c r="I72" s="1452">
        <f>IFERROR(VLOOKUP(B72,'Bảng lương t1.2025'!$B$10:$I$89,8,0),0)</f>
        <v>1277754</v>
      </c>
      <c r="J72" s="1452"/>
      <c r="K72" s="1435">
        <f>SUMIFS('64'!$E:$E,'64'!$B:$B,'DSOAT-T1.2025'!C72)</f>
        <v>0</v>
      </c>
      <c r="L72" s="1365"/>
      <c r="M72" s="1365"/>
      <c r="N72" s="1365"/>
      <c r="O72" s="1365"/>
      <c r="P72" s="1365"/>
      <c r="Q72" s="1365"/>
      <c r="R72" s="1365"/>
      <c r="S72" s="1365"/>
      <c r="T72" s="1365"/>
      <c r="U72" s="1365"/>
      <c r="V72" s="1365"/>
      <c r="W72" s="1365"/>
      <c r="X72" s="1365"/>
      <c r="Y72" s="1365"/>
      <c r="Z72" s="1365">
        <f>IFERROR(VLOOKUP(B72,'[12]CTV thuê lại'!B$9:F$90,5,0),0)</f>
        <v>2094565</v>
      </c>
      <c r="AA72" s="1436"/>
      <c r="AB72" s="1365">
        <f>SUMIFS('210'!$G:$G,'210'!$B:$B,'DSOAT-T1.2025'!C72)</f>
        <v>200000</v>
      </c>
      <c r="AC72" s="1365"/>
      <c r="AD72" s="1365"/>
      <c r="AE72" s="1365"/>
      <c r="AF72" s="1365"/>
      <c r="AG72" s="1365"/>
      <c r="AH72" s="1365"/>
      <c r="AI72" s="1365"/>
      <c r="AJ72" s="1361">
        <f t="shared" si="35"/>
        <v>10560883</v>
      </c>
      <c r="AK72" s="1362">
        <f t="shared" si="36"/>
        <v>887993</v>
      </c>
      <c r="AL72" s="1363">
        <f t="shared" si="37"/>
        <v>82604.000000000015</v>
      </c>
      <c r="AM72" s="1363">
        <v>300000</v>
      </c>
      <c r="AN72" s="1363">
        <f t="shared" si="53"/>
        <v>24000</v>
      </c>
      <c r="AO72" s="1363">
        <f t="shared" si="54"/>
        <v>324000</v>
      </c>
      <c r="AP72" s="1362">
        <f t="shared" si="38"/>
        <v>9236915</v>
      </c>
      <c r="AQ72" s="1363">
        <f t="shared" si="39"/>
        <v>433671</v>
      </c>
      <c r="AR72" s="1363">
        <f t="shared" si="40"/>
        <v>41302.000000000007</v>
      </c>
      <c r="AS72" s="1363">
        <f>VLOOKUP(B72,'Thuế TNCN _T1'!$B$9:$K$86,10,0)</f>
        <v>0</v>
      </c>
      <c r="AT72" s="1366">
        <f t="shared" si="41"/>
        <v>10085910</v>
      </c>
      <c r="AU72" s="1363">
        <f t="shared" si="42"/>
        <v>123906.00000000003</v>
      </c>
      <c r="AV72" s="1363">
        <f>VLOOKUP(C72,'[13]1'!$B$7:$F$83,5,0)</f>
        <v>1321664</v>
      </c>
      <c r="AW72" s="1366">
        <f t="shared" si="43"/>
        <v>324000</v>
      </c>
      <c r="AX72" s="1374">
        <f t="shared" si="32"/>
        <v>8266318</v>
      </c>
      <c r="AY72" s="1374">
        <f t="shared" si="23"/>
        <v>8266318</v>
      </c>
      <c r="AZ72" s="1374"/>
      <c r="BA72" s="1437">
        <f t="shared" si="44"/>
        <v>1294597</v>
      </c>
      <c r="BB72" s="1437" t="e">
        <f>#REF!</f>
        <v>#REF!</v>
      </c>
      <c r="BC72" s="1437" t="e">
        <f>#REF!</f>
        <v>#REF!</v>
      </c>
      <c r="BD72" s="1437">
        <f t="shared" si="45"/>
        <v>1270597</v>
      </c>
      <c r="BE72" s="1374"/>
      <c r="BF72" s="1374">
        <f>IFERROR(VLOOKUP(B72,'Bảng lương T5.2024'!$B$10:$N$85,13,0),0)</f>
        <v>38948</v>
      </c>
      <c r="BG72" s="1374">
        <f t="shared" si="52"/>
        <v>2354.0000000000073</v>
      </c>
      <c r="BH72" s="1367" t="s">
        <v>42</v>
      </c>
      <c r="BT72" s="1373"/>
      <c r="BU72" s="1373"/>
      <c r="BV72" s="1373"/>
      <c r="CB72" s="1369"/>
      <c r="CI72" s="1369"/>
      <c r="CN72" s="1370"/>
      <c r="CO72" s="1369"/>
      <c r="CQ72" s="1371"/>
      <c r="CR72" s="1372"/>
      <c r="CS72" s="1371"/>
      <c r="CT72" s="1375"/>
      <c r="CU72" s="1369"/>
    </row>
    <row r="73" spans="1:99" s="1367" customFormat="1" ht="21" customHeight="1">
      <c r="A73" s="1356">
        <v>68</v>
      </c>
      <c r="B73" s="1389" t="s">
        <v>284</v>
      </c>
      <c r="C73" s="1390" t="s">
        <v>282</v>
      </c>
      <c r="D73" s="1359">
        <f>IFERROR(VLOOKUP(B73,'[10]Danh sách CTV'!A$3:G$81,7,0),0)</f>
        <v>3691500</v>
      </c>
      <c r="E73" s="1434" t="str">
        <f>VLOOKUP(C73,[11]NhanSu!$D$4:$E$86,2,0)</f>
        <v>8321581348</v>
      </c>
      <c r="F73" s="1360">
        <f>IFERROR(VLOOKUP(B73,'Bảng lương t1.2025'!$B$10:$H$89,7,0),0)</f>
        <v>3091084</v>
      </c>
      <c r="G73" s="1360"/>
      <c r="H73" s="1364"/>
      <c r="I73" s="1452">
        <f>IFERROR(VLOOKUP(B73,'Bảng lương t1.2025'!$B$10:$I$89,8,0),0)</f>
        <v>5540143</v>
      </c>
      <c r="J73" s="1452"/>
      <c r="K73" s="1435">
        <f>SUMIFS('64'!$E:$E,'64'!$B:$B,'DSOAT-T1.2025'!C73)</f>
        <v>0</v>
      </c>
      <c r="L73" s="1365">
        <v>77000</v>
      </c>
      <c r="M73" s="1365"/>
      <c r="N73" s="1365"/>
      <c r="O73" s="1365"/>
      <c r="P73" s="1365"/>
      <c r="Q73" s="1365"/>
      <c r="R73" s="1365"/>
      <c r="S73" s="1365"/>
      <c r="T73" s="1365"/>
      <c r="U73" s="1365"/>
      <c r="V73" s="1365"/>
      <c r="W73" s="1365"/>
      <c r="X73" s="1365"/>
      <c r="Y73" s="1365"/>
      <c r="Z73" s="1365">
        <f>IFERROR(VLOOKUP(B73,'[12]CTV thuê lại'!B$9:F$90,5,0),0)</f>
        <v>2782125</v>
      </c>
      <c r="AA73" s="1436"/>
      <c r="AB73" s="1365">
        <f>SUMIFS('210'!$G:$G,'210'!$B:$B,'DSOAT-T1.2025'!C73)</f>
        <v>500000</v>
      </c>
      <c r="AC73" s="1365"/>
      <c r="AD73" s="1365"/>
      <c r="AE73" s="1365"/>
      <c r="AF73" s="1365"/>
      <c r="AG73" s="1365"/>
      <c r="AH73" s="1365"/>
      <c r="AI73" s="1365"/>
      <c r="AJ73" s="1361">
        <f t="shared" si="35"/>
        <v>11990352</v>
      </c>
      <c r="AK73" s="1362">
        <f t="shared" si="36"/>
        <v>793673</v>
      </c>
      <c r="AL73" s="1363">
        <f t="shared" si="37"/>
        <v>73830</v>
      </c>
      <c r="AM73" s="1363">
        <v>300000</v>
      </c>
      <c r="AN73" s="1363">
        <f t="shared" si="53"/>
        <v>24000</v>
      </c>
      <c r="AO73" s="1363">
        <f t="shared" si="54"/>
        <v>324000</v>
      </c>
      <c r="AP73" s="1362">
        <f t="shared" si="38"/>
        <v>9575730</v>
      </c>
      <c r="AQ73" s="1363">
        <f t="shared" si="39"/>
        <v>387608</v>
      </c>
      <c r="AR73" s="1363">
        <f t="shared" si="40"/>
        <v>36915</v>
      </c>
      <c r="AS73" s="1363">
        <f>VLOOKUP(B73,'Thuế TNCN _T1'!$B$9:$K$86,10,0)</f>
        <v>30137</v>
      </c>
      <c r="AT73" s="1366">
        <f t="shared" si="41"/>
        <v>11535692</v>
      </c>
      <c r="AU73" s="1363">
        <f t="shared" si="42"/>
        <v>110745</v>
      </c>
      <c r="AV73" s="1363">
        <f>VLOOKUP(C73,'[13]1'!$B$7:$F$83,5,0)</f>
        <v>1181280</v>
      </c>
      <c r="AW73" s="1366">
        <f t="shared" si="43"/>
        <v>354138</v>
      </c>
      <c r="AX73" s="1374">
        <f t="shared" si="32"/>
        <v>8631227</v>
      </c>
      <c r="AY73" s="1374">
        <f t="shared" si="23"/>
        <v>8708227</v>
      </c>
      <c r="AZ73" s="1374"/>
      <c r="BA73" s="1437">
        <f t="shared" si="44"/>
        <v>1268503</v>
      </c>
      <c r="BB73" s="1437" t="e">
        <f>#REF!</f>
        <v>#REF!</v>
      </c>
      <c r="BC73" s="1437" t="e">
        <f>#REF!</f>
        <v>#REF!</v>
      </c>
      <c r="BD73" s="1437">
        <f t="shared" si="45"/>
        <v>1167503</v>
      </c>
      <c r="BE73" s="1374"/>
      <c r="BF73" s="1374">
        <f>IFERROR(VLOOKUP(B73,'Bảng lương T5.2024'!$B$10:$N$85,13,0),0)</f>
        <v>34775</v>
      </c>
      <c r="BG73" s="1374">
        <f t="shared" si="52"/>
        <v>2140</v>
      </c>
      <c r="BH73" s="1367" t="s">
        <v>63</v>
      </c>
      <c r="BT73" s="1373"/>
      <c r="BU73" s="1373"/>
      <c r="BV73" s="1373"/>
      <c r="CB73" s="1369"/>
      <c r="CI73" s="1369"/>
      <c r="CN73" s="1370"/>
      <c r="CO73" s="1369"/>
      <c r="CQ73" s="1371"/>
      <c r="CR73" s="1372"/>
      <c r="CS73" s="1371"/>
      <c r="CT73" s="1375"/>
      <c r="CU73" s="1369"/>
    </row>
    <row r="74" spans="1:99" s="1367" customFormat="1" ht="21" customHeight="1">
      <c r="A74" s="1356">
        <v>69</v>
      </c>
      <c r="B74" s="1389" t="s">
        <v>287</v>
      </c>
      <c r="C74" s="1390" t="s">
        <v>288</v>
      </c>
      <c r="D74" s="1359">
        <v>3691500</v>
      </c>
      <c r="E74" s="1434" t="str">
        <f>VLOOKUP(C74,[11]NhanSu!$D$4:$E$86,2,0)</f>
        <v>5596018402</v>
      </c>
      <c r="F74" s="1360">
        <f>IFERROR(VLOOKUP(B74,'Bảng lương t1.2025'!$B$10:$H$89,7,0),0)</f>
        <v>7500420</v>
      </c>
      <c r="G74" s="1360">
        <f>D74*21.5%</f>
        <v>793672.5</v>
      </c>
      <c r="H74" s="1364"/>
      <c r="I74" s="1452">
        <f>IFERROR(VLOOKUP(B74,'Bảng lương t1.2025'!$B$10:$I$89,8,0),0)</f>
        <v>0</v>
      </c>
      <c r="J74" s="1452"/>
      <c r="K74" s="1435">
        <f>SUMIFS('64'!$E:$E,'64'!$B:$B,'DSOAT-T1.2025'!C74)</f>
        <v>0</v>
      </c>
      <c r="L74" s="1365"/>
      <c r="M74" s="1365"/>
      <c r="N74" s="1365"/>
      <c r="O74" s="1365"/>
      <c r="P74" s="1365"/>
      <c r="Q74" s="1365"/>
      <c r="R74" s="1365"/>
      <c r="S74" s="1365"/>
      <c r="T74" s="1365"/>
      <c r="U74" s="1365"/>
      <c r="V74" s="1365"/>
      <c r="W74" s="1365"/>
      <c r="X74" s="1365"/>
      <c r="Y74" s="1365"/>
      <c r="Z74" s="1365">
        <f>IFERROR(VLOOKUP(B74,'[12]CTV thuê lại'!B$9:F$90,5,0),0)</f>
        <v>2022194</v>
      </c>
      <c r="AA74" s="1436"/>
      <c r="AB74" s="1365">
        <f>SUMIFS('210'!$G:$G,'210'!$B:$B,'DSOAT-T1.2025'!C74)</f>
        <v>200000</v>
      </c>
      <c r="AC74" s="1365"/>
      <c r="AD74" s="1365"/>
      <c r="AE74" s="1365"/>
      <c r="AF74" s="1365"/>
      <c r="AG74" s="1365"/>
      <c r="AH74" s="1365"/>
      <c r="AI74" s="1365"/>
      <c r="AJ74" s="1361">
        <f t="shared" si="35"/>
        <v>10516287</v>
      </c>
      <c r="AK74" s="1362"/>
      <c r="AL74" s="1363">
        <f t="shared" si="37"/>
        <v>73830</v>
      </c>
      <c r="AM74" s="1363">
        <v>300000</v>
      </c>
      <c r="AN74" s="1363">
        <f t="shared" si="53"/>
        <v>24000</v>
      </c>
      <c r="AO74" s="1363">
        <f t="shared" si="54"/>
        <v>324000</v>
      </c>
      <c r="AP74" s="1362">
        <f t="shared" si="38"/>
        <v>8367923</v>
      </c>
      <c r="AQ74" s="1363"/>
      <c r="AR74" s="1363">
        <f t="shared" si="40"/>
        <v>36915</v>
      </c>
      <c r="AS74" s="1363">
        <f>VLOOKUP(B74,'Thuế TNCN _T1'!$B$9:$K$86,10,0)</f>
        <v>0</v>
      </c>
      <c r="AT74" s="1366">
        <f t="shared" si="41"/>
        <v>10479372</v>
      </c>
      <c r="AU74" s="1363">
        <f t="shared" si="42"/>
        <v>110745</v>
      </c>
      <c r="AV74" s="1363"/>
      <c r="AW74" s="1366">
        <f t="shared" si="43"/>
        <v>324000</v>
      </c>
      <c r="AX74" s="1374">
        <f t="shared" si="32"/>
        <v>8294092.5</v>
      </c>
      <c r="AY74" s="1374">
        <f t="shared" si="23"/>
        <v>8294093</v>
      </c>
      <c r="AZ74" s="1374" t="s">
        <v>291</v>
      </c>
      <c r="BA74" s="1437">
        <f t="shared" si="44"/>
        <v>397830</v>
      </c>
      <c r="BB74" s="1437" t="e">
        <f>#REF!</f>
        <v>#REF!</v>
      </c>
      <c r="BC74" s="1437" t="e">
        <f>#REF!</f>
        <v>#REF!</v>
      </c>
      <c r="BD74" s="1437">
        <f t="shared" si="45"/>
        <v>373830</v>
      </c>
      <c r="BE74" s="1374"/>
      <c r="BF74" s="1374">
        <f>IFERROR(VLOOKUP(B74,'Bảng lương T5.2024'!$B$10:$N$85,13,0),0)</f>
        <v>38948</v>
      </c>
      <c r="BG74" s="1374">
        <f t="shared" si="52"/>
        <v>-2033</v>
      </c>
      <c r="BH74" s="1367" t="s">
        <v>20</v>
      </c>
      <c r="BT74" s="1373"/>
      <c r="BU74" s="1373"/>
      <c r="BV74" s="1373"/>
      <c r="CB74" s="1369"/>
      <c r="CI74" s="1369"/>
      <c r="CN74" s="1370"/>
      <c r="CO74" s="1369"/>
      <c r="CQ74" s="1371"/>
      <c r="CR74" s="1372"/>
      <c r="CS74" s="1371"/>
      <c r="CT74" s="1375"/>
      <c r="CU74" s="1369"/>
    </row>
    <row r="75" spans="1:99" s="1367" customFormat="1" ht="29.25" customHeight="1">
      <c r="A75" s="1356">
        <v>70</v>
      </c>
      <c r="B75" s="1389" t="s">
        <v>290</v>
      </c>
      <c r="C75" s="1390" t="s">
        <v>289</v>
      </c>
      <c r="D75" s="1359">
        <f>IFERROR(VLOOKUP(B75,'[10]Danh sách CTV'!A$3:G$81,7,0),0)</f>
        <v>3691500</v>
      </c>
      <c r="E75" s="1434" t="str">
        <f>VLOOKUP(C75,[11]NhanSu!$D$4:$E$86,2,0)</f>
        <v>8321598354</v>
      </c>
      <c r="F75" s="1360">
        <f>IFERROR(VLOOKUP(B75,'Bảng lương t1.2025'!$B$10:$H$89,7,0),0)</f>
        <v>267754</v>
      </c>
      <c r="G75" s="1360"/>
      <c r="H75" s="1364"/>
      <c r="I75" s="1452">
        <f>IFERROR(VLOOKUP(B75,'Bảng lương t1.2025'!$B$10:$I$89,8,0),0)</f>
        <v>5852477</v>
      </c>
      <c r="J75" s="1452"/>
      <c r="K75" s="1435">
        <f>SUMIFS('64'!$E:$E,'64'!$B:$B,'DSOAT-T1.2025'!C75)</f>
        <v>0</v>
      </c>
      <c r="L75" s="1365"/>
      <c r="M75" s="1365"/>
      <c r="N75" s="1365"/>
      <c r="O75" s="1365"/>
      <c r="P75" s="1365"/>
      <c r="Q75" s="1365"/>
      <c r="R75" s="1365"/>
      <c r="S75" s="1365"/>
      <c r="T75" s="1365"/>
      <c r="U75" s="1365"/>
      <c r="V75" s="1365"/>
      <c r="W75" s="1365"/>
      <c r="X75" s="1365"/>
      <c r="Y75" s="1365"/>
      <c r="Z75" s="1365">
        <f>IFERROR(VLOOKUP(B75,'[12]CTV thuê lại'!B$9:F$90,5,0),0)</f>
        <v>1495876</v>
      </c>
      <c r="AA75" s="1436"/>
      <c r="AB75" s="1365">
        <f>SUMIFS('210'!$G:$G,'210'!$B:$B,'DSOAT-T1.2025'!C75)</f>
        <v>200000</v>
      </c>
      <c r="AC75" s="1365"/>
      <c r="AD75" s="1365"/>
      <c r="AE75" s="1365"/>
      <c r="AF75" s="1365"/>
      <c r="AG75" s="1365"/>
      <c r="AH75" s="1365"/>
      <c r="AI75" s="1365"/>
      <c r="AJ75" s="1361">
        <f t="shared" ref="AJ75:AJ88" si="55">ROUND(SUM(F75:AI75),0)</f>
        <v>7816107</v>
      </c>
      <c r="AK75" s="1362">
        <f t="shared" ref="AK75:AK88" si="56">ROUND(D75*21.5%,0)</f>
        <v>793673</v>
      </c>
      <c r="AL75" s="1363">
        <f t="shared" ref="AL75:AL88" si="57">D75*2%</f>
        <v>73830</v>
      </c>
      <c r="AM75" s="1363">
        <v>300000</v>
      </c>
      <c r="AN75" s="1363">
        <f t="shared" si="53"/>
        <v>24000</v>
      </c>
      <c r="AO75" s="1363">
        <f t="shared" si="54"/>
        <v>324000</v>
      </c>
      <c r="AP75" s="1362">
        <f t="shared" ref="AP75:AP88" si="58">ROUND(SUM(F75:L75)+AK75+AL75,0)</f>
        <v>6987734</v>
      </c>
      <c r="AQ75" s="1363">
        <f t="shared" ref="AQ75:AQ88" si="59">ROUND(D75*10.5%,0)</f>
        <v>387608</v>
      </c>
      <c r="AR75" s="1363">
        <f t="shared" ref="AR75:AR88" si="60">D75*1%</f>
        <v>36915</v>
      </c>
      <c r="AS75" s="1363">
        <f>VLOOKUP(B75,'Thuế TNCN _T1'!$B$9:$K$86,10,0)</f>
        <v>0</v>
      </c>
      <c r="AT75" s="1366">
        <f t="shared" ref="AT75:AT88" si="61">AJ75-AQ75-AR75-AS75</f>
        <v>7391584</v>
      </c>
      <c r="AU75" s="1363">
        <f t="shared" ref="AU75:AU88" si="62">AL75+AR75</f>
        <v>110745</v>
      </c>
      <c r="AV75" s="1363">
        <f>VLOOKUP(C75,'[13]1'!$B$7:$F$83,5,0)</f>
        <v>1181280</v>
      </c>
      <c r="AW75" s="1366">
        <f>AK75+AM75+AN75+AQ75+AS75-AV75</f>
        <v>324001</v>
      </c>
      <c r="AX75" s="1374">
        <f t="shared" si="32"/>
        <v>6120231</v>
      </c>
      <c r="AY75" s="1374">
        <f t="shared" si="23"/>
        <v>6120231</v>
      </c>
      <c r="AZ75" s="1374"/>
      <c r="BA75" s="1437">
        <f t="shared" ref="BA75:BA89" si="63">J75+K75+L75+AK75+AL75+AO75</f>
        <v>1191503</v>
      </c>
      <c r="BB75" s="1437" t="e">
        <f>#REF!</f>
        <v>#REF!</v>
      </c>
      <c r="BC75" s="1437" t="e">
        <f>#REF!</f>
        <v>#REF!</v>
      </c>
      <c r="BD75" s="1437">
        <f t="shared" ref="BD75:BD88" si="64">AK75+AL75+AM75</f>
        <v>1167503</v>
      </c>
      <c r="BE75" s="1374"/>
      <c r="BF75" s="1374">
        <f>IFERROR(VLOOKUP(B75,'Bảng lương T5.2024'!$B$10:$N$85,13,0),0)</f>
        <v>34775</v>
      </c>
      <c r="BG75" s="1374">
        <f t="shared" si="52"/>
        <v>2140</v>
      </c>
      <c r="BH75" s="1367" t="s">
        <v>63</v>
      </c>
      <c r="BT75" s="1373"/>
      <c r="BU75" s="1373"/>
      <c r="BV75" s="1373"/>
      <c r="CB75" s="1369"/>
      <c r="CI75" s="1369"/>
      <c r="CN75" s="1370"/>
      <c r="CO75" s="1369"/>
      <c r="CQ75" s="1371"/>
      <c r="CR75" s="1372"/>
      <c r="CS75" s="1371"/>
      <c r="CT75" s="1375"/>
      <c r="CU75" s="1369"/>
    </row>
    <row r="76" spans="1:99" s="1367" customFormat="1" ht="21" customHeight="1">
      <c r="A76" s="1356">
        <v>71</v>
      </c>
      <c r="B76" s="1389" t="s">
        <v>294</v>
      </c>
      <c r="C76" s="1390" t="s">
        <v>295</v>
      </c>
      <c r="D76" s="1359">
        <f>IFERROR(VLOOKUP(B76,'[10]Danh sách CTV'!A$3:G$81,7,0),0)</f>
        <v>4718700</v>
      </c>
      <c r="E76" s="1434" t="str">
        <f>VLOOKUP(C76,[11]NhanSu!$D$4:$E$86,2,0)</f>
        <v>8321287622</v>
      </c>
      <c r="F76" s="1360">
        <f>IFERROR(VLOOKUP(B76,'Bảng lương t1.2025'!$B$10:$H$89,7,0),0)</f>
        <v>2455741</v>
      </c>
      <c r="G76" s="1360"/>
      <c r="H76" s="1364"/>
      <c r="I76" s="1452">
        <f>IFERROR(VLOOKUP(B76,'Bảng lương t1.2025'!$B$10:$I$89,8,0),0)</f>
        <v>2754296</v>
      </c>
      <c r="J76" s="1452"/>
      <c r="K76" s="1435">
        <f>SUMIFS('64'!$E:$E,'64'!$B:$B,'DSOAT-T1.2025'!C76)</f>
        <v>0</v>
      </c>
      <c r="L76" s="1365"/>
      <c r="M76" s="1365"/>
      <c r="N76" s="1365"/>
      <c r="O76" s="1365"/>
      <c r="P76" s="1365"/>
      <c r="Q76" s="1365"/>
      <c r="R76" s="1365"/>
      <c r="S76" s="1365"/>
      <c r="T76" s="1365"/>
      <c r="U76" s="1365"/>
      <c r="V76" s="1365"/>
      <c r="W76" s="1365"/>
      <c r="X76" s="1365"/>
      <c r="Y76" s="1365"/>
      <c r="Z76" s="1365">
        <f>IFERROR(VLOOKUP(B76,'[12]CTV thuê lại'!B$9:F$90,5,0),0)</f>
        <v>1879011</v>
      </c>
      <c r="AA76" s="1436"/>
      <c r="AB76" s="1365">
        <f>SUMIFS('210'!$G:$G,'210'!$B:$B,'DSOAT-T1.2025'!C76)</f>
        <v>200000</v>
      </c>
      <c r="AC76" s="1365"/>
      <c r="AD76" s="1365"/>
      <c r="AE76" s="1365"/>
      <c r="AF76" s="1365"/>
      <c r="AG76" s="1365"/>
      <c r="AH76" s="1365"/>
      <c r="AI76" s="1365"/>
      <c r="AJ76" s="1361">
        <f t="shared" si="55"/>
        <v>7289048</v>
      </c>
      <c r="AK76" s="1362">
        <f t="shared" si="56"/>
        <v>1014521</v>
      </c>
      <c r="AL76" s="1363">
        <f t="shared" si="57"/>
        <v>94374</v>
      </c>
      <c r="AM76" s="1363">
        <v>300000</v>
      </c>
      <c r="AN76" s="1363">
        <f t="shared" si="53"/>
        <v>24000</v>
      </c>
      <c r="AO76" s="1363">
        <f t="shared" si="54"/>
        <v>324000</v>
      </c>
      <c r="AP76" s="1362">
        <f t="shared" si="58"/>
        <v>6318932</v>
      </c>
      <c r="AQ76" s="1363">
        <f t="shared" si="59"/>
        <v>495464</v>
      </c>
      <c r="AR76" s="1363">
        <f t="shared" si="60"/>
        <v>47187</v>
      </c>
      <c r="AS76" s="1363">
        <f>VLOOKUP(B76,'Thuế TNCN _T1'!$B$9:$K$86,10,0)</f>
        <v>0</v>
      </c>
      <c r="AT76" s="1366">
        <f t="shared" si="61"/>
        <v>6746397</v>
      </c>
      <c r="AU76" s="1363">
        <f t="shared" si="62"/>
        <v>141561</v>
      </c>
      <c r="AV76" s="1363">
        <f>VLOOKUP(C76,'[13]1'!$B$7:$F$83,5,0)</f>
        <v>1509984</v>
      </c>
      <c r="AW76" s="1366">
        <f t="shared" ref="AW76:AW88" si="65">AK76+AM76+AN76+AQ76+AS76-AV76</f>
        <v>324001</v>
      </c>
      <c r="AX76" s="1374">
        <f t="shared" si="32"/>
        <v>5210037</v>
      </c>
      <c r="AY76" s="1374">
        <f t="shared" ref="AY76:AY88" si="66">AP76-AK76-AL76</f>
        <v>5210037</v>
      </c>
      <c r="AZ76" s="1374"/>
      <c r="BA76" s="1437">
        <f t="shared" si="63"/>
        <v>1432895</v>
      </c>
      <c r="BB76" s="1437" t="e">
        <f>#REF!</f>
        <v>#REF!</v>
      </c>
      <c r="BC76" s="1437" t="e">
        <f>#REF!</f>
        <v>#REF!</v>
      </c>
      <c r="BD76" s="1437">
        <f t="shared" si="64"/>
        <v>1408895</v>
      </c>
      <c r="BE76" s="1374"/>
      <c r="BF76" s="1374">
        <f>IFERROR(VLOOKUP(B76,'Bảng lương T5.2024'!$B$10:$N$85,13,0),0)</f>
        <v>44512</v>
      </c>
      <c r="BG76" s="1374">
        <f t="shared" si="52"/>
        <v>2675</v>
      </c>
      <c r="BH76" s="1367" t="s">
        <v>23</v>
      </c>
      <c r="BT76" s="1373"/>
      <c r="BU76" s="1373"/>
      <c r="BV76" s="1373"/>
      <c r="CB76" s="1369"/>
      <c r="CI76" s="1369"/>
      <c r="CN76" s="1370"/>
      <c r="CO76" s="1369"/>
      <c r="CQ76" s="1371"/>
      <c r="CR76" s="1372"/>
      <c r="CS76" s="1371"/>
      <c r="CT76" s="1375"/>
      <c r="CU76" s="1369"/>
    </row>
    <row r="77" spans="1:99" s="1367" customFormat="1" ht="21" customHeight="1">
      <c r="A77" s="1356">
        <v>72</v>
      </c>
      <c r="B77" s="1389" t="s">
        <v>434</v>
      </c>
      <c r="C77" s="1390" t="s">
        <v>435</v>
      </c>
      <c r="D77" s="1359">
        <f>IFERROR(VLOOKUP(B77,'[10]Danh sách CTV'!A$3:G$81,7,0),0)</f>
        <v>4718700</v>
      </c>
      <c r="E77" s="1434" t="str">
        <f>VLOOKUP(C77,[11]NhanSu!$D$4:$E$86,2,0)</f>
        <v>7931987452</v>
      </c>
      <c r="F77" s="1360">
        <f>IFERROR(VLOOKUP(B77,'Bảng lương t1.2025'!$B$10:$H$89,7,0),0)</f>
        <v>2463894</v>
      </c>
      <c r="G77" s="1360"/>
      <c r="H77" s="1364"/>
      <c r="I77" s="1452">
        <f>IFERROR(VLOOKUP(B77,'Bảng lương t1.2025'!$B$10:$I$89,8,0),0)</f>
        <v>3698312</v>
      </c>
      <c r="J77" s="1452"/>
      <c r="K77" s="1435">
        <f>SUMIFS('64'!$E:$E,'64'!$B:$B,'DSOAT-T1.2025'!C77)</f>
        <v>0</v>
      </c>
      <c r="L77" s="1365"/>
      <c r="M77" s="1365"/>
      <c r="N77" s="1365"/>
      <c r="O77" s="1365"/>
      <c r="P77" s="1365"/>
      <c r="Q77" s="1365"/>
      <c r="R77" s="1365"/>
      <c r="S77" s="1365"/>
      <c r="T77" s="1365"/>
      <c r="U77" s="1365"/>
      <c r="V77" s="1365"/>
      <c r="W77" s="1365"/>
      <c r="X77" s="1365"/>
      <c r="Y77" s="1365"/>
      <c r="Z77" s="1365">
        <f>IFERROR(VLOOKUP(B77,'[12]CTV thuê lại'!B$9:F$90,5,0),0)</f>
        <v>1711536</v>
      </c>
      <c r="AA77" s="1436"/>
      <c r="AB77" s="1365">
        <f>SUMIFS('210'!$G:$G,'210'!$B:$B,'DSOAT-T1.2025'!C77)</f>
        <v>200000</v>
      </c>
      <c r="AC77" s="1365"/>
      <c r="AD77" s="1365"/>
      <c r="AE77" s="1365"/>
      <c r="AF77" s="1365"/>
      <c r="AG77" s="1365"/>
      <c r="AH77" s="1365"/>
      <c r="AI77" s="1365"/>
      <c r="AJ77" s="1361">
        <f t="shared" si="55"/>
        <v>8073742</v>
      </c>
      <c r="AK77" s="1362">
        <f t="shared" si="56"/>
        <v>1014521</v>
      </c>
      <c r="AL77" s="1363">
        <f t="shared" si="57"/>
        <v>94374</v>
      </c>
      <c r="AM77" s="1363">
        <v>300000</v>
      </c>
      <c r="AN77" s="1363">
        <f t="shared" si="53"/>
        <v>24000</v>
      </c>
      <c r="AO77" s="1363">
        <f t="shared" si="54"/>
        <v>324000</v>
      </c>
      <c r="AP77" s="1362">
        <f t="shared" si="58"/>
        <v>7271101</v>
      </c>
      <c r="AQ77" s="1363">
        <f t="shared" si="59"/>
        <v>495464</v>
      </c>
      <c r="AR77" s="1363">
        <f t="shared" si="60"/>
        <v>47187</v>
      </c>
      <c r="AS77" s="1363">
        <f>VLOOKUP(B77,'Thuế TNCN _T1'!$B$9:$K$86,10,0)</f>
        <v>0</v>
      </c>
      <c r="AT77" s="1366">
        <f t="shared" si="61"/>
        <v>7531091</v>
      </c>
      <c r="AU77" s="1363">
        <f t="shared" si="62"/>
        <v>141561</v>
      </c>
      <c r="AV77" s="1363">
        <f>VLOOKUP(C77,'[13]1'!$B$7:$F$83,5,0)</f>
        <v>1509984</v>
      </c>
      <c r="AW77" s="1366">
        <f t="shared" si="65"/>
        <v>324001</v>
      </c>
      <c r="AX77" s="1374"/>
      <c r="AY77" s="1374">
        <f t="shared" si="66"/>
        <v>6162206</v>
      </c>
      <c r="AZ77" s="1374"/>
      <c r="BA77" s="1437">
        <f t="shared" si="63"/>
        <v>1432895</v>
      </c>
      <c r="BB77" s="1437" t="e">
        <f>#REF!</f>
        <v>#REF!</v>
      </c>
      <c r="BC77" s="1437" t="e">
        <f>#REF!</f>
        <v>#REF!</v>
      </c>
      <c r="BD77" s="1437">
        <f t="shared" si="64"/>
        <v>1408895</v>
      </c>
      <c r="BE77" s="1374"/>
      <c r="BF77" s="1374">
        <f>IFERROR(VLOOKUP(B77,'Bảng lương T5.2024'!$B$10:$N$85,13,0),0)</f>
        <v>44512</v>
      </c>
      <c r="BG77" s="1374">
        <f t="shared" si="52"/>
        <v>2675</v>
      </c>
      <c r="BH77" s="1367" t="s">
        <v>23</v>
      </c>
      <c r="BT77" s="1373"/>
      <c r="BU77" s="1373"/>
      <c r="BV77" s="1373"/>
      <c r="CB77" s="1369"/>
      <c r="CI77" s="1369"/>
      <c r="CN77" s="1370"/>
      <c r="CO77" s="1369"/>
      <c r="CQ77" s="1371"/>
      <c r="CR77" s="1372"/>
      <c r="CS77" s="1371"/>
      <c r="CT77" s="1375"/>
      <c r="CU77" s="1369"/>
    </row>
    <row r="78" spans="1:99" s="1367" customFormat="1" ht="21" customHeight="1">
      <c r="A78" s="1356">
        <v>73</v>
      </c>
      <c r="B78" s="1389" t="s">
        <v>901</v>
      </c>
      <c r="C78" s="1390" t="s">
        <v>644</v>
      </c>
      <c r="D78" s="1359">
        <f>IFERROR(VLOOKUP(B78,'[10]Danh sách CTV'!A$3:G$81,7,0),0)</f>
        <v>4130200.0000000005</v>
      </c>
      <c r="E78" s="1434" t="str">
        <f>VLOOKUP(C78,[11]NhanSu!$D$4:$E$86,2,0)</f>
        <v>8321941272</v>
      </c>
      <c r="F78" s="1360">
        <f>IFERROR(VLOOKUP(B78,'Bảng lương t1.2025'!$B$10:$H$89,7,0),0)</f>
        <v>2338976</v>
      </c>
      <c r="G78" s="1360"/>
      <c r="H78" s="1364"/>
      <c r="I78" s="1452">
        <f>IFERROR(VLOOKUP(B78,'Bảng lương t1.2025'!$B$10:$I$89,8,0),0)</f>
        <v>3070056</v>
      </c>
      <c r="J78" s="1452"/>
      <c r="K78" s="1435">
        <f>SUMIFS('64'!$E:$E,'64'!$B:$B,'DSOAT-T1.2025'!C78)</f>
        <v>0</v>
      </c>
      <c r="L78" s="1365"/>
      <c r="M78" s="1365"/>
      <c r="N78" s="1365"/>
      <c r="O78" s="1365"/>
      <c r="P78" s="1365"/>
      <c r="Q78" s="1365"/>
      <c r="R78" s="1365"/>
      <c r="S78" s="1365"/>
      <c r="T78" s="1365"/>
      <c r="U78" s="1365"/>
      <c r="V78" s="1365"/>
      <c r="W78" s="1365"/>
      <c r="X78" s="1365"/>
      <c r="Y78" s="1365"/>
      <c r="Z78" s="1365">
        <f>IFERROR(VLOOKUP(B78,'[12]CTV thuê lại'!B$9:F$90,5,0),0)</f>
        <v>1324851</v>
      </c>
      <c r="AA78" s="1436"/>
      <c r="AB78" s="1365">
        <f>SUMIFS('210'!$G:$G,'210'!$B:$B,'DSOAT-T1.2025'!C78)</f>
        <v>500000</v>
      </c>
      <c r="AC78" s="1365"/>
      <c r="AD78" s="1365"/>
      <c r="AE78" s="1365"/>
      <c r="AF78" s="1365"/>
      <c r="AG78" s="1365"/>
      <c r="AH78" s="1365"/>
      <c r="AI78" s="1365"/>
      <c r="AJ78" s="1361">
        <f t="shared" si="55"/>
        <v>7233883</v>
      </c>
      <c r="AK78" s="1362">
        <f t="shared" si="56"/>
        <v>887993</v>
      </c>
      <c r="AL78" s="1363">
        <f t="shared" si="57"/>
        <v>82604.000000000015</v>
      </c>
      <c r="AM78" s="1363">
        <v>300000</v>
      </c>
      <c r="AN78" s="1363">
        <f t="shared" si="53"/>
        <v>24000</v>
      </c>
      <c r="AO78" s="1363">
        <f t="shared" si="54"/>
        <v>324000</v>
      </c>
      <c r="AP78" s="1362">
        <f t="shared" si="58"/>
        <v>6379629</v>
      </c>
      <c r="AQ78" s="1363">
        <f t="shared" si="59"/>
        <v>433671</v>
      </c>
      <c r="AR78" s="1363">
        <f t="shared" si="60"/>
        <v>41302.000000000007</v>
      </c>
      <c r="AS78" s="1363">
        <f>VLOOKUP(B78,'Thuế TNCN _T1'!$B$9:$K$86,10,0)</f>
        <v>0</v>
      </c>
      <c r="AT78" s="1366">
        <f t="shared" si="61"/>
        <v>6758910</v>
      </c>
      <c r="AU78" s="1363">
        <f t="shared" si="62"/>
        <v>123906.00000000003</v>
      </c>
      <c r="AV78" s="1363">
        <f>VLOOKUP(C78,'[13]1'!$B$7:$F$83,5,0)</f>
        <v>1181280</v>
      </c>
      <c r="AW78" s="1366">
        <f t="shared" si="65"/>
        <v>464384</v>
      </c>
      <c r="AX78" s="1374"/>
      <c r="AY78" s="1374">
        <f t="shared" si="66"/>
        <v>5409032</v>
      </c>
      <c r="AZ78" s="1374"/>
      <c r="BA78" s="1437">
        <f t="shared" si="63"/>
        <v>1294597</v>
      </c>
      <c r="BB78" s="1437" t="e">
        <f>#REF!</f>
        <v>#REF!</v>
      </c>
      <c r="BC78" s="1437" t="e">
        <f>#REF!</f>
        <v>#REF!</v>
      </c>
      <c r="BD78" s="1437">
        <f t="shared" si="64"/>
        <v>1270597</v>
      </c>
      <c r="BE78" s="1374"/>
      <c r="BF78" s="1374">
        <f>IFERROR(VLOOKUP(B78,'Bảng lương T5.2024'!$B$10:$N$85,13,0),0)</f>
        <v>38948</v>
      </c>
      <c r="BG78" s="1374">
        <f t="shared" si="52"/>
        <v>2354.0000000000073</v>
      </c>
      <c r="BH78" s="1367" t="s">
        <v>92</v>
      </c>
      <c r="BT78" s="1373"/>
      <c r="BU78" s="1373"/>
      <c r="BV78" s="1373"/>
      <c r="CB78" s="1369"/>
      <c r="CI78" s="1369"/>
      <c r="CN78" s="1370"/>
      <c r="CO78" s="1369"/>
      <c r="CQ78" s="1371"/>
      <c r="CR78" s="1372"/>
      <c r="CS78" s="1371"/>
      <c r="CT78" s="1375"/>
      <c r="CU78" s="1369"/>
    </row>
    <row r="79" spans="1:99" s="1367" customFormat="1" ht="21" customHeight="1">
      <c r="A79" s="1356">
        <v>74</v>
      </c>
      <c r="B79" s="1389" t="s">
        <v>1310</v>
      </c>
      <c r="C79" s="1390" t="s">
        <v>1313</v>
      </c>
      <c r="D79" s="1359">
        <f>IFERROR(VLOOKUP(B79,'[10]Danh sách CTV'!A$3:G$81,7,0),0)</f>
        <v>4718700</v>
      </c>
      <c r="E79" s="1434" t="str">
        <f>VLOOKUP(C79,[11]NhanSu!$D$4:$E$86,2,0)</f>
        <v>8322982818</v>
      </c>
      <c r="F79" s="1360">
        <f>IFERROR(VLOOKUP(B79,'Bảng lương t1.2025'!$B$10:$H$89,7,0),0)</f>
        <v>8739137</v>
      </c>
      <c r="G79" s="1360"/>
      <c r="H79" s="1364"/>
      <c r="I79" s="1452">
        <f>IFERROR(VLOOKUP(B79,'Bảng lương t1.2025'!$B$10:$I$89,8,0),0)</f>
        <v>0</v>
      </c>
      <c r="J79" s="1452"/>
      <c r="K79" s="1435">
        <f>SUMIFS('64'!$E:$E,'64'!$B:$B,'DSOAT-T1.2025'!C79)</f>
        <v>0</v>
      </c>
      <c r="L79" s="1365"/>
      <c r="M79" s="1365"/>
      <c r="N79" s="1365"/>
      <c r="O79" s="1365"/>
      <c r="P79" s="1365"/>
      <c r="Q79" s="1365"/>
      <c r="R79" s="1365"/>
      <c r="S79" s="1365"/>
      <c r="T79" s="1365"/>
      <c r="U79" s="1365"/>
      <c r="V79" s="1365"/>
      <c r="W79" s="1365"/>
      <c r="X79" s="1365"/>
      <c r="Y79" s="1365"/>
      <c r="Z79" s="1365">
        <f>IFERROR(VLOOKUP(B79,'[12]CTV thuê lại'!B$9:F$90,5,0),0)</f>
        <v>1281166</v>
      </c>
      <c r="AA79" s="1436"/>
      <c r="AB79" s="1365">
        <f>SUMIFS('210'!$G:$G,'210'!$B:$B,'DSOAT-T1.2025'!C79)</f>
        <v>200000</v>
      </c>
      <c r="AC79" s="1365"/>
      <c r="AD79" s="1365"/>
      <c r="AE79" s="1365"/>
      <c r="AF79" s="1365"/>
      <c r="AG79" s="1365"/>
      <c r="AH79" s="1365"/>
      <c r="AI79" s="1365"/>
      <c r="AJ79" s="1361">
        <f t="shared" si="55"/>
        <v>10220303</v>
      </c>
      <c r="AK79" s="1362">
        <f t="shared" si="56"/>
        <v>1014521</v>
      </c>
      <c r="AL79" s="1363">
        <f t="shared" si="57"/>
        <v>94374</v>
      </c>
      <c r="AM79" s="1363">
        <v>300000</v>
      </c>
      <c r="AN79" s="1363">
        <f t="shared" si="53"/>
        <v>24000</v>
      </c>
      <c r="AO79" s="1363">
        <f t="shared" si="54"/>
        <v>324000</v>
      </c>
      <c r="AP79" s="1362">
        <f t="shared" si="58"/>
        <v>9848032</v>
      </c>
      <c r="AQ79" s="1363">
        <f t="shared" si="59"/>
        <v>495464</v>
      </c>
      <c r="AR79" s="1363">
        <f t="shared" si="60"/>
        <v>47187</v>
      </c>
      <c r="AS79" s="1363">
        <f>VLOOKUP(B79,'Thuế TNCN _T1'!$B$9:$K$86,10,0)</f>
        <v>0</v>
      </c>
      <c r="AT79" s="1366">
        <f t="shared" si="61"/>
        <v>9677652</v>
      </c>
      <c r="AU79" s="1363">
        <f t="shared" si="62"/>
        <v>141561</v>
      </c>
      <c r="AV79" s="1363">
        <f>VLOOKUP(C79,'[13]1'!$B$7:$F$83,5,0)</f>
        <v>1509984</v>
      </c>
      <c r="AW79" s="1366">
        <f t="shared" si="65"/>
        <v>324001</v>
      </c>
      <c r="AX79" s="1374"/>
      <c r="AY79" s="1374">
        <f t="shared" si="66"/>
        <v>8739137</v>
      </c>
      <c r="AZ79" s="1374"/>
      <c r="BA79" s="1437">
        <f t="shared" si="63"/>
        <v>1432895</v>
      </c>
      <c r="BB79" s="1437" t="e">
        <f>#REF!</f>
        <v>#REF!</v>
      </c>
      <c r="BC79" s="1437" t="e">
        <f>#REF!</f>
        <v>#REF!</v>
      </c>
      <c r="BD79" s="1437">
        <f t="shared" si="64"/>
        <v>1408895</v>
      </c>
      <c r="BE79" s="1374"/>
      <c r="BF79" s="1374">
        <f>IFERROR(VLOOKUP(B79,'Bảng lương T5.2024'!$B$10:$N$85,13,0),0)</f>
        <v>44512</v>
      </c>
      <c r="BG79" s="1374">
        <f t="shared" si="52"/>
        <v>2675</v>
      </c>
      <c r="BH79" s="1367" t="s">
        <v>15</v>
      </c>
      <c r="BI79" s="1367" t="s">
        <v>1315</v>
      </c>
      <c r="BT79" s="1373"/>
      <c r="BU79" s="1373"/>
      <c r="BV79" s="1373"/>
      <c r="CB79" s="1369"/>
      <c r="CI79" s="1369"/>
      <c r="CN79" s="1370"/>
      <c r="CO79" s="1369"/>
      <c r="CQ79" s="1371"/>
      <c r="CR79" s="1372"/>
      <c r="CS79" s="1371"/>
      <c r="CT79" s="1375"/>
      <c r="CU79" s="1369"/>
    </row>
    <row r="80" spans="1:99" s="1367" customFormat="1" ht="21" customHeight="1">
      <c r="A80" s="1356">
        <v>75</v>
      </c>
      <c r="B80" s="1389" t="s">
        <v>1312</v>
      </c>
      <c r="C80" s="1390" t="s">
        <v>1314</v>
      </c>
      <c r="D80" s="1359">
        <f>IFERROR(VLOOKUP(B80,'[10]Danh sách CTV'!A$3:G$81,7,0),0)</f>
        <v>3691500</v>
      </c>
      <c r="E80" s="1434" t="str">
        <f>VLOOKUP(C80,[11]NhanSu!$D$4:$E$86,2,0)</f>
        <v>8322561162</v>
      </c>
      <c r="F80" s="1360">
        <f>IFERROR(VLOOKUP(B80,'Bảng lương t1.2025'!$B$10:$H$89,7,0),0)</f>
        <v>1688105</v>
      </c>
      <c r="G80" s="1360"/>
      <c r="H80" s="1364"/>
      <c r="I80" s="1452">
        <f>IFERROR(VLOOKUP(B80,'Bảng lương t1.2025'!$B$10:$I$89,8,0),0)</f>
        <v>1903479</v>
      </c>
      <c r="J80" s="1452"/>
      <c r="K80" s="1435">
        <f>SUMIFS('64'!$E:$E,'64'!$B:$B,'DSOAT-T1.2025'!C80)</f>
        <v>0</v>
      </c>
      <c r="L80" s="1365"/>
      <c r="M80" s="1365"/>
      <c r="N80" s="1365"/>
      <c r="O80" s="1365"/>
      <c r="P80" s="1365"/>
      <c r="Q80" s="1365"/>
      <c r="R80" s="1365"/>
      <c r="S80" s="1365"/>
      <c r="T80" s="1365"/>
      <c r="U80" s="1365"/>
      <c r="V80" s="1365"/>
      <c r="W80" s="1365"/>
      <c r="X80" s="1365"/>
      <c r="Y80" s="1365"/>
      <c r="Z80" s="1365">
        <f>IFERROR(VLOOKUP(B80,'[12]CTV thuê lại'!B$9:F$90,5,0),0)</f>
        <v>959408</v>
      </c>
      <c r="AA80" s="1436"/>
      <c r="AB80" s="1365">
        <f>SUMIFS('210'!$G:$G,'210'!$B:$B,'DSOAT-T1.2025'!C80)</f>
        <v>200000</v>
      </c>
      <c r="AC80" s="1365"/>
      <c r="AD80" s="1365"/>
      <c r="AE80" s="1365"/>
      <c r="AF80" s="1365"/>
      <c r="AG80" s="1365"/>
      <c r="AH80" s="1365"/>
      <c r="AI80" s="1365"/>
      <c r="AJ80" s="1361">
        <f t="shared" si="55"/>
        <v>4750992</v>
      </c>
      <c r="AK80" s="1362">
        <f t="shared" si="56"/>
        <v>793673</v>
      </c>
      <c r="AL80" s="1363">
        <f t="shared" si="57"/>
        <v>73830</v>
      </c>
      <c r="AM80" s="1363">
        <v>300000</v>
      </c>
      <c r="AN80" s="1363">
        <f t="shared" si="53"/>
        <v>24000</v>
      </c>
      <c r="AO80" s="1363">
        <f t="shared" si="54"/>
        <v>324000</v>
      </c>
      <c r="AP80" s="1362">
        <f t="shared" si="58"/>
        <v>4459087</v>
      </c>
      <c r="AQ80" s="1363">
        <f t="shared" si="59"/>
        <v>387608</v>
      </c>
      <c r="AR80" s="1363">
        <f t="shared" si="60"/>
        <v>36915</v>
      </c>
      <c r="AS80" s="1363">
        <f>VLOOKUP(B80,'Thuế TNCN _T1'!$B$9:$K$86,10,0)</f>
        <v>0</v>
      </c>
      <c r="AT80" s="1366">
        <f t="shared" si="61"/>
        <v>4326469</v>
      </c>
      <c r="AU80" s="1363">
        <f t="shared" si="62"/>
        <v>110745</v>
      </c>
      <c r="AV80" s="1363">
        <f>VLOOKUP(C80,'[13]1'!$B$7:$F$83,5,0)</f>
        <v>1181280</v>
      </c>
      <c r="AW80" s="1366">
        <f t="shared" si="65"/>
        <v>324001</v>
      </c>
      <c r="AX80" s="1374"/>
      <c r="AY80" s="1374">
        <f t="shared" si="66"/>
        <v>3591584</v>
      </c>
      <c r="AZ80" s="1374"/>
      <c r="BA80" s="1437">
        <f t="shared" si="63"/>
        <v>1191503</v>
      </c>
      <c r="BB80" s="1437" t="e">
        <f>#REF!</f>
        <v>#REF!</v>
      </c>
      <c r="BC80" s="1437" t="e">
        <f>#REF!</f>
        <v>#REF!</v>
      </c>
      <c r="BD80" s="1437">
        <f t="shared" si="64"/>
        <v>1167503</v>
      </c>
      <c r="BE80" s="1374"/>
      <c r="BF80" s="1374">
        <f>IFERROR(VLOOKUP(B80,'Bảng lương T5.2024'!$B$10:$N$85,13,0),0)</f>
        <v>34775</v>
      </c>
      <c r="BG80" s="1374">
        <f t="shared" si="52"/>
        <v>2140</v>
      </c>
      <c r="BH80" s="1367" t="s">
        <v>63</v>
      </c>
      <c r="BI80" s="1367" t="s">
        <v>1315</v>
      </c>
      <c r="BT80" s="1373"/>
      <c r="BU80" s="1373"/>
      <c r="BV80" s="1373"/>
      <c r="CB80" s="1369"/>
      <c r="CI80" s="1369"/>
      <c r="CN80" s="1370"/>
      <c r="CO80" s="1369"/>
      <c r="CQ80" s="1371"/>
      <c r="CR80" s="1372"/>
      <c r="CS80" s="1371"/>
      <c r="CT80" s="1375"/>
      <c r="CU80" s="1369"/>
    </row>
    <row r="81" spans="1:99" s="1367" customFormat="1" ht="21" customHeight="1">
      <c r="A81" s="1356">
        <v>76</v>
      </c>
      <c r="B81" s="1389" t="s">
        <v>1311</v>
      </c>
      <c r="C81" s="1390" t="s">
        <v>1316</v>
      </c>
      <c r="D81" s="1359">
        <f>IFERROR(VLOOKUP(B81,'[10]Danh sách CTV'!A$3:G$81,7,0),0)</f>
        <v>4718700</v>
      </c>
      <c r="E81" s="1434" t="str">
        <f>VLOOKUP(C81,[11]NhanSu!$D$4:$E$86,2,0)</f>
        <v>8322952988</v>
      </c>
      <c r="F81" s="1360">
        <f>IFERROR(VLOOKUP(B81,'Bảng lương t1.2025'!$B$10:$H$89,7,0),0)</f>
        <v>2399904</v>
      </c>
      <c r="G81" s="1360"/>
      <c r="H81" s="1364"/>
      <c r="I81" s="1452">
        <f>IFERROR(VLOOKUP(B81,'Bảng lương t1.2025'!$B$10:$I$89,8,0),0)</f>
        <v>3377003</v>
      </c>
      <c r="J81" s="1452"/>
      <c r="K81" s="1435">
        <f>SUMIFS('64'!$E:$E,'64'!$B:$B,'DSOAT-T1.2025'!C81)</f>
        <v>200000</v>
      </c>
      <c r="L81" s="1365"/>
      <c r="M81" s="1365"/>
      <c r="N81" s="1365"/>
      <c r="O81" s="1365"/>
      <c r="P81" s="1365"/>
      <c r="Q81" s="1365"/>
      <c r="R81" s="1365"/>
      <c r="S81" s="1365"/>
      <c r="T81" s="1365"/>
      <c r="U81" s="1365"/>
      <c r="V81" s="1365"/>
      <c r="W81" s="1365"/>
      <c r="X81" s="1365"/>
      <c r="Y81" s="1365">
        <v>50000</v>
      </c>
      <c r="Z81" s="1365">
        <f>IFERROR(VLOOKUP(B81,'[12]CTV thuê lại'!B$9:F$90,5,0),0)</f>
        <v>1276558</v>
      </c>
      <c r="AA81" s="1436"/>
      <c r="AB81" s="1365">
        <f>SUMIFS('210'!$G:$G,'210'!$B:$B,'DSOAT-T1.2025'!C81)</f>
        <v>200000</v>
      </c>
      <c r="AC81" s="1365"/>
      <c r="AD81" s="1365"/>
      <c r="AE81" s="1365"/>
      <c r="AF81" s="1365"/>
      <c r="AG81" s="1365"/>
      <c r="AH81" s="1365"/>
      <c r="AI81" s="1365"/>
      <c r="AJ81" s="1361">
        <f t="shared" si="55"/>
        <v>7503465</v>
      </c>
      <c r="AK81" s="1362">
        <f t="shared" si="56"/>
        <v>1014521</v>
      </c>
      <c r="AL81" s="1363">
        <f t="shared" si="57"/>
        <v>94374</v>
      </c>
      <c r="AM81" s="1363">
        <v>300000</v>
      </c>
      <c r="AN81" s="1363">
        <f t="shared" si="53"/>
        <v>24000</v>
      </c>
      <c r="AO81" s="1363">
        <f t="shared" si="54"/>
        <v>324000</v>
      </c>
      <c r="AP81" s="1362">
        <f t="shared" si="58"/>
        <v>7085802</v>
      </c>
      <c r="AQ81" s="1363">
        <f t="shared" si="59"/>
        <v>495464</v>
      </c>
      <c r="AR81" s="1363">
        <f t="shared" si="60"/>
        <v>47187</v>
      </c>
      <c r="AS81" s="1363">
        <f>VLOOKUP(B81,'Thuế TNCN _T1'!$B$9:$K$86,10,0)</f>
        <v>0</v>
      </c>
      <c r="AT81" s="1366">
        <f t="shared" si="61"/>
        <v>6960814</v>
      </c>
      <c r="AU81" s="1363">
        <f t="shared" si="62"/>
        <v>141561</v>
      </c>
      <c r="AV81" s="1363">
        <f>VLOOKUP(C81,'[13]1'!$B$7:$F$83,5,0)</f>
        <v>1509984</v>
      </c>
      <c r="AW81" s="1366">
        <f t="shared" si="65"/>
        <v>324001</v>
      </c>
      <c r="AX81" s="1374"/>
      <c r="AY81" s="1374">
        <f t="shared" si="66"/>
        <v>5976907</v>
      </c>
      <c r="AZ81" s="1374"/>
      <c r="BA81" s="1437">
        <f t="shared" si="63"/>
        <v>1632895</v>
      </c>
      <c r="BB81" s="1437" t="e">
        <f>#REF!</f>
        <v>#REF!</v>
      </c>
      <c r="BC81" s="1437" t="e">
        <f>#REF!</f>
        <v>#REF!</v>
      </c>
      <c r="BD81" s="1437">
        <f t="shared" si="64"/>
        <v>1408895</v>
      </c>
      <c r="BE81" s="1374"/>
      <c r="BF81" s="1374">
        <f>IFERROR(VLOOKUP(B81,'Bảng lương T5.2024'!$B$10:$N$85,13,0),0)</f>
        <v>44512</v>
      </c>
      <c r="BG81" s="1374">
        <f t="shared" si="52"/>
        <v>2675</v>
      </c>
      <c r="BH81" s="1367" t="s">
        <v>23</v>
      </c>
      <c r="BI81" s="1367" t="s">
        <v>1315</v>
      </c>
      <c r="BT81" s="1373"/>
      <c r="BU81" s="1373"/>
      <c r="BV81" s="1373"/>
      <c r="CB81" s="1369"/>
      <c r="CI81" s="1369"/>
      <c r="CN81" s="1370"/>
      <c r="CO81" s="1369"/>
      <c r="CQ81" s="1371"/>
      <c r="CR81" s="1372"/>
      <c r="CS81" s="1371"/>
      <c r="CT81" s="1375"/>
      <c r="CU81" s="1369"/>
    </row>
    <row r="82" spans="1:99" s="1367" customFormat="1" ht="21" customHeight="1">
      <c r="A82" s="1356">
        <v>77</v>
      </c>
      <c r="B82" s="1389" t="s">
        <v>1457</v>
      </c>
      <c r="C82" s="1390" t="s">
        <v>1458</v>
      </c>
      <c r="D82" s="1359">
        <f>IFERROR(VLOOKUP(B82,'[10]Danh sách CTV'!A$3:G$81,7,0),0)</f>
        <v>4130200.0000000005</v>
      </c>
      <c r="E82" s="1434" t="str">
        <f>VLOOKUP(C82,[11]NhanSu!$D$4:$E$86,2,0)</f>
        <v>8323109440</v>
      </c>
      <c r="F82" s="1360">
        <f>IFERROR(VLOOKUP(B82,'Bảng lương t1.2025'!$B$10:$H$89,7,0),0)</f>
        <v>2393620</v>
      </c>
      <c r="G82" s="1360"/>
      <c r="H82" s="1364"/>
      <c r="I82" s="1452">
        <f>IFERROR(VLOOKUP(B82,'Bảng lương t1.2025'!$B$10:$I$89,8,0),0)</f>
        <v>3229461</v>
      </c>
      <c r="J82" s="1452"/>
      <c r="K82" s="1435">
        <f>SUMIFS('64'!$E:$E,'64'!$B:$B,'DSOAT-T1.2025'!C82)</f>
        <v>0</v>
      </c>
      <c r="L82" s="1365"/>
      <c r="M82" s="1365"/>
      <c r="N82" s="1365"/>
      <c r="O82" s="1365"/>
      <c r="P82" s="1365"/>
      <c r="Q82" s="1365"/>
      <c r="R82" s="1365"/>
      <c r="S82" s="1365"/>
      <c r="T82" s="1365"/>
      <c r="U82" s="1365"/>
      <c r="V82" s="1365"/>
      <c r="W82" s="1365"/>
      <c r="X82" s="1365"/>
      <c r="Y82" s="1365"/>
      <c r="Z82" s="1365">
        <f>IFERROR(VLOOKUP(B82,'[12]CTV thuê lại'!B$9:F$90,5,0),0)</f>
        <v>902636</v>
      </c>
      <c r="AA82" s="1436"/>
      <c r="AB82" s="1365">
        <f>SUMIFS('210'!$G:$G,'210'!$B:$B,'DSOAT-T1.2025'!C82)</f>
        <v>200000</v>
      </c>
      <c r="AC82" s="1365"/>
      <c r="AD82" s="1365"/>
      <c r="AE82" s="1365"/>
      <c r="AF82" s="1365"/>
      <c r="AG82" s="1365"/>
      <c r="AH82" s="1365"/>
      <c r="AI82" s="1365"/>
      <c r="AJ82" s="1361">
        <f t="shared" si="55"/>
        <v>6725717</v>
      </c>
      <c r="AK82" s="1362">
        <f t="shared" si="56"/>
        <v>887993</v>
      </c>
      <c r="AL82" s="1363">
        <f t="shared" si="57"/>
        <v>82604.000000000015</v>
      </c>
      <c r="AM82" s="1363">
        <v>300000</v>
      </c>
      <c r="AN82" s="1363">
        <f t="shared" si="53"/>
        <v>24000</v>
      </c>
      <c r="AO82" s="1363">
        <f t="shared" si="54"/>
        <v>324000</v>
      </c>
      <c r="AP82" s="1362">
        <f t="shared" si="58"/>
        <v>6593678</v>
      </c>
      <c r="AQ82" s="1363">
        <f t="shared" si="59"/>
        <v>433671</v>
      </c>
      <c r="AR82" s="1363">
        <f t="shared" si="60"/>
        <v>41302.000000000007</v>
      </c>
      <c r="AS82" s="1363">
        <f>VLOOKUP(B82,'Thuế TNCN _T1'!$B$9:$K$86,10,0)</f>
        <v>0</v>
      </c>
      <c r="AT82" s="1366">
        <f t="shared" si="61"/>
        <v>6250744</v>
      </c>
      <c r="AU82" s="1363">
        <f t="shared" si="62"/>
        <v>123906.00000000003</v>
      </c>
      <c r="AV82" s="1363">
        <f>VLOOKUP(C82,'[13]1'!$B$7:$F$83,5,0)</f>
        <v>1181280</v>
      </c>
      <c r="AW82" s="1366">
        <f t="shared" si="65"/>
        <v>464384</v>
      </c>
      <c r="AX82" s="1374"/>
      <c r="AY82" s="1374">
        <f t="shared" si="66"/>
        <v>5623081</v>
      </c>
      <c r="AZ82" s="1374"/>
      <c r="BA82" s="1437">
        <f t="shared" si="63"/>
        <v>1294597</v>
      </c>
      <c r="BB82" s="1437" t="e">
        <f>#REF!</f>
        <v>#REF!</v>
      </c>
      <c r="BC82" s="1437" t="e">
        <f>#REF!</f>
        <v>#REF!</v>
      </c>
      <c r="BD82" s="1437">
        <f t="shared" si="64"/>
        <v>1270597</v>
      </c>
      <c r="BE82" s="1374"/>
      <c r="BF82" s="1374"/>
      <c r="BG82" s="1374"/>
      <c r="BH82" s="1367" t="s">
        <v>92</v>
      </c>
      <c r="BT82" s="1373"/>
      <c r="BU82" s="1373"/>
      <c r="BV82" s="1373"/>
      <c r="CB82" s="1369"/>
      <c r="CI82" s="1369"/>
      <c r="CN82" s="1370"/>
      <c r="CO82" s="1369"/>
      <c r="CQ82" s="1371"/>
      <c r="CR82" s="1372"/>
      <c r="CS82" s="1371"/>
      <c r="CT82" s="1375"/>
      <c r="CU82" s="1369"/>
    </row>
    <row r="83" spans="1:99" s="1367" customFormat="1" ht="21" customHeight="1">
      <c r="A83" s="1356">
        <v>78</v>
      </c>
      <c r="B83" s="1389" t="s">
        <v>1471</v>
      </c>
      <c r="C83" s="1390" t="s">
        <v>690</v>
      </c>
      <c r="D83" s="1359">
        <f>IFERROR(VLOOKUP(B83,'[10]Danh sách CTV'!A$3:G$81,7,0),0)</f>
        <v>4130200.0000000005</v>
      </c>
      <c r="E83" s="1434" t="str">
        <f>VLOOKUP(C83,[11]NhanSu!$D$4:$E$86,2,0)</f>
        <v>8321546425</v>
      </c>
      <c r="F83" s="1360">
        <f>IFERROR(VLOOKUP(B83,'Bảng lương t1.2025'!$B$10:$H$89,7,0),0)</f>
        <v>1637790</v>
      </c>
      <c r="G83" s="1391"/>
      <c r="H83" s="1364"/>
      <c r="I83" s="1452">
        <f>IFERROR(VLOOKUP(B83,'Bảng lương t1.2025'!$B$10:$I$89,8,0),0)</f>
        <v>8979280</v>
      </c>
      <c r="J83" s="1452"/>
      <c r="K83" s="1435">
        <f>SUMIFS('64'!$E:$E,'64'!$B:$B,'DSOAT-T1.2025'!C83)</f>
        <v>0</v>
      </c>
      <c r="L83" s="1365"/>
      <c r="M83" s="1365"/>
      <c r="N83" s="1365"/>
      <c r="O83" s="1365"/>
      <c r="P83" s="1365"/>
      <c r="Q83" s="1365"/>
      <c r="R83" s="1365"/>
      <c r="S83" s="1365"/>
      <c r="T83" s="1365"/>
      <c r="U83" s="1365"/>
      <c r="V83" s="1365"/>
      <c r="W83" s="1365"/>
      <c r="X83" s="1365"/>
      <c r="Y83" s="1365"/>
      <c r="Z83" s="1365">
        <f>IFERROR(VLOOKUP(B83,'[12]CTV thuê lại'!B$9:F$90,5,0),0)</f>
        <v>294798</v>
      </c>
      <c r="AA83" s="1436"/>
      <c r="AB83" s="1365">
        <f>SUMIFS('210'!$G:$G,'210'!$B:$B,'DSOAT-T1.2025'!C83)</f>
        <v>200000</v>
      </c>
      <c r="AC83" s="1365"/>
      <c r="AD83" s="1365"/>
      <c r="AE83" s="1365"/>
      <c r="AF83" s="1365"/>
      <c r="AG83" s="1365"/>
      <c r="AH83" s="1365"/>
      <c r="AI83" s="1365"/>
      <c r="AJ83" s="1361">
        <f t="shared" si="55"/>
        <v>11111868</v>
      </c>
      <c r="AK83" s="1362">
        <f t="shared" si="56"/>
        <v>887993</v>
      </c>
      <c r="AL83" s="1363">
        <f t="shared" si="57"/>
        <v>82604.000000000015</v>
      </c>
      <c r="AM83" s="1363">
        <v>300000</v>
      </c>
      <c r="AN83" s="1363">
        <f t="shared" si="53"/>
        <v>24000</v>
      </c>
      <c r="AO83" s="1363">
        <f t="shared" si="54"/>
        <v>324000</v>
      </c>
      <c r="AP83" s="1362">
        <f t="shared" si="58"/>
        <v>11587667</v>
      </c>
      <c r="AQ83" s="1363">
        <f t="shared" si="59"/>
        <v>433671</v>
      </c>
      <c r="AR83" s="1363">
        <f t="shared" si="60"/>
        <v>41302.000000000007</v>
      </c>
      <c r="AS83" s="1363">
        <f>VLOOKUP(B83,'Thuế TNCN _T1'!$B$9:$K$86,10,0)</f>
        <v>0</v>
      </c>
      <c r="AT83" s="1366">
        <f t="shared" si="61"/>
        <v>10636895</v>
      </c>
      <c r="AU83" s="1363">
        <f t="shared" si="62"/>
        <v>123906.00000000003</v>
      </c>
      <c r="AV83" s="1363">
        <f>VLOOKUP(C83,'[13]1'!$B$7:$F$83,5,0)</f>
        <v>1321664</v>
      </c>
      <c r="AW83" s="1366">
        <f t="shared" si="65"/>
        <v>324000</v>
      </c>
      <c r="AX83" s="1374"/>
      <c r="AY83" s="1374">
        <f t="shared" si="66"/>
        <v>10617070</v>
      </c>
      <c r="AZ83" s="1374"/>
      <c r="BA83" s="1437">
        <f t="shared" si="63"/>
        <v>1294597</v>
      </c>
      <c r="BB83" s="1437" t="e">
        <f>#REF!</f>
        <v>#REF!</v>
      </c>
      <c r="BC83" s="1437" t="e">
        <f>#REF!</f>
        <v>#REF!</v>
      </c>
      <c r="BD83" s="1437">
        <f t="shared" si="64"/>
        <v>1270597</v>
      </c>
      <c r="BE83" s="1374"/>
      <c r="BF83" s="1374"/>
      <c r="BG83" s="1374"/>
      <c r="BH83" s="1367" t="s">
        <v>42</v>
      </c>
      <c r="BT83" s="1373"/>
      <c r="BU83" s="1373"/>
      <c r="BV83" s="1373"/>
      <c r="CB83" s="1369"/>
      <c r="CI83" s="1369"/>
      <c r="CN83" s="1370"/>
      <c r="CO83" s="1369"/>
      <c r="CQ83" s="1371"/>
      <c r="CR83" s="1372"/>
      <c r="CS83" s="1371"/>
      <c r="CT83" s="1375"/>
      <c r="CU83" s="1369"/>
    </row>
    <row r="84" spans="1:99" s="1367" customFormat="1" ht="29.25" customHeight="1">
      <c r="A84" s="1356">
        <v>79</v>
      </c>
      <c r="B84" s="1389" t="s">
        <v>1472</v>
      </c>
      <c r="C84" s="1390" t="s">
        <v>1473</v>
      </c>
      <c r="D84" s="1359">
        <f>IFERROR(VLOOKUP(B84,'[10]Danh sách CTV'!A$3:G$81,7,0),0)</f>
        <v>3691500</v>
      </c>
      <c r="E84" s="1434" t="str">
        <f>VLOOKUP(C84,[11]NhanSu!$D$4:$E$86,2,0)</f>
        <v>9221383710</v>
      </c>
      <c r="F84" s="1360">
        <f>IFERROR(VLOOKUP(B84,'Bảng lương t1.2025'!$B$10:$H$89,7,0),0)</f>
        <v>2356511</v>
      </c>
      <c r="G84" s="1391"/>
      <c r="H84" s="1364"/>
      <c r="I84" s="1452">
        <f>IFERROR(VLOOKUP(B84,'Bảng lương t1.2025'!$B$10:$I$89,8,0),0)</f>
        <v>2296374</v>
      </c>
      <c r="J84" s="1452"/>
      <c r="K84" s="1435">
        <f>SUMIFS('64'!$E:$E,'64'!$B:$B,'DSOAT-T1.2025'!C84)</f>
        <v>0</v>
      </c>
      <c r="L84" s="1365"/>
      <c r="M84" s="1365"/>
      <c r="N84" s="1365"/>
      <c r="O84" s="1365"/>
      <c r="P84" s="1365"/>
      <c r="Q84" s="1365"/>
      <c r="R84" s="1365"/>
      <c r="S84" s="1365"/>
      <c r="T84" s="1365"/>
      <c r="U84" s="1365"/>
      <c r="V84" s="1365"/>
      <c r="W84" s="1365"/>
      <c r="X84" s="1365"/>
      <c r="Y84" s="1365"/>
      <c r="Z84" s="1365">
        <f>IFERROR(VLOOKUP(B84,'[12]CTV thuê lại'!B$9:F$90,5,0),0)</f>
        <v>943286</v>
      </c>
      <c r="AA84" s="1436"/>
      <c r="AB84" s="1365">
        <f>SUMIFS('210'!$G:$G,'210'!$B:$B,'DSOAT-T1.2025'!C84)</f>
        <v>200000</v>
      </c>
      <c r="AC84" s="1365"/>
      <c r="AD84" s="1365"/>
      <c r="AE84" s="1365"/>
      <c r="AF84" s="1365"/>
      <c r="AG84" s="1365"/>
      <c r="AH84" s="1365"/>
      <c r="AI84" s="1365"/>
      <c r="AJ84" s="1361">
        <f t="shared" si="55"/>
        <v>5796171</v>
      </c>
      <c r="AK84" s="1362">
        <f t="shared" si="56"/>
        <v>793673</v>
      </c>
      <c r="AL84" s="1363">
        <f t="shared" si="57"/>
        <v>73830</v>
      </c>
      <c r="AM84" s="1363">
        <v>300000</v>
      </c>
      <c r="AN84" s="1363">
        <f t="shared" si="53"/>
        <v>24000</v>
      </c>
      <c r="AO84" s="1363">
        <f t="shared" si="54"/>
        <v>324000</v>
      </c>
      <c r="AP84" s="1362">
        <f t="shared" si="58"/>
        <v>5520388</v>
      </c>
      <c r="AQ84" s="1363">
        <f t="shared" si="59"/>
        <v>387608</v>
      </c>
      <c r="AR84" s="1363">
        <f t="shared" si="60"/>
        <v>36915</v>
      </c>
      <c r="AS84" s="1363">
        <f>VLOOKUP(B84,'Thuế TNCN _T1'!$B$9:$K$86,10,0)</f>
        <v>0</v>
      </c>
      <c r="AT84" s="1366">
        <f t="shared" si="61"/>
        <v>5371648</v>
      </c>
      <c r="AU84" s="1363">
        <f t="shared" si="62"/>
        <v>110745</v>
      </c>
      <c r="AV84" s="1363">
        <f>VLOOKUP(C84,'[13]1'!$B$7:$F$83,5,0)</f>
        <v>1181280</v>
      </c>
      <c r="AW84" s="1366">
        <f t="shared" si="65"/>
        <v>324001</v>
      </c>
      <c r="AX84" s="1374"/>
      <c r="AY84" s="1374">
        <f t="shared" si="66"/>
        <v>4652885</v>
      </c>
      <c r="AZ84" s="1374"/>
      <c r="BA84" s="1437">
        <f t="shared" si="63"/>
        <v>1191503</v>
      </c>
      <c r="BB84" s="1437" t="e">
        <f>#REF!</f>
        <v>#REF!</v>
      </c>
      <c r="BC84" s="1437" t="e">
        <f>#REF!</f>
        <v>#REF!</v>
      </c>
      <c r="BD84" s="1437">
        <f t="shared" si="64"/>
        <v>1167503</v>
      </c>
      <c r="BE84" s="1374"/>
      <c r="BF84" s="1374"/>
      <c r="BG84" s="1374"/>
      <c r="BH84" s="1367" t="s">
        <v>70</v>
      </c>
      <c r="BT84" s="1373"/>
      <c r="BU84" s="1373"/>
      <c r="BV84" s="1373"/>
      <c r="CB84" s="1369"/>
      <c r="CI84" s="1369"/>
      <c r="CN84" s="1370"/>
      <c r="CO84" s="1369"/>
      <c r="CQ84" s="1371"/>
      <c r="CR84" s="1372"/>
      <c r="CS84" s="1371"/>
      <c r="CT84" s="1375"/>
      <c r="CU84" s="1369"/>
    </row>
    <row r="85" spans="1:99" s="1367" customFormat="1" ht="21" customHeight="1">
      <c r="A85" s="1356">
        <v>80</v>
      </c>
      <c r="B85" s="1389" t="s">
        <v>1655</v>
      </c>
      <c r="C85" s="1390" t="s">
        <v>765</v>
      </c>
      <c r="D85" s="1359">
        <f>IFERROR(VLOOKUP(B85,'[10]Danh sách CTV'!A$3:G$81,7,0),0)</f>
        <v>3691500</v>
      </c>
      <c r="E85" s="1434" t="str">
        <f>VLOOKUP(C85,[11]NhanSu!$D$4:$E$86,2,0)</f>
        <v>8321870974</v>
      </c>
      <c r="F85" s="1360">
        <f>IFERROR(VLOOKUP(B85,'Bảng lương t1.2025'!$B$10:$H$89,7,0),0)</f>
        <v>2375088</v>
      </c>
      <c r="G85" s="1391"/>
      <c r="H85" s="1364"/>
      <c r="I85" s="1452">
        <f>IFERROR(VLOOKUP(B85,'Bảng lương t1.2025'!$B$10:$I$89,8,0),0)</f>
        <v>5621833</v>
      </c>
      <c r="J85" s="1452">
        <f>660000+1068000+1670345</f>
        <v>3398345</v>
      </c>
      <c r="K85" s="1435">
        <f>SUMIFS('64'!$E:$E,'64'!$B:$B,'DSOAT-T1.2025'!C85)</f>
        <v>0</v>
      </c>
      <c r="L85" s="1365"/>
      <c r="M85" s="1365"/>
      <c r="N85" s="1365"/>
      <c r="O85" s="1365"/>
      <c r="P85" s="1365"/>
      <c r="Q85" s="1365"/>
      <c r="R85" s="1365"/>
      <c r="S85" s="1365"/>
      <c r="T85" s="1365"/>
      <c r="U85" s="1365"/>
      <c r="V85" s="1365"/>
      <c r="W85" s="1365"/>
      <c r="X85" s="1365"/>
      <c r="Y85" s="1365"/>
      <c r="Z85" s="1365">
        <f>IFERROR(VLOOKUP(B85,'[12]CTV thuê lại'!B$9:F$90,5,0),0)</f>
        <v>760520</v>
      </c>
      <c r="AA85" s="1436"/>
      <c r="AB85" s="1365">
        <f>SUMIFS('210'!$G:$G,'210'!$B:$B,'DSOAT-T1.2025'!C85)</f>
        <v>200000</v>
      </c>
      <c r="AC85" s="1365"/>
      <c r="AD85" s="1365"/>
      <c r="AE85" s="1365"/>
      <c r="AF85" s="1365"/>
      <c r="AG85" s="1365"/>
      <c r="AH85" s="1365"/>
      <c r="AI85" s="1365"/>
      <c r="AJ85" s="1361">
        <f t="shared" si="55"/>
        <v>12355786</v>
      </c>
      <c r="AK85" s="1362">
        <f t="shared" si="56"/>
        <v>793673</v>
      </c>
      <c r="AL85" s="1363">
        <f t="shared" si="57"/>
        <v>73830</v>
      </c>
      <c r="AM85" s="1363">
        <v>300000</v>
      </c>
      <c r="AN85" s="1363">
        <f t="shared" si="53"/>
        <v>24000</v>
      </c>
      <c r="AO85" s="1363">
        <f t="shared" si="54"/>
        <v>324000</v>
      </c>
      <c r="AP85" s="1362">
        <f t="shared" si="58"/>
        <v>12262769</v>
      </c>
      <c r="AQ85" s="1363">
        <f t="shared" si="59"/>
        <v>387608</v>
      </c>
      <c r="AR85" s="1363">
        <f t="shared" si="60"/>
        <v>36915</v>
      </c>
      <c r="AS85" s="1363">
        <f>VLOOKUP(B85,'Thuế TNCN _T1'!$B$9:$K$86,10,0)</f>
        <v>48409</v>
      </c>
      <c r="AT85" s="1366">
        <f t="shared" si="61"/>
        <v>11882854</v>
      </c>
      <c r="AU85" s="1363">
        <f t="shared" si="62"/>
        <v>110745</v>
      </c>
      <c r="AV85" s="1363">
        <f>VLOOKUP(C85,'[13]1'!$B$7:$F$83,5,0)</f>
        <v>1181280</v>
      </c>
      <c r="AW85" s="1366">
        <f t="shared" si="65"/>
        <v>372410</v>
      </c>
      <c r="AX85" s="1374" t="s">
        <v>1656</v>
      </c>
      <c r="AY85" s="1374">
        <f t="shared" si="66"/>
        <v>11395266</v>
      </c>
      <c r="AZ85" s="1374"/>
      <c r="BA85" s="1437">
        <f t="shared" si="63"/>
        <v>4589848</v>
      </c>
      <c r="BB85" s="1437"/>
      <c r="BC85" s="1437"/>
      <c r="BD85" s="1437">
        <f t="shared" si="64"/>
        <v>1167503</v>
      </c>
      <c r="BE85" s="1374"/>
      <c r="BF85" s="1374"/>
      <c r="BG85" s="1374"/>
      <c r="BH85" s="1367" t="s">
        <v>87</v>
      </c>
      <c r="BT85" s="1373"/>
      <c r="BU85" s="1373"/>
      <c r="BV85" s="1373"/>
      <c r="CB85" s="1369"/>
      <c r="CI85" s="1369"/>
      <c r="CN85" s="1370"/>
      <c r="CO85" s="1369"/>
      <c r="CQ85" s="1371"/>
      <c r="CR85" s="1372"/>
      <c r="CS85" s="1371"/>
      <c r="CT85" s="1375"/>
      <c r="CU85" s="1369"/>
    </row>
    <row r="86" spans="1:99" s="1367" customFormat="1" ht="21" customHeight="1">
      <c r="A86" s="1356">
        <v>81</v>
      </c>
      <c r="B86" s="1389" t="s">
        <v>2057</v>
      </c>
      <c r="C86" s="1390" t="s">
        <v>1434</v>
      </c>
      <c r="D86" s="1359">
        <v>3691500</v>
      </c>
      <c r="E86" s="1434" t="str">
        <f>VLOOKUP(C86,[11]NhanSu!$D$4:$E$86,2,0)</f>
        <v>7915028868</v>
      </c>
      <c r="F86" s="1360">
        <f>IFERROR(VLOOKUP(B86,'Bảng lương t1.2025'!$B$10:$H$89,7,0),0)</f>
        <v>2320706</v>
      </c>
      <c r="G86" s="1391"/>
      <c r="H86" s="1364"/>
      <c r="I86" s="1452">
        <f>IFERROR(VLOOKUP(B86,'Bảng lương t1.2025'!$B$10:$I$89,8,0),0)</f>
        <v>7517443</v>
      </c>
      <c r="J86" s="1452"/>
      <c r="K86" s="1435">
        <f>SUMIFS('64'!$E:$E,'64'!$B:$B,'DSOAT-T1.2025'!C86)</f>
        <v>0</v>
      </c>
      <c r="L86" s="1365"/>
      <c r="M86" s="1365"/>
      <c r="N86" s="1365"/>
      <c r="O86" s="1365"/>
      <c r="P86" s="1365"/>
      <c r="Q86" s="1365"/>
      <c r="R86" s="1365"/>
      <c r="S86" s="1365"/>
      <c r="T86" s="1365"/>
      <c r="U86" s="1365"/>
      <c r="V86" s="1365"/>
      <c r="W86" s="1365"/>
      <c r="X86" s="1365"/>
      <c r="Y86" s="1365"/>
      <c r="Z86" s="1365">
        <f>IFERROR(VLOOKUP(B86,'[12]CTV thuê lại'!B$9:F$90,5,0),0)</f>
        <v>215446</v>
      </c>
      <c r="AA86" s="1436"/>
      <c r="AB86" s="1365">
        <f>SUMIFS('210'!$G:$G,'210'!$B:$B,'DSOAT-T1.2025'!C86)</f>
        <v>200000</v>
      </c>
      <c r="AC86" s="1365"/>
      <c r="AD86" s="1365"/>
      <c r="AE86" s="1365"/>
      <c r="AF86" s="1365"/>
      <c r="AG86" s="1365"/>
      <c r="AH86" s="1365"/>
      <c r="AI86" s="1365"/>
      <c r="AJ86" s="1361">
        <f t="shared" si="55"/>
        <v>10253595</v>
      </c>
      <c r="AK86" s="1362">
        <f t="shared" si="56"/>
        <v>793673</v>
      </c>
      <c r="AL86" s="1363">
        <f t="shared" si="57"/>
        <v>73830</v>
      </c>
      <c r="AM86" s="1363">
        <v>300000</v>
      </c>
      <c r="AN86" s="1363">
        <f t="shared" si="53"/>
        <v>24000</v>
      </c>
      <c r="AO86" s="1363">
        <f t="shared" si="54"/>
        <v>324000</v>
      </c>
      <c r="AP86" s="1362">
        <f t="shared" si="58"/>
        <v>10705652</v>
      </c>
      <c r="AQ86" s="1363">
        <f t="shared" si="59"/>
        <v>387608</v>
      </c>
      <c r="AR86" s="1363">
        <f t="shared" si="60"/>
        <v>36915</v>
      </c>
      <c r="AS86" s="1363">
        <f>VLOOKUP(B86,'Thuế TNCN _T1'!$B$9:$K$86,10,0)</f>
        <v>0</v>
      </c>
      <c r="AT86" s="1366">
        <f t="shared" si="61"/>
        <v>9829072</v>
      </c>
      <c r="AU86" s="1363">
        <f t="shared" si="62"/>
        <v>110745</v>
      </c>
      <c r="AV86" s="1363">
        <f>VLOOKUP(C86,'[13]1'!$B$7:$F$83,5,0)</f>
        <v>1181280</v>
      </c>
      <c r="AW86" s="1366">
        <f t="shared" si="65"/>
        <v>324001</v>
      </c>
      <c r="AX86" s="1374"/>
      <c r="AY86" s="1374">
        <f t="shared" si="66"/>
        <v>9838149</v>
      </c>
      <c r="AZ86" s="1374"/>
      <c r="BA86" s="1437">
        <f t="shared" si="63"/>
        <v>1191503</v>
      </c>
      <c r="BB86" s="1437"/>
      <c r="BC86" s="1437"/>
      <c r="BD86" s="1437">
        <f t="shared" si="64"/>
        <v>1167503</v>
      </c>
      <c r="BE86" s="1374"/>
      <c r="BF86" s="1374"/>
      <c r="BG86" s="1374"/>
      <c r="BH86" s="1367" t="s">
        <v>63</v>
      </c>
      <c r="BT86" s="1373"/>
      <c r="BU86" s="1373"/>
      <c r="BV86" s="1373"/>
      <c r="CB86" s="1369"/>
      <c r="CI86" s="1369"/>
      <c r="CN86" s="1370"/>
      <c r="CO86" s="1369"/>
      <c r="CQ86" s="1371"/>
      <c r="CR86" s="1372"/>
      <c r="CS86" s="1371"/>
      <c r="CT86" s="1375"/>
      <c r="CU86" s="1369"/>
    </row>
    <row r="87" spans="1:99" s="1367" customFormat="1" ht="21" customHeight="1">
      <c r="A87" s="1356">
        <v>82</v>
      </c>
      <c r="B87" s="1389" t="s">
        <v>2058</v>
      </c>
      <c r="C87" s="1390" t="s">
        <v>831</v>
      </c>
      <c r="D87" s="1359">
        <v>4718700</v>
      </c>
      <c r="E87" s="1434" t="str">
        <f>VLOOKUP(C87,[11]NhanSu!$D$4:$E$86,2,0)</f>
        <v>8323116964</v>
      </c>
      <c r="F87" s="1360">
        <f>IFERROR(VLOOKUP(B87,'Bảng lương t1.2025'!$B$10:$H$89,7,0),0)</f>
        <v>1758024</v>
      </c>
      <c r="G87" s="1391"/>
      <c r="H87" s="1364"/>
      <c r="I87" s="1452">
        <f>IFERROR(VLOOKUP(B87,'Bảng lương t1.2025'!$B$10:$I$89,8,0),0)</f>
        <v>2577431</v>
      </c>
      <c r="J87" s="1452"/>
      <c r="K87" s="1435">
        <f>SUMIFS('64'!$E:$E,'64'!$B:$B,'DSOAT-T1.2025'!C87)</f>
        <v>0</v>
      </c>
      <c r="L87" s="1365"/>
      <c r="M87" s="1365"/>
      <c r="N87" s="1365"/>
      <c r="O87" s="1365"/>
      <c r="P87" s="1365"/>
      <c r="Q87" s="1365"/>
      <c r="R87" s="1365"/>
      <c r="S87" s="1365"/>
      <c r="T87" s="1365"/>
      <c r="U87" s="1365"/>
      <c r="V87" s="1365"/>
      <c r="W87" s="1365"/>
      <c r="X87" s="1365"/>
      <c r="Y87" s="1365"/>
      <c r="Z87" s="1365">
        <f>IFERROR(VLOOKUP(B87,'[12]CTV thuê lại'!B$9:F$90,5,0),0)</f>
        <v>399180</v>
      </c>
      <c r="AA87" s="1436"/>
      <c r="AB87" s="1365">
        <f>SUMIFS('210'!$G:$G,'210'!$B:$B,'DSOAT-T1.2025'!C87)</f>
        <v>200000</v>
      </c>
      <c r="AC87" s="1365"/>
      <c r="AD87" s="1365"/>
      <c r="AE87" s="1365"/>
      <c r="AF87" s="1365"/>
      <c r="AG87" s="1365"/>
      <c r="AH87" s="1365"/>
      <c r="AI87" s="1365"/>
      <c r="AJ87" s="1361">
        <f t="shared" si="55"/>
        <v>4934635</v>
      </c>
      <c r="AK87" s="1362">
        <f t="shared" si="56"/>
        <v>1014521</v>
      </c>
      <c r="AL87" s="1363">
        <f t="shared" si="57"/>
        <v>94374</v>
      </c>
      <c r="AM87" s="1363">
        <v>300000</v>
      </c>
      <c r="AN87" s="1363">
        <f t="shared" si="53"/>
        <v>24000</v>
      </c>
      <c r="AO87" s="1363">
        <f t="shared" si="54"/>
        <v>324000</v>
      </c>
      <c r="AP87" s="1362">
        <f t="shared" si="58"/>
        <v>5444350</v>
      </c>
      <c r="AQ87" s="1363">
        <f t="shared" si="59"/>
        <v>495464</v>
      </c>
      <c r="AR87" s="1363">
        <f t="shared" si="60"/>
        <v>47187</v>
      </c>
      <c r="AS87" s="1363">
        <f>VLOOKUP(B87,'Thuế TNCN _T1'!$B$9:$K$86,10,0)</f>
        <v>0</v>
      </c>
      <c r="AT87" s="1366">
        <f t="shared" si="61"/>
        <v>4391984</v>
      </c>
      <c r="AU87" s="1363">
        <f t="shared" si="62"/>
        <v>141561</v>
      </c>
      <c r="AV87" s="1363">
        <f>VLOOKUP(C87,'[13]1'!$B$7:$F$83,5,0)</f>
        <v>1509984</v>
      </c>
      <c r="AW87" s="1366">
        <f t="shared" si="65"/>
        <v>324001</v>
      </c>
      <c r="AX87" s="1374"/>
      <c r="AY87" s="1374">
        <f t="shared" si="66"/>
        <v>4335455</v>
      </c>
      <c r="AZ87" s="1374"/>
      <c r="BA87" s="1437">
        <f t="shared" si="63"/>
        <v>1432895</v>
      </c>
      <c r="BB87" s="1437"/>
      <c r="BC87" s="1437"/>
      <c r="BD87" s="1437">
        <f t="shared" si="64"/>
        <v>1408895</v>
      </c>
      <c r="BE87" s="1374"/>
      <c r="BF87" s="1374"/>
      <c r="BG87" s="1374"/>
      <c r="BH87" s="1367" t="s">
        <v>79</v>
      </c>
      <c r="BT87" s="1373"/>
      <c r="BU87" s="1373"/>
      <c r="BV87" s="1373"/>
      <c r="CB87" s="1369"/>
      <c r="CI87" s="1369"/>
      <c r="CN87" s="1370"/>
      <c r="CO87" s="1369"/>
      <c r="CQ87" s="1371"/>
      <c r="CR87" s="1372"/>
      <c r="CS87" s="1371"/>
      <c r="CT87" s="1375"/>
      <c r="CU87" s="1369"/>
    </row>
    <row r="88" spans="1:99" s="1367" customFormat="1" ht="21" customHeight="1">
      <c r="A88" s="1356">
        <v>83</v>
      </c>
      <c r="B88" s="1389" t="s">
        <v>2059</v>
      </c>
      <c r="C88" s="1390" t="s">
        <v>716</v>
      </c>
      <c r="D88" s="1359">
        <v>4130200.0000000005</v>
      </c>
      <c r="E88" s="1434" t="str">
        <f>VLOOKUP(C88,[11]NhanSu!$D$4:$E$86,2,0)</f>
        <v xml:space="preserve">8322977075  </v>
      </c>
      <c r="F88" s="1360">
        <f>IFERROR(VLOOKUP(B88,'Bảng lương t1.2025'!$B$10:$H$89,7,0),0)</f>
        <v>1173996</v>
      </c>
      <c r="G88" s="1391"/>
      <c r="H88" s="1364"/>
      <c r="I88" s="1452">
        <f>IFERROR(VLOOKUP(B88,'Bảng lương t1.2025'!$B$10:$I$89,8,0),0)</f>
        <v>1768216</v>
      </c>
      <c r="J88" s="1452">
        <f>500000+2538600+9096000+1379000</f>
        <v>13513600</v>
      </c>
      <c r="K88" s="1435">
        <f>SUMIFS('64'!$E:$E,'64'!$B:$B,'DSOAT-T1.2025'!C88)</f>
        <v>0</v>
      </c>
      <c r="L88" s="1365">
        <v>27500</v>
      </c>
      <c r="M88" s="1365"/>
      <c r="N88" s="1365"/>
      <c r="O88" s="1365"/>
      <c r="P88" s="1365"/>
      <c r="Q88" s="1365"/>
      <c r="R88" s="1365"/>
      <c r="S88" s="1365"/>
      <c r="T88" s="1365"/>
      <c r="U88" s="1365"/>
      <c r="V88" s="1365"/>
      <c r="W88" s="1365"/>
      <c r="X88" s="1365"/>
      <c r="Y88" s="1365"/>
      <c r="Z88" s="1365">
        <f>IFERROR(VLOOKUP(B88,'[12]CTV thuê lại'!B$9:F$90,5,0),0)</f>
        <v>403968</v>
      </c>
      <c r="AA88" s="1436"/>
      <c r="AB88" s="1365">
        <f>SUMIFS('210'!$G:$G,'210'!$B:$B,'DSOAT-T1.2025'!C88)</f>
        <v>200000</v>
      </c>
      <c r="AC88" s="1365"/>
      <c r="AD88" s="1365"/>
      <c r="AE88" s="1365"/>
      <c r="AF88" s="1365"/>
      <c r="AG88" s="1365"/>
      <c r="AH88" s="1365"/>
      <c r="AI88" s="1365"/>
      <c r="AJ88" s="1361">
        <f t="shared" si="55"/>
        <v>17087280</v>
      </c>
      <c r="AK88" s="1362">
        <f t="shared" si="56"/>
        <v>887993</v>
      </c>
      <c r="AL88" s="1363">
        <f t="shared" si="57"/>
        <v>82604.000000000015</v>
      </c>
      <c r="AM88" s="1363">
        <v>300000</v>
      </c>
      <c r="AN88" s="1363">
        <f t="shared" si="53"/>
        <v>24000</v>
      </c>
      <c r="AO88" s="1363">
        <f t="shared" si="54"/>
        <v>324000</v>
      </c>
      <c r="AP88" s="1362">
        <f t="shared" si="58"/>
        <v>17453909</v>
      </c>
      <c r="AQ88" s="1363">
        <f t="shared" si="59"/>
        <v>433671</v>
      </c>
      <c r="AR88" s="1363">
        <f t="shared" si="60"/>
        <v>41302.000000000007</v>
      </c>
      <c r="AS88" s="1363">
        <f>VLOOKUP(B88,'Thuế TNCN _T1'!$B$9:$K$86,10,0)</f>
        <v>315361</v>
      </c>
      <c r="AT88" s="1366">
        <f t="shared" si="61"/>
        <v>16296946</v>
      </c>
      <c r="AU88" s="1363">
        <f t="shared" si="62"/>
        <v>123906.00000000003</v>
      </c>
      <c r="AV88" s="1363">
        <f>VLOOKUP(C88,'[13]1'!$B$7:$F$83,5,0)</f>
        <v>1181280</v>
      </c>
      <c r="AW88" s="1366">
        <f t="shared" si="65"/>
        <v>779745</v>
      </c>
      <c r="AX88" s="1374"/>
      <c r="AY88" s="1374">
        <f t="shared" si="66"/>
        <v>16483312</v>
      </c>
      <c r="AZ88" s="1374"/>
      <c r="BA88" s="1437">
        <f t="shared" si="63"/>
        <v>14835697</v>
      </c>
      <c r="BB88" s="1437"/>
      <c r="BC88" s="1437"/>
      <c r="BD88" s="1437">
        <f t="shared" si="64"/>
        <v>1270597</v>
      </c>
      <c r="BE88" s="1374"/>
      <c r="BF88" s="1374"/>
      <c r="BG88" s="1374"/>
      <c r="BH88" s="1367" t="s">
        <v>92</v>
      </c>
      <c r="BT88" s="1373"/>
      <c r="BU88" s="1373"/>
      <c r="BV88" s="1373"/>
      <c r="CB88" s="1369"/>
      <c r="CI88" s="1369"/>
      <c r="CN88" s="1370"/>
      <c r="CO88" s="1369"/>
      <c r="CQ88" s="1371"/>
      <c r="CR88" s="1372"/>
      <c r="CS88" s="1371"/>
      <c r="CT88" s="1375"/>
      <c r="CU88" s="1369"/>
    </row>
    <row r="89" spans="1:99" s="147" customFormat="1" ht="21" customHeight="1">
      <c r="A89" s="1438" t="s">
        <v>132</v>
      </c>
      <c r="B89" s="1439"/>
      <c r="C89" s="1440"/>
      <c r="D89" s="1392">
        <f>SUM(D11:D88)-D74</f>
        <v>327933600</v>
      </c>
      <c r="E89" s="1392">
        <f t="shared" ref="E89:AI89" si="67">SUM(E11:E88)</f>
        <v>0</v>
      </c>
      <c r="F89" s="1450">
        <f t="shared" si="67"/>
        <v>323845361</v>
      </c>
      <c r="G89" s="1450">
        <f t="shared" si="67"/>
        <v>793672.5</v>
      </c>
      <c r="H89" s="1450">
        <f t="shared" si="67"/>
        <v>0</v>
      </c>
      <c r="I89" s="1450">
        <f t="shared" si="67"/>
        <v>359868852</v>
      </c>
      <c r="J89" s="1450">
        <f t="shared" si="67"/>
        <v>102621757</v>
      </c>
      <c r="K89" s="1450">
        <f t="shared" si="67"/>
        <v>3000000</v>
      </c>
      <c r="L89" s="1450">
        <f t="shared" si="67"/>
        <v>126500</v>
      </c>
      <c r="M89" s="1392">
        <f t="shared" si="67"/>
        <v>0</v>
      </c>
      <c r="N89" s="1392">
        <f t="shared" si="67"/>
        <v>0</v>
      </c>
      <c r="O89" s="1392">
        <f t="shared" si="67"/>
        <v>0</v>
      </c>
      <c r="P89" s="1392">
        <f t="shared" si="67"/>
        <v>0</v>
      </c>
      <c r="Q89" s="1392">
        <f t="shared" si="67"/>
        <v>0</v>
      </c>
      <c r="R89" s="1392">
        <f t="shared" si="67"/>
        <v>0</v>
      </c>
      <c r="S89" s="1392">
        <f t="shared" si="67"/>
        <v>0</v>
      </c>
      <c r="T89" s="1392">
        <f t="shared" si="67"/>
        <v>0</v>
      </c>
      <c r="U89" s="1392">
        <f t="shared" si="67"/>
        <v>0</v>
      </c>
      <c r="V89" s="1392">
        <f t="shared" si="67"/>
        <v>0</v>
      </c>
      <c r="W89" s="1392">
        <f t="shared" si="67"/>
        <v>0</v>
      </c>
      <c r="X89" s="1392">
        <f t="shared" si="67"/>
        <v>1000000</v>
      </c>
      <c r="Y89" s="1392">
        <f t="shared" si="67"/>
        <v>424000</v>
      </c>
      <c r="Z89" s="1392">
        <f t="shared" si="67"/>
        <v>157707708</v>
      </c>
      <c r="AA89" s="1392">
        <f t="shared" si="67"/>
        <v>1800000</v>
      </c>
      <c r="AB89" s="1392">
        <f t="shared" si="67"/>
        <v>23100000</v>
      </c>
      <c r="AC89" s="1392">
        <f t="shared" si="67"/>
        <v>0</v>
      </c>
      <c r="AD89" s="1392">
        <f t="shared" si="67"/>
        <v>0</v>
      </c>
      <c r="AE89" s="1392">
        <f t="shared" si="67"/>
        <v>0</v>
      </c>
      <c r="AF89" s="1392">
        <f t="shared" si="67"/>
        <v>0</v>
      </c>
      <c r="AG89" s="1392">
        <f t="shared" si="67"/>
        <v>0</v>
      </c>
      <c r="AH89" s="1392">
        <f t="shared" si="67"/>
        <v>0</v>
      </c>
      <c r="AI89" s="1392">
        <f t="shared" si="67"/>
        <v>0</v>
      </c>
      <c r="AJ89" s="1392">
        <f>SUM(AJ11:AJ88)</f>
        <v>974287851</v>
      </c>
      <c r="AK89" s="1392">
        <f t="shared" ref="AK89:BL89" si="68">SUM(AK11:AK88)</f>
        <v>70505749</v>
      </c>
      <c r="AL89" s="1392">
        <f t="shared" si="68"/>
        <v>6632502</v>
      </c>
      <c r="AM89" s="1392">
        <f t="shared" si="68"/>
        <v>23400000</v>
      </c>
      <c r="AN89" s="1392">
        <f t="shared" si="68"/>
        <v>1872000</v>
      </c>
      <c r="AO89" s="1392">
        <f t="shared" si="68"/>
        <v>25272000</v>
      </c>
      <c r="AP89" s="1392">
        <f t="shared" si="68"/>
        <v>867394394</v>
      </c>
      <c r="AQ89" s="1392">
        <f t="shared" si="68"/>
        <v>34433053</v>
      </c>
      <c r="AR89" s="1392">
        <f t="shared" si="68"/>
        <v>3316251</v>
      </c>
      <c r="AS89" s="1392">
        <f t="shared" si="68"/>
        <v>11037236</v>
      </c>
      <c r="AT89" s="1392">
        <f t="shared" si="68"/>
        <v>925501311</v>
      </c>
      <c r="AU89" s="1392">
        <f t="shared" si="68"/>
        <v>9948753</v>
      </c>
      <c r="AV89" s="1392">
        <f t="shared" si="68"/>
        <v>103113760</v>
      </c>
      <c r="AW89" s="1392">
        <f t="shared" si="68"/>
        <v>38134278</v>
      </c>
      <c r="AX89" s="1392">
        <f t="shared" si="68"/>
        <v>601340850.5</v>
      </c>
      <c r="AY89" s="1392"/>
      <c r="AZ89" s="1392">
        <f t="shared" si="68"/>
        <v>0</v>
      </c>
      <c r="BA89" s="1437">
        <f t="shared" si="63"/>
        <v>208158508</v>
      </c>
      <c r="BB89" s="1392" t="e">
        <f t="shared" si="68"/>
        <v>#REF!</v>
      </c>
      <c r="BC89" s="1392" t="e">
        <f t="shared" si="68"/>
        <v>#REF!</v>
      </c>
      <c r="BD89" s="1392">
        <f t="shared" si="68"/>
        <v>100538251</v>
      </c>
      <c r="BE89" s="1392">
        <f t="shared" si="68"/>
        <v>0</v>
      </c>
      <c r="BF89" s="1392">
        <f t="shared" si="68"/>
        <v>2776436</v>
      </c>
      <c r="BG89" s="1392">
        <f t="shared" si="68"/>
        <v>257977</v>
      </c>
      <c r="BH89" s="1392">
        <f t="shared" si="68"/>
        <v>0</v>
      </c>
      <c r="BI89" s="1392">
        <f t="shared" si="68"/>
        <v>72489825</v>
      </c>
      <c r="BJ89" s="1392">
        <f t="shared" si="68"/>
        <v>677640046</v>
      </c>
      <c r="BK89" s="1392" t="e">
        <f t="shared" si="68"/>
        <v>#REF!</v>
      </c>
      <c r="BL89" s="1392" t="e">
        <f t="shared" si="68"/>
        <v>#REF!</v>
      </c>
      <c r="BM89" s="1392">
        <f>SUM(BM11:BM66)</f>
        <v>1244529191</v>
      </c>
      <c r="BN89" s="1392">
        <f>SUM(BN11:BN66)</f>
        <v>0</v>
      </c>
      <c r="BO89" s="1392">
        <f>SUM(BO11:BO66)</f>
        <v>1442781578</v>
      </c>
      <c r="BP89" s="1392"/>
      <c r="BQ89" s="1392"/>
      <c r="BR89" s="1392"/>
      <c r="BS89" s="1392"/>
      <c r="BT89" s="1392">
        <f>SUM(BT11:BT66)</f>
        <v>70417666</v>
      </c>
      <c r="BU89" s="1392">
        <f>SUM(BU11:BU66)</f>
        <v>0</v>
      </c>
      <c r="BV89" s="1392">
        <f>SUM(BV11:BV64)</f>
        <v>24224924</v>
      </c>
      <c r="CN89" s="1397"/>
      <c r="CS89" s="1396"/>
      <c r="CT89" s="1398"/>
    </row>
    <row r="90" spans="1:99" s="147" customFormat="1" ht="24.75" customHeight="1">
      <c r="A90" s="1393"/>
      <c r="B90" s="1393"/>
      <c r="C90" s="1393"/>
      <c r="D90" s="1394"/>
      <c r="E90" s="1394"/>
      <c r="F90" s="1395">
        <f>F89+I89</f>
        <v>683714213</v>
      </c>
      <c r="G90" s="1395"/>
      <c r="H90" s="1396"/>
      <c r="I90" s="1317"/>
      <c r="J90" s="1317"/>
      <c r="K90" s="1394"/>
      <c r="L90" s="1394"/>
      <c r="M90" s="1394"/>
      <c r="N90" s="1394"/>
      <c r="O90" s="1394"/>
      <c r="P90" s="1394"/>
      <c r="Q90" s="1394"/>
      <c r="R90" s="1394"/>
      <c r="S90" s="1394"/>
      <c r="T90" s="1394"/>
      <c r="U90" s="1394"/>
      <c r="V90" s="1394"/>
      <c r="W90" s="1394"/>
      <c r="X90" s="1394"/>
      <c r="Y90" s="1394"/>
      <c r="Z90" s="1394"/>
      <c r="AA90" s="1394"/>
      <c r="AB90" s="1394"/>
      <c r="AC90" s="1394"/>
      <c r="AD90" s="1394"/>
      <c r="AE90" s="1394"/>
      <c r="AF90" s="1394"/>
      <c r="AG90" s="1394"/>
      <c r="AH90" s="1394"/>
      <c r="AI90" s="1394"/>
      <c r="AJ90" s="1395"/>
      <c r="AK90" s="1395"/>
      <c r="AL90" s="1394"/>
      <c r="AM90" s="1394"/>
      <c r="AN90" s="1394"/>
      <c r="AO90" s="1394"/>
      <c r="AP90" s="1395">
        <f>AP89-AQ90-AS89-AU89</f>
        <v>741469603</v>
      </c>
      <c r="AQ90" s="1395">
        <f>AQ89+AK89</f>
        <v>104938802</v>
      </c>
      <c r="AR90" s="1395">
        <f>AT89-AP90</f>
        <v>184031708</v>
      </c>
      <c r="AS90" s="1395"/>
      <c r="AT90" s="1395"/>
      <c r="AU90" s="1395"/>
      <c r="AV90" s="1441"/>
      <c r="AW90" s="1395">
        <f>AK89+AQ89+AS89-AV89+AO89</f>
        <v>38134278</v>
      </c>
      <c r="AX90" s="1394"/>
      <c r="AY90" s="1394"/>
      <c r="AZ90" s="1394"/>
      <c r="BA90" s="1395"/>
      <c r="BB90" s="1395"/>
      <c r="BC90" s="1395"/>
      <c r="BD90" s="1395"/>
      <c r="BE90" s="1394"/>
      <c r="BF90" s="1374">
        <f>IFERROR(VLOOKUP(B90,'Bảng lương T5.2024'!$B$10:$N$85,13,0),0)</f>
        <v>0</v>
      </c>
      <c r="BG90" s="1394"/>
      <c r="BH90" s="163"/>
      <c r="BI90" s="1394"/>
      <c r="BJ90" s="1394"/>
      <c r="BK90" s="1394"/>
      <c r="BL90" s="1394"/>
      <c r="BM90" s="1394"/>
      <c r="BN90" s="1394"/>
      <c r="BO90" s="1394"/>
      <c r="BP90" s="1394"/>
      <c r="BQ90" s="1394"/>
      <c r="BR90" s="1394"/>
      <c r="BS90" s="1394"/>
      <c r="BT90" s="1394"/>
      <c r="BU90" s="1394"/>
      <c r="BV90" s="1394"/>
      <c r="CN90" s="1397"/>
      <c r="CS90" s="1396"/>
      <c r="CT90" s="1398"/>
    </row>
    <row r="91" spans="1:99" s="147" customFormat="1" ht="20.25" customHeight="1">
      <c r="A91" s="1393"/>
      <c r="B91" s="1393"/>
      <c r="C91" s="1393"/>
      <c r="D91" s="1394"/>
      <c r="E91" s="1394"/>
      <c r="F91" s="1395"/>
      <c r="G91" s="1395"/>
      <c r="H91" s="1395"/>
      <c r="I91" s="1442"/>
      <c r="J91" s="1442"/>
      <c r="K91" s="1394"/>
      <c r="L91" s="1394"/>
      <c r="M91" s="1394"/>
      <c r="N91" s="1394"/>
      <c r="O91" s="1394"/>
      <c r="P91" s="1394"/>
      <c r="Q91" s="1394"/>
      <c r="R91" s="1394"/>
      <c r="S91" s="1394"/>
      <c r="T91" s="1394"/>
      <c r="U91" s="1394"/>
      <c r="V91" s="1394"/>
      <c r="W91" s="1394"/>
      <c r="X91" s="1394"/>
      <c r="Y91" s="1394"/>
      <c r="Z91" s="1394"/>
      <c r="AA91" s="1394"/>
      <c r="AB91" s="1394"/>
      <c r="AC91" s="1394"/>
      <c r="AD91" s="1394"/>
      <c r="AE91" s="1394"/>
      <c r="AF91" s="1394"/>
      <c r="AG91" s="1394"/>
      <c r="AH91" s="1394"/>
      <c r="AI91" s="1394"/>
      <c r="AJ91" s="1395"/>
      <c r="AK91" s="1395"/>
      <c r="AL91" s="1394"/>
      <c r="AM91" s="1394"/>
      <c r="AN91" s="1394"/>
      <c r="AO91" s="1394"/>
      <c r="AP91" s="1394">
        <f>AP89-AK89-AL89</f>
        <v>790256143</v>
      </c>
      <c r="AQ91" s="1394"/>
      <c r="AR91" s="1394"/>
      <c r="AS91" s="1394"/>
      <c r="AT91" s="1394"/>
      <c r="AU91" s="1394"/>
      <c r="AV91" s="1394"/>
      <c r="AW91" s="1394"/>
      <c r="AX91" s="1443" t="s">
        <v>279</v>
      </c>
      <c r="AY91" s="1443"/>
      <c r="AZ91" s="1444">
        <f>+AM89</f>
        <v>23400000</v>
      </c>
      <c r="BA91" s="1445"/>
      <c r="BB91" s="1445"/>
      <c r="BC91" s="1445"/>
      <c r="BD91" s="1445"/>
      <c r="BE91" s="1394"/>
      <c r="BF91" s="1374">
        <f>IFERROR(VLOOKUP(B91,'Bảng lương T5.2024'!$B$10:$N$85,13,0),0)</f>
        <v>0</v>
      </c>
      <c r="BG91" s="1394"/>
      <c r="BH91" s="163"/>
      <c r="BI91" s="1394"/>
      <c r="BJ91" s="1394"/>
      <c r="BK91" s="1394"/>
      <c r="BL91" s="1394"/>
      <c r="BM91" s="1394"/>
      <c r="BN91" s="1394"/>
      <c r="BO91" s="1394"/>
      <c r="BP91" s="1394"/>
      <c r="BQ91" s="1394"/>
      <c r="BR91" s="1394"/>
      <c r="BS91" s="1394"/>
      <c r="BT91" s="1394"/>
      <c r="BU91" s="1394"/>
      <c r="BV91" s="1394"/>
      <c r="CN91" s="1397"/>
      <c r="CS91" s="1396"/>
      <c r="CT91" s="1398"/>
    </row>
    <row r="92" spans="1:99" ht="16.5" customHeight="1">
      <c r="K92" s="1282"/>
      <c r="L92" s="1282"/>
      <c r="M92" s="27"/>
      <c r="N92" s="27"/>
      <c r="O92" s="27"/>
      <c r="P92" s="27"/>
      <c r="Q92" s="27"/>
      <c r="R92" s="27"/>
      <c r="S92" s="27"/>
      <c r="T92" s="27"/>
      <c r="U92" s="27"/>
      <c r="V92" s="27"/>
      <c r="W92" s="27"/>
      <c r="X92" s="27"/>
      <c r="Y92" s="27"/>
      <c r="AC92" s="1281"/>
      <c r="AJ92" s="1399"/>
      <c r="AK92" s="1284"/>
      <c r="AL92" s="1400"/>
      <c r="AM92" s="1400"/>
      <c r="AN92" s="1400"/>
      <c r="AO92" s="1400"/>
      <c r="AP92" s="1284"/>
      <c r="AQ92" s="1400"/>
      <c r="AR92" s="1400"/>
      <c r="AS92" s="161"/>
      <c r="AT92" s="1400"/>
      <c r="AU92" s="1400"/>
      <c r="AV92" s="1400"/>
      <c r="AW92" s="1401"/>
      <c r="AX92" s="151" t="s">
        <v>280</v>
      </c>
      <c r="AY92" s="151"/>
      <c r="AZ92" s="1401" t="e">
        <f>+#REF!</f>
        <v>#REF!</v>
      </c>
      <c r="BA92" s="1282"/>
      <c r="BB92" s="1282"/>
      <c r="BC92" s="1282"/>
      <c r="BD92" s="1282"/>
      <c r="BE92" s="1401"/>
      <c r="BF92" s="1374">
        <f>IFERROR(VLOOKUP(B92,'Bảng lương T5.2024'!$B$10:$N$85,13,0),0)</f>
        <v>0</v>
      </c>
      <c r="BG92" s="1401"/>
      <c r="BJ92" s="161"/>
      <c r="BU92" s="161"/>
    </row>
    <row r="93" spans="1:99" ht="28.5" customHeight="1">
      <c r="H93" s="160"/>
      <c r="I93" s="1442"/>
      <c r="J93" s="1442"/>
      <c r="K93" s="150"/>
      <c r="L93" s="150"/>
      <c r="M93" s="150"/>
      <c r="N93" s="1419"/>
      <c r="O93" s="1419"/>
      <c r="P93" s="1419"/>
      <c r="Q93" s="1419"/>
      <c r="R93" s="1419"/>
      <c r="S93" s="1419"/>
      <c r="T93" s="1419"/>
      <c r="U93" s="1419"/>
      <c r="V93" s="1419"/>
      <c r="W93" s="1419"/>
      <c r="X93" s="1419"/>
      <c r="Y93" s="1419"/>
      <c r="Z93" s="150"/>
      <c r="AA93" s="150"/>
      <c r="AB93" s="150"/>
      <c r="AC93" s="150"/>
      <c r="AD93" s="160"/>
      <c r="AE93" s="160"/>
      <c r="AF93" s="160"/>
      <c r="AG93" s="160"/>
      <c r="AH93" s="160"/>
      <c r="AI93" s="160"/>
      <c r="AJ93" s="160"/>
      <c r="AK93" s="160"/>
      <c r="AL93" s="160"/>
      <c r="AM93" s="160"/>
      <c r="AN93" s="160"/>
      <c r="AO93" s="160"/>
      <c r="AP93" s="160"/>
      <c r="AQ93" s="1400"/>
      <c r="AR93" s="1400"/>
      <c r="AS93" s="161"/>
      <c r="AT93" s="1400"/>
      <c r="AU93" s="1400"/>
      <c r="AV93" s="1284"/>
      <c r="AW93" s="1401"/>
      <c r="AX93" s="151" t="s">
        <v>278</v>
      </c>
      <c r="AY93" s="151"/>
      <c r="AZ93" s="1401">
        <v>2359135</v>
      </c>
      <c r="BA93" s="1282"/>
      <c r="BB93" s="1282"/>
      <c r="BC93" s="1282"/>
      <c r="BD93" s="1282"/>
      <c r="BE93" s="1401"/>
      <c r="BF93" s="1374">
        <f>IFERROR(VLOOKUP(B93,'Bảng lương T5.2024'!$B$10:$N$85,13,0),0)</f>
        <v>0</v>
      </c>
      <c r="BG93" s="1402"/>
      <c r="BH93" s="1403"/>
      <c r="BI93" s="154"/>
      <c r="BJ93" s="154"/>
      <c r="BK93" s="154"/>
      <c r="BU93" s="1317"/>
    </row>
    <row r="94" spans="1:99" s="1410" customFormat="1" ht="27" customHeight="1">
      <c r="A94" s="1404"/>
      <c r="B94" s="1405"/>
      <c r="C94" s="1405"/>
      <c r="D94" s="1405"/>
      <c r="E94" s="1405"/>
      <c r="F94" s="1406"/>
      <c r="G94" s="1321"/>
      <c r="H94" s="1406"/>
      <c r="I94" s="1406"/>
      <c r="J94" s="1406"/>
      <c r="K94" s="1447"/>
      <c r="L94" s="1447"/>
      <c r="M94" s="1447"/>
      <c r="N94" s="1447"/>
      <c r="O94" s="1447"/>
      <c r="P94" s="1447"/>
      <c r="Q94" s="1447"/>
      <c r="R94" s="1448" t="s">
        <v>437</v>
      </c>
      <c r="S94" s="1405"/>
      <c r="T94" s="1405"/>
      <c r="U94" s="1405"/>
      <c r="V94" s="1405"/>
      <c r="W94" s="1405"/>
      <c r="X94" s="1448"/>
      <c r="Y94" s="1448"/>
      <c r="Z94" s="1448"/>
      <c r="AA94" s="1448"/>
      <c r="AB94" s="1448"/>
      <c r="AC94" s="1405"/>
      <c r="AD94" s="1405"/>
      <c r="AE94" s="1405"/>
      <c r="AF94" s="1405"/>
      <c r="AG94" s="1405"/>
      <c r="AH94" s="1405"/>
      <c r="AI94" s="1405"/>
      <c r="AJ94" s="1406"/>
      <c r="AK94" s="1406"/>
      <c r="AL94" s="1405"/>
      <c r="AM94" s="1405"/>
      <c r="AN94" s="1405"/>
      <c r="AO94" s="1405"/>
      <c r="AP94" s="1407"/>
      <c r="AQ94" s="1405"/>
      <c r="AR94" s="1405"/>
      <c r="AS94" s="1405"/>
      <c r="AT94" s="1405"/>
      <c r="AU94" s="1405"/>
      <c r="AV94" s="1405"/>
      <c r="AW94" s="1401"/>
      <c r="AX94" s="151" t="s">
        <v>268</v>
      </c>
      <c r="AY94" s="151"/>
      <c r="AZ94" s="1401">
        <f>+AS89</f>
        <v>11037236</v>
      </c>
      <c r="BA94" s="1282"/>
      <c r="BB94" s="1282"/>
      <c r="BC94" s="1282"/>
      <c r="BD94" s="1282"/>
      <c r="BE94" s="1401"/>
      <c r="BF94" s="1374">
        <f>IFERROR(VLOOKUP(B94,'Bảng lương T5.2024'!$B$10:$N$85,13,0),0)</f>
        <v>0</v>
      </c>
      <c r="BG94" s="1408"/>
      <c r="BH94" s="1403"/>
      <c r="BI94" s="1409"/>
      <c r="BJ94" s="1409"/>
      <c r="BK94" s="1409"/>
      <c r="BU94" s="1411"/>
      <c r="BV94" s="1412"/>
      <c r="CN94" s="1413"/>
      <c r="CS94" s="1411"/>
      <c r="CT94" s="1414"/>
    </row>
    <row r="95" spans="1:99" ht="16.5" customHeight="1">
      <c r="AJ95" s="1284"/>
      <c r="AW95" s="154"/>
      <c r="AX95" s="154" t="s">
        <v>110</v>
      </c>
      <c r="AY95" s="154"/>
      <c r="AZ95" s="1449" t="e">
        <f>SUM(AZ91:AZ94)</f>
        <v>#REF!</v>
      </c>
      <c r="BA95" s="1396"/>
      <c r="BB95" s="1396"/>
      <c r="BC95" s="1396"/>
      <c r="BD95" s="1396"/>
      <c r="BE95" s="154"/>
      <c r="BF95" s="1374">
        <f>IFERROR(VLOOKUP(B95,'Bảng lương T5.2024'!$B$10:$N$85,13,0),0)</f>
        <v>0</v>
      </c>
      <c r="BG95" s="1408"/>
      <c r="BH95" s="1403"/>
      <c r="BI95" s="154"/>
      <c r="BJ95" s="154"/>
      <c r="BK95" s="154"/>
    </row>
    <row r="96" spans="1:99" ht="33" customHeight="1">
      <c r="K96" s="27"/>
      <c r="L96" s="27"/>
      <c r="M96" s="27"/>
      <c r="N96" s="27"/>
      <c r="O96" s="27"/>
      <c r="P96" s="27"/>
      <c r="Q96" s="27"/>
      <c r="R96" s="27"/>
      <c r="S96" s="27"/>
      <c r="T96" s="27"/>
      <c r="U96" s="27"/>
      <c r="V96" s="27"/>
      <c r="W96" s="27"/>
      <c r="X96" s="27"/>
      <c r="Y96" s="27"/>
      <c r="Z96" s="27"/>
      <c r="AA96" s="1282"/>
      <c r="AB96" s="27"/>
      <c r="AC96" s="27"/>
      <c r="AD96" s="1317"/>
      <c r="AE96" s="1317"/>
      <c r="AF96" s="1317"/>
      <c r="AG96" s="1317"/>
      <c r="AH96" s="1317"/>
      <c r="AI96" s="1317"/>
      <c r="AJ96" s="1284"/>
      <c r="AK96" s="1415"/>
      <c r="AL96" s="1317"/>
      <c r="AM96" s="1317"/>
      <c r="AN96" s="1317"/>
      <c r="AO96" s="1317"/>
      <c r="AQ96" s="1317"/>
      <c r="AR96" s="1317"/>
      <c r="AS96" s="1317"/>
      <c r="AT96" s="1317"/>
      <c r="AU96" s="1317"/>
      <c r="AV96" s="1317"/>
      <c r="AW96" s="27"/>
      <c r="AX96" s="27"/>
      <c r="AY96" s="27"/>
      <c r="AZ96" s="27"/>
      <c r="BA96" s="27"/>
      <c r="BB96" s="27"/>
      <c r="BC96" s="27"/>
      <c r="BD96" s="27"/>
      <c r="BE96" s="27"/>
      <c r="BF96" s="1374">
        <f>IFERROR(VLOOKUP(B96,'Bảng lương T5.2024'!$B$10:$N$85,13,0),0)</f>
        <v>0</v>
      </c>
      <c r="BG96" s="1416"/>
      <c r="BH96" s="1417"/>
      <c r="BI96" s="154"/>
      <c r="BJ96" s="154"/>
      <c r="BK96" s="154"/>
    </row>
    <row r="97" spans="4:63" ht="16.5" customHeight="1">
      <c r="AJ97" s="1284"/>
      <c r="AW97" s="154"/>
      <c r="AX97" s="154"/>
      <c r="AY97" s="154"/>
      <c r="AZ97" s="154"/>
      <c r="BA97" s="27"/>
      <c r="BB97" s="27"/>
      <c r="BC97" s="27"/>
      <c r="BD97" s="27"/>
      <c r="BE97" s="154"/>
      <c r="BF97" s="1374">
        <f>IFERROR(VLOOKUP(B97,'Bảng lương T5.2024'!$B$10:$N$85,13,0),0)</f>
        <v>0</v>
      </c>
      <c r="BG97" s="1418"/>
      <c r="BH97" s="1403"/>
      <c r="BI97" s="154"/>
      <c r="BJ97" s="154"/>
      <c r="BK97" s="154"/>
    </row>
    <row r="98" spans="4:63" ht="16.5" customHeight="1">
      <c r="AJ98" s="1284"/>
      <c r="AW98" s="154"/>
      <c r="AX98" s="154"/>
      <c r="AY98" s="154"/>
      <c r="AZ98" s="154"/>
      <c r="BA98" s="27"/>
      <c r="BB98" s="27"/>
      <c r="BC98" s="27"/>
      <c r="BD98" s="27"/>
      <c r="BE98" s="154"/>
      <c r="BF98" s="1374">
        <f>IFERROR(VLOOKUP(B98,'Bảng lương T5.2024'!$B$10:$N$85,13,0),0)</f>
        <v>0</v>
      </c>
      <c r="BG98" s="154"/>
      <c r="BI98" s="154"/>
      <c r="BJ98" s="154"/>
      <c r="BK98" s="154"/>
    </row>
    <row r="99" spans="4:63" ht="16.5" customHeight="1">
      <c r="D99" s="1282"/>
      <c r="E99" s="1284"/>
      <c r="K99" s="27"/>
      <c r="L99" s="27"/>
      <c r="M99" s="27"/>
      <c r="N99" s="27"/>
      <c r="O99" s="27"/>
      <c r="P99" s="27"/>
      <c r="Q99" s="27"/>
      <c r="R99" s="27"/>
      <c r="S99" s="27"/>
      <c r="T99" s="27"/>
      <c r="U99" s="27"/>
      <c r="V99" s="27"/>
      <c r="W99" s="27"/>
      <c r="X99" s="27"/>
      <c r="Y99" s="27"/>
      <c r="Z99" s="27"/>
      <c r="AA99" s="1282"/>
      <c r="AB99" s="27"/>
      <c r="AC99" s="27"/>
      <c r="AD99" s="1317"/>
      <c r="AE99" s="1317"/>
      <c r="AF99" s="1317"/>
      <c r="AG99" s="1317"/>
      <c r="AH99" s="1317"/>
      <c r="AI99" s="1317"/>
      <c r="AJ99" s="1284"/>
      <c r="AK99" s="1415"/>
      <c r="AL99" s="1317"/>
      <c r="AM99" s="1317"/>
      <c r="AN99" s="1317"/>
      <c r="AO99" s="1317"/>
      <c r="AQ99" s="1317"/>
      <c r="AR99" s="1317"/>
      <c r="AS99" s="1317"/>
      <c r="AT99" s="1317"/>
      <c r="AU99" s="1317"/>
      <c r="AV99" s="1317"/>
      <c r="AW99" s="1317"/>
      <c r="AX99" s="1443" t="s">
        <v>279</v>
      </c>
      <c r="AY99" s="1443"/>
      <c r="AZ99" s="1444">
        <f>+AM89</f>
        <v>23400000</v>
      </c>
      <c r="BA99" s="1445"/>
      <c r="BB99" s="1445"/>
      <c r="BC99" s="1445"/>
      <c r="BD99" s="1445"/>
      <c r="BE99" s="154"/>
      <c r="BF99" s="1374">
        <f>IFERROR(VLOOKUP(B99,'Bảng lương T5.2024'!$B$10:$N$85,13,0),0)</f>
        <v>0</v>
      </c>
      <c r="BG99" s="154"/>
      <c r="BH99" s="1317"/>
      <c r="BI99" s="154"/>
      <c r="BJ99" s="154"/>
      <c r="BK99" s="154"/>
    </row>
    <row r="100" spans="4:63" ht="16.5" customHeight="1">
      <c r="E100" s="148"/>
      <c r="F100" s="1282"/>
      <c r="G100" s="1282"/>
      <c r="H100" s="1282"/>
      <c r="I100" s="1282"/>
      <c r="J100" s="1282"/>
      <c r="K100" s="148"/>
      <c r="L100" s="148"/>
      <c r="M100" s="148"/>
      <c r="N100" s="148"/>
      <c r="O100" s="148"/>
      <c r="P100" s="148"/>
      <c r="Q100" s="148"/>
      <c r="R100" s="148"/>
      <c r="S100" s="148"/>
      <c r="T100" s="148"/>
      <c r="U100" s="148"/>
      <c r="V100" s="148"/>
      <c r="W100" s="148"/>
      <c r="X100" s="148"/>
      <c r="Y100" s="148"/>
      <c r="Z100" s="148"/>
      <c r="AA100" s="148"/>
      <c r="AB100" s="148"/>
      <c r="AC100" s="148"/>
      <c r="AD100" s="148"/>
      <c r="AE100" s="148"/>
      <c r="AF100" s="148"/>
      <c r="AG100" s="148"/>
      <c r="AH100" s="148"/>
      <c r="AI100" s="148"/>
      <c r="AJ100" s="1282"/>
      <c r="AK100" s="1282"/>
      <c r="AL100" s="148"/>
      <c r="AM100" s="148"/>
      <c r="AN100" s="148"/>
      <c r="AO100" s="148"/>
      <c r="AP100" s="148"/>
      <c r="AQ100" s="148"/>
      <c r="AR100" s="148"/>
      <c r="AS100" s="148"/>
      <c r="AT100" s="148"/>
      <c r="AU100" s="148"/>
      <c r="AV100" s="148"/>
      <c r="AW100" s="148"/>
      <c r="AX100" s="151" t="s">
        <v>280</v>
      </c>
      <c r="AY100" s="151"/>
      <c r="AZ100" s="1401" t="e">
        <f>+#REF!</f>
        <v>#REF!</v>
      </c>
      <c r="BA100" s="1282"/>
      <c r="BB100" s="1282"/>
      <c r="BC100" s="1282"/>
      <c r="BD100" s="1282"/>
      <c r="BE100" s="154"/>
      <c r="BF100" s="1374">
        <f>IFERROR(VLOOKUP(B100,'Bảng lương T5.2024'!$B$10:$N$85,13,0),0)</f>
        <v>0</v>
      </c>
      <c r="BG100" s="154"/>
      <c r="BH100" s="1403"/>
      <c r="BI100" s="154"/>
      <c r="BJ100" s="154"/>
      <c r="BK100" s="154"/>
    </row>
    <row r="101" spans="4:63" ht="16.5" customHeight="1">
      <c r="F101" s="1419"/>
      <c r="AJ101" s="1284"/>
      <c r="AV101" s="1396"/>
      <c r="AX101" s="151" t="s">
        <v>268</v>
      </c>
      <c r="AY101" s="151"/>
      <c r="AZ101" s="1401">
        <f>+AS89</f>
        <v>11037236</v>
      </c>
      <c r="BA101" s="1282"/>
      <c r="BB101" s="1282"/>
      <c r="BC101" s="1282"/>
      <c r="BD101" s="1282"/>
      <c r="BE101" s="154"/>
      <c r="BF101" s="1374">
        <f>IFERROR(VLOOKUP(B101,'Bảng lương T5.2024'!$B$10:$N$85,13,0),0)</f>
        <v>0</v>
      </c>
      <c r="BG101" s="154"/>
      <c r="BH101" s="1403"/>
      <c r="BI101" s="154"/>
      <c r="BJ101" s="154"/>
      <c r="BK101" s="154"/>
    </row>
    <row r="102" spans="4:63" ht="16.5" customHeight="1">
      <c r="AJ102" s="1284"/>
      <c r="AV102" s="161"/>
      <c r="AX102" s="154" t="s">
        <v>302</v>
      </c>
      <c r="AY102" s="154"/>
      <c r="AZ102" s="1281" t="e">
        <f>+AZ108</f>
        <v>#REF!</v>
      </c>
      <c r="BA102" s="27"/>
      <c r="BB102" s="27"/>
      <c r="BC102" s="27"/>
      <c r="BD102" s="27"/>
      <c r="BE102" s="154"/>
      <c r="BF102" s="1374">
        <f>IFERROR(VLOOKUP(B102,'Bảng lương T5.2024'!$B$10:$N$85,13,0),0)</f>
        <v>0</v>
      </c>
      <c r="BG102" s="154"/>
      <c r="BI102" s="154"/>
      <c r="BJ102" s="154"/>
      <c r="BK102" s="154"/>
    </row>
    <row r="103" spans="4:63" ht="16.5" customHeight="1">
      <c r="AJ103" s="1284"/>
      <c r="AX103" s="154" t="s">
        <v>110</v>
      </c>
      <c r="AY103" s="154"/>
      <c r="AZ103" s="1449" t="e">
        <f>SUM(AZ99:AZ102)</f>
        <v>#REF!</v>
      </c>
      <c r="BA103" s="1396"/>
      <c r="BB103" s="1396"/>
      <c r="BC103" s="1396"/>
      <c r="BD103" s="1396"/>
      <c r="BE103" s="154"/>
      <c r="BF103" s="1374">
        <f>IFERROR(VLOOKUP(B103,'Bảng lương T5.2024'!$B$10:$N$85,13,0),0)</f>
        <v>0</v>
      </c>
      <c r="BG103" s="154"/>
    </row>
    <row r="104" spans="4:63" ht="16.5" customHeight="1">
      <c r="AJ104" s="1284"/>
      <c r="AX104" s="27"/>
      <c r="AY104" s="27"/>
      <c r="AZ104" s="27"/>
      <c r="BA104" s="27"/>
      <c r="BB104" s="27"/>
      <c r="BC104" s="27"/>
      <c r="BD104" s="27"/>
      <c r="BE104" s="154"/>
      <c r="BF104" s="1374">
        <f>IFERROR(VLOOKUP(B104,'Bảng lương T5.2024'!$B$10:$N$85,13,0),0)</f>
        <v>0</v>
      </c>
      <c r="BG104" s="154"/>
    </row>
    <row r="105" spans="4:63" ht="16.5" customHeight="1">
      <c r="AJ105" s="1284"/>
      <c r="AX105" s="154"/>
      <c r="AY105" s="154"/>
      <c r="AZ105" s="154"/>
      <c r="BA105" s="27"/>
      <c r="BB105" s="27"/>
      <c r="BC105" s="27"/>
      <c r="BD105" s="27"/>
      <c r="BE105" s="154"/>
      <c r="BF105" s="1374">
        <f>IFERROR(VLOOKUP(B105,'Bảng lương T5.2024'!$B$10:$N$85,13,0),0)</f>
        <v>0</v>
      </c>
      <c r="BG105" s="154"/>
    </row>
    <row r="106" spans="4:63" ht="16.5" customHeight="1">
      <c r="AJ106" s="1284"/>
      <c r="AX106" s="154" t="s">
        <v>278</v>
      </c>
      <c r="AY106" s="154"/>
      <c r="AZ106" s="1281" t="e">
        <f>+#REF!</f>
        <v>#REF!</v>
      </c>
      <c r="BA106" s="27"/>
      <c r="BB106" s="27"/>
      <c r="BC106" s="27"/>
      <c r="BD106" s="27"/>
      <c r="BE106" s="154"/>
      <c r="BF106" s="1374">
        <f>IFERROR(VLOOKUP(B106,'Bảng lương T5.2024'!$B$10:$N$85,13,0),0)</f>
        <v>0</v>
      </c>
      <c r="BG106" s="154"/>
    </row>
    <row r="107" spans="4:63" ht="16.5" customHeight="1">
      <c r="AJ107" s="1284"/>
      <c r="AX107" s="154" t="s">
        <v>303</v>
      </c>
      <c r="AY107" s="154"/>
      <c r="AZ107" s="1281">
        <f>+AV89</f>
        <v>103113760</v>
      </c>
      <c r="BA107" s="27"/>
      <c r="BB107" s="27"/>
      <c r="BC107" s="27"/>
      <c r="BD107" s="27"/>
      <c r="BE107" s="154"/>
      <c r="BF107" s="1374">
        <f>IFERROR(VLOOKUP(B107,'Bảng lương T5.2024'!$B$10:$N$85,13,0),0)</f>
        <v>0</v>
      </c>
      <c r="BG107" s="154"/>
    </row>
    <row r="108" spans="4:63" ht="16.5" customHeight="1">
      <c r="AJ108" s="1284"/>
      <c r="AX108" s="154" t="s">
        <v>304</v>
      </c>
      <c r="AY108" s="154"/>
      <c r="AZ108" s="1281" t="e">
        <f>+AZ106-AZ107</f>
        <v>#REF!</v>
      </c>
      <c r="BA108" s="27"/>
      <c r="BB108" s="27"/>
      <c r="BC108" s="27"/>
      <c r="BD108" s="27"/>
      <c r="BE108" s="154"/>
      <c r="BF108" s="1374">
        <f>IFERROR(VLOOKUP(B108,'Bảng lương T5.2024'!$B$10:$N$85,13,0),0)</f>
        <v>0</v>
      </c>
      <c r="BG108" s="154"/>
    </row>
    <row r="109" spans="4:63" ht="16.5" customHeight="1">
      <c r="AJ109" s="1284"/>
      <c r="AX109" s="154"/>
      <c r="AY109" s="154"/>
      <c r="AZ109" s="154"/>
      <c r="BA109" s="27"/>
      <c r="BB109" s="27"/>
      <c r="BC109" s="27"/>
      <c r="BD109" s="27"/>
      <c r="BE109" s="154"/>
      <c r="BF109" s="1374">
        <f>IFERROR(VLOOKUP(B109,'Bảng lương T5.2024'!$B$10:$N$85,13,0),0)</f>
        <v>0</v>
      </c>
      <c r="BG109" s="154"/>
    </row>
    <row r="110" spans="4:63" ht="16.5" customHeight="1">
      <c r="AJ110" s="1284"/>
      <c r="AX110" s="154"/>
      <c r="AY110" s="154"/>
      <c r="AZ110" s="154"/>
      <c r="BA110" s="27"/>
      <c r="BB110" s="27"/>
      <c r="BC110" s="27"/>
      <c r="BD110" s="27"/>
      <c r="BE110" s="154"/>
      <c r="BF110" s="1374">
        <f>IFERROR(VLOOKUP(B110,'Bảng lương T5.2024'!$B$10:$N$85,13,0),0)</f>
        <v>0</v>
      </c>
      <c r="BG110" s="154"/>
    </row>
    <row r="111" spans="4:63" ht="16.5" customHeight="1">
      <c r="AJ111" s="1284"/>
      <c r="AX111" s="154"/>
      <c r="AY111" s="154"/>
      <c r="AZ111" s="154"/>
      <c r="BA111" s="27"/>
      <c r="BB111" s="27"/>
      <c r="BC111" s="27"/>
      <c r="BD111" s="27"/>
      <c r="BE111" s="154"/>
      <c r="BF111" s="1374">
        <f>IFERROR(VLOOKUP(B111,'Bảng lương T5.2024'!$B$10:$N$85,13,0),0)</f>
        <v>0</v>
      </c>
      <c r="BG111" s="154"/>
    </row>
    <row r="112" spans="4:63" ht="16.5" customHeight="1">
      <c r="AJ112" s="1284"/>
      <c r="AX112" s="154"/>
      <c r="AY112" s="154"/>
      <c r="AZ112" s="154"/>
      <c r="BA112" s="27"/>
      <c r="BB112" s="27"/>
      <c r="BC112" s="27"/>
      <c r="BD112" s="27"/>
      <c r="BE112" s="154"/>
      <c r="BF112" s="1374">
        <f>IFERROR(VLOOKUP(B112,'Bảng lương T5.2024'!$B$10:$N$85,13,0),0)</f>
        <v>0</v>
      </c>
      <c r="BG112" s="154"/>
    </row>
    <row r="113" spans="36:59" ht="16.5" customHeight="1">
      <c r="AJ113" s="1284"/>
      <c r="AX113" s="154"/>
      <c r="AY113" s="154"/>
      <c r="AZ113" s="154"/>
      <c r="BA113" s="27"/>
      <c r="BB113" s="27"/>
      <c r="BC113" s="27"/>
      <c r="BD113" s="27"/>
      <c r="BE113" s="154"/>
      <c r="BF113" s="1374">
        <f>IFERROR(VLOOKUP(B113,'Bảng lương T5.2024'!$B$10:$N$85,13,0),0)</f>
        <v>0</v>
      </c>
      <c r="BG113" s="154"/>
    </row>
    <row r="114" spans="36:59" ht="16.5" customHeight="1">
      <c r="AJ114" s="1284"/>
      <c r="AX114" s="154"/>
      <c r="AY114" s="154"/>
      <c r="AZ114" s="154"/>
      <c r="BA114" s="27"/>
      <c r="BB114" s="27"/>
      <c r="BC114" s="27"/>
      <c r="BD114" s="27"/>
      <c r="BE114" s="154"/>
      <c r="BF114" s="1374">
        <f>IFERROR(VLOOKUP(B114,'Bảng lương T5.2024'!$B$10:$N$85,13,0),0)</f>
        <v>0</v>
      </c>
      <c r="BG114" s="154"/>
    </row>
    <row r="115" spans="36:59" ht="16.5" customHeight="1">
      <c r="AJ115" s="1284"/>
      <c r="AX115" s="154"/>
      <c r="AY115" s="154"/>
      <c r="AZ115" s="154"/>
      <c r="BA115" s="27"/>
      <c r="BB115" s="27"/>
      <c r="BC115" s="27"/>
      <c r="BD115" s="27"/>
      <c r="BE115" s="154"/>
      <c r="BF115" s="1374">
        <f>IFERROR(VLOOKUP(B115,'Bảng lương T5.2024'!$B$10:$N$85,13,0),0)</f>
        <v>0</v>
      </c>
      <c r="BG115" s="154"/>
    </row>
    <row r="116" spans="36:59" ht="16.5" customHeight="1">
      <c r="AJ116" s="1284"/>
      <c r="AX116" s="154"/>
      <c r="AY116" s="154"/>
      <c r="AZ116" s="154"/>
      <c r="BA116" s="27"/>
      <c r="BB116" s="27"/>
      <c r="BC116" s="27"/>
      <c r="BD116" s="27"/>
      <c r="BE116" s="154"/>
      <c r="BF116" s="1374">
        <f>IFERROR(VLOOKUP(B116,'Bảng lương T5.2024'!$B$10:$N$85,13,0),0)</f>
        <v>0</v>
      </c>
      <c r="BG116" s="154"/>
    </row>
    <row r="117" spans="36:59" ht="16.5" customHeight="1">
      <c r="AJ117" s="1284"/>
      <c r="AX117" s="154"/>
      <c r="AY117" s="154"/>
      <c r="AZ117" s="154"/>
      <c r="BA117" s="27"/>
      <c r="BB117" s="27"/>
      <c r="BC117" s="27"/>
      <c r="BD117" s="27"/>
      <c r="BE117" s="154"/>
      <c r="BF117" s="1374">
        <f>IFERROR(VLOOKUP(B117,'Bảng lương T5.2024'!$B$10:$N$85,13,0),0)</f>
        <v>0</v>
      </c>
      <c r="BG117" s="154"/>
    </row>
    <row r="118" spans="36:59" ht="16.5" customHeight="1">
      <c r="AJ118" s="1284"/>
      <c r="AX118" s="154"/>
      <c r="AY118" s="154"/>
      <c r="AZ118" s="154"/>
      <c r="BA118" s="27"/>
      <c r="BB118" s="27"/>
      <c r="BC118" s="27"/>
      <c r="BD118" s="27"/>
      <c r="BE118" s="154"/>
      <c r="BF118" s="1374">
        <f>IFERROR(VLOOKUP(B118,'Bảng lương T5.2024'!$B$10:$N$85,13,0),0)</f>
        <v>0</v>
      </c>
      <c r="BG118" s="154"/>
    </row>
    <row r="119" spans="36:59" ht="16.5" customHeight="1">
      <c r="AJ119" s="1284"/>
      <c r="AX119" s="154"/>
      <c r="AY119" s="154"/>
      <c r="AZ119" s="154"/>
      <c r="BA119" s="27"/>
      <c r="BB119" s="27"/>
      <c r="BC119" s="27"/>
      <c r="BD119" s="27"/>
      <c r="BE119" s="154"/>
      <c r="BF119" s="1374">
        <f>IFERROR(VLOOKUP(B119,'Bảng lương T5.2024'!$B$10:$N$85,13,0),0)</f>
        <v>0</v>
      </c>
      <c r="BG119" s="154"/>
    </row>
    <row r="120" spans="36:59" ht="16.5" customHeight="1">
      <c r="AX120" s="154"/>
      <c r="AY120" s="154"/>
      <c r="AZ120" s="154"/>
      <c r="BA120" s="27"/>
      <c r="BB120" s="27"/>
      <c r="BC120" s="27"/>
      <c r="BD120" s="27"/>
      <c r="BE120" s="154"/>
      <c r="BF120" s="1374">
        <f>IFERROR(VLOOKUP(B120,'Bảng lương T5.2024'!$B$10:$N$85,13,0),0)</f>
        <v>0</v>
      </c>
      <c r="BG120" s="154"/>
    </row>
    <row r="121" spans="36:59" ht="16.5" customHeight="1">
      <c r="AX121" s="154"/>
      <c r="AY121" s="154"/>
      <c r="AZ121" s="154"/>
      <c r="BA121" s="27"/>
      <c r="BB121" s="27"/>
      <c r="BC121" s="27"/>
      <c r="BD121" s="27"/>
      <c r="BE121" s="154"/>
      <c r="BF121" s="1374">
        <f>IFERROR(VLOOKUP(B121,'Bảng lương T5.2024'!$B$10:$N$85,13,0),0)</f>
        <v>0</v>
      </c>
      <c r="BG121" s="154"/>
    </row>
    <row r="122" spans="36:59" ht="16.5" customHeight="1">
      <c r="AX122" s="154"/>
      <c r="AY122" s="154"/>
      <c r="AZ122" s="154"/>
      <c r="BA122" s="27"/>
      <c r="BB122" s="27"/>
      <c r="BC122" s="27"/>
      <c r="BD122" s="27"/>
      <c r="BE122" s="154"/>
      <c r="BF122" s="1374">
        <f>IFERROR(VLOOKUP(B122,'Bảng lương T5.2024'!$B$10:$N$85,13,0),0)</f>
        <v>0</v>
      </c>
      <c r="BG122" s="154"/>
    </row>
    <row r="123" spans="36:59" ht="16.5" customHeight="1">
      <c r="AX123" s="154"/>
      <c r="AY123" s="154"/>
      <c r="AZ123" s="154"/>
      <c r="BA123" s="27"/>
      <c r="BB123" s="27"/>
      <c r="BC123" s="27"/>
      <c r="BD123" s="27"/>
      <c r="BF123" s="1374">
        <f>IFERROR(VLOOKUP(B123,'Bảng lương T5.2024'!$B$10:$N$85,13,0),0)</f>
        <v>0</v>
      </c>
    </row>
    <row r="124" spans="36:59" ht="16.5" customHeight="1">
      <c r="AX124" s="154"/>
      <c r="AY124" s="154"/>
      <c r="AZ124" s="154"/>
      <c r="BA124" s="27"/>
      <c r="BB124" s="27"/>
      <c r="BC124" s="27"/>
      <c r="BD124" s="27"/>
      <c r="BF124" s="1374">
        <f>IFERROR(VLOOKUP(B124,'Bảng lương T5.2024'!$B$10:$N$85,13,0),0)</f>
        <v>0</v>
      </c>
    </row>
    <row r="125" spans="36:59" ht="16.5" customHeight="1">
      <c r="AX125" s="154"/>
      <c r="AY125" s="154"/>
      <c r="AZ125" s="154"/>
      <c r="BA125" s="27"/>
      <c r="BB125" s="27"/>
      <c r="BC125" s="27"/>
      <c r="BD125" s="27"/>
      <c r="BF125" s="1374">
        <f>IFERROR(VLOOKUP(B125,'Bảng lương T5.2024'!$B$10:$N$85,13,0),0)</f>
        <v>0</v>
      </c>
    </row>
    <row r="126" spans="36:59" ht="16.5" customHeight="1">
      <c r="AX126" s="154"/>
      <c r="AY126" s="154"/>
      <c r="AZ126" s="154"/>
      <c r="BA126" s="27"/>
      <c r="BB126" s="27"/>
      <c r="BC126" s="27"/>
      <c r="BD126" s="27"/>
      <c r="BF126" s="1374">
        <f>IFERROR(VLOOKUP(B126,'Bảng lương T5.2024'!$B$10:$N$85,13,0),0)</f>
        <v>0</v>
      </c>
    </row>
    <row r="127" spans="36:59" ht="16.5" customHeight="1">
      <c r="AX127" s="154"/>
      <c r="AY127" s="154"/>
      <c r="AZ127" s="154"/>
      <c r="BA127" s="27"/>
      <c r="BB127" s="27"/>
      <c r="BC127" s="27"/>
      <c r="BD127" s="27"/>
      <c r="BF127" s="1374">
        <f>IFERROR(VLOOKUP(B127,'Bảng lương T5.2024'!$B$10:$N$85,13,0),0)</f>
        <v>0</v>
      </c>
    </row>
    <row r="128" spans="36:59" ht="16.5" customHeight="1">
      <c r="AX128" s="154"/>
      <c r="AY128" s="154"/>
      <c r="AZ128" s="154"/>
      <c r="BA128" s="27"/>
      <c r="BB128" s="27"/>
      <c r="BC128" s="27"/>
      <c r="BD128" s="27"/>
      <c r="BF128" s="1374">
        <f>IFERROR(VLOOKUP(B128,'Bảng lương T5.2024'!$B$10:$N$85,13,0),0)</f>
        <v>0</v>
      </c>
    </row>
    <row r="129" spans="50:58" ht="16.5" customHeight="1">
      <c r="AX129" s="154"/>
      <c r="AY129" s="154"/>
      <c r="AZ129" s="154"/>
      <c r="BA129" s="27"/>
      <c r="BB129" s="27"/>
      <c r="BC129" s="27"/>
      <c r="BD129" s="27"/>
      <c r="BF129" s="1374">
        <f>IFERROR(VLOOKUP(B129,'Bảng lương T5.2024'!$B$10:$N$85,13,0),0)</f>
        <v>0</v>
      </c>
    </row>
    <row r="130" spans="50:58" ht="16.5" customHeight="1">
      <c r="AX130" s="154"/>
      <c r="AY130" s="154"/>
      <c r="AZ130" s="154"/>
      <c r="BA130" s="27"/>
      <c r="BB130" s="27"/>
      <c r="BC130" s="27"/>
      <c r="BD130" s="27"/>
      <c r="BF130" s="1374">
        <f>IFERROR(VLOOKUP(B130,'Bảng lương T5.2024'!$B$10:$N$85,13,0),0)</f>
        <v>0</v>
      </c>
    </row>
    <row r="131" spans="50:58" ht="16.5" customHeight="1">
      <c r="AX131" s="154"/>
      <c r="AY131" s="154"/>
      <c r="AZ131" s="154"/>
      <c r="BA131" s="27"/>
      <c r="BB131" s="27"/>
      <c r="BC131" s="27"/>
      <c r="BD131" s="27"/>
      <c r="BF131" s="1374">
        <f>IFERROR(VLOOKUP(B131,'Bảng lương T5.2024'!$B$10:$N$85,13,0),0)</f>
        <v>0</v>
      </c>
    </row>
    <row r="132" spans="50:58" ht="16.5" customHeight="1">
      <c r="AX132" s="154"/>
      <c r="AY132" s="154"/>
      <c r="AZ132" s="154"/>
      <c r="BA132" s="27"/>
      <c r="BB132" s="27"/>
      <c r="BC132" s="27"/>
      <c r="BD132" s="27"/>
      <c r="BF132" s="1374">
        <f>IFERROR(VLOOKUP(B132,'Bảng lương T5.2024'!$B$10:$N$85,13,0),0)</f>
        <v>0</v>
      </c>
    </row>
    <row r="133" spans="50:58" ht="16.5" customHeight="1">
      <c r="AX133" s="154"/>
      <c r="AY133" s="154"/>
      <c r="AZ133" s="154"/>
      <c r="BA133" s="27"/>
      <c r="BB133" s="27"/>
      <c r="BC133" s="27"/>
      <c r="BD133" s="27"/>
      <c r="BF133" s="1374">
        <f>IFERROR(VLOOKUP(B133,'Bảng lương T5.2024'!$B$10:$N$85,13,0),0)</f>
        <v>0</v>
      </c>
    </row>
    <row r="134" spans="50:58" ht="16.5" customHeight="1">
      <c r="AX134" s="154"/>
      <c r="AY134" s="154"/>
      <c r="AZ134" s="154"/>
      <c r="BA134" s="27"/>
      <c r="BB134" s="27"/>
      <c r="BC134" s="27"/>
      <c r="BD134" s="27"/>
      <c r="BF134" s="1374">
        <f>IFERROR(VLOOKUP(B134,'Bảng lương T5.2024'!$B$10:$N$85,13,0),0)</f>
        <v>0</v>
      </c>
    </row>
    <row r="135" spans="50:58" ht="16.5" customHeight="1">
      <c r="AX135" s="154"/>
      <c r="AY135" s="154"/>
      <c r="AZ135" s="154"/>
      <c r="BA135" s="27"/>
      <c r="BB135" s="27"/>
      <c r="BC135" s="27"/>
      <c r="BD135" s="27"/>
      <c r="BF135" s="1374">
        <f>IFERROR(VLOOKUP(B135,'Bảng lương T5.2024'!$B$10:$N$85,13,0),0)</f>
        <v>0</v>
      </c>
    </row>
    <row r="136" spans="50:58" ht="16.5" customHeight="1">
      <c r="AX136" s="154"/>
      <c r="AY136" s="154"/>
      <c r="AZ136" s="154"/>
      <c r="BA136" s="27"/>
      <c r="BB136" s="27"/>
      <c r="BC136" s="27"/>
      <c r="BD136" s="27"/>
      <c r="BF136" s="1374">
        <f>IFERROR(VLOOKUP(B136,'Bảng lương T5.2024'!$B$10:$N$85,13,0),0)</f>
        <v>0</v>
      </c>
    </row>
    <row r="137" spans="50:58" ht="16.5" customHeight="1">
      <c r="AX137" s="154"/>
      <c r="AY137" s="154"/>
      <c r="AZ137" s="154"/>
      <c r="BA137" s="27"/>
      <c r="BB137" s="27"/>
      <c r="BC137" s="27"/>
      <c r="BD137" s="27"/>
      <c r="BF137" s="1374">
        <f>IFERROR(VLOOKUP(B137,'Bảng lương T5.2024'!$B$10:$N$85,13,0),0)</f>
        <v>0</v>
      </c>
    </row>
    <row r="138" spans="50:58" ht="16.5" customHeight="1">
      <c r="AX138" s="154"/>
      <c r="AY138" s="154"/>
      <c r="AZ138" s="154"/>
      <c r="BA138" s="27"/>
      <c r="BB138" s="27"/>
      <c r="BC138" s="27"/>
      <c r="BD138" s="27"/>
      <c r="BF138" s="1374">
        <f>IFERROR(VLOOKUP(B138,'Bảng lương T5.2024'!$B$10:$N$85,13,0),0)</f>
        <v>0</v>
      </c>
    </row>
    <row r="139" spans="50:58" ht="16.5" customHeight="1">
      <c r="AX139" s="154"/>
      <c r="AY139" s="154"/>
      <c r="AZ139" s="154"/>
      <c r="BA139" s="27"/>
      <c r="BB139" s="27"/>
      <c r="BC139" s="27"/>
      <c r="BD139" s="27"/>
      <c r="BF139" s="1374">
        <f>IFERROR(VLOOKUP(B139,'Bảng lương T5.2024'!$B$10:$N$85,13,0),0)</f>
        <v>0</v>
      </c>
    </row>
    <row r="140" spans="50:58" ht="16.5" customHeight="1">
      <c r="AX140" s="154"/>
      <c r="AY140" s="154"/>
      <c r="AZ140" s="154"/>
      <c r="BA140" s="27"/>
      <c r="BB140" s="27"/>
      <c r="BC140" s="27"/>
      <c r="BD140" s="27"/>
      <c r="BF140" s="1374">
        <f>IFERROR(VLOOKUP(B140,'Bảng lương T5.2024'!$B$10:$N$85,13,0),0)</f>
        <v>0</v>
      </c>
    </row>
    <row r="141" spans="50:58" ht="16.5" customHeight="1">
      <c r="AX141" s="154"/>
      <c r="AY141" s="154"/>
      <c r="AZ141" s="154"/>
      <c r="BA141" s="27"/>
      <c r="BB141" s="27"/>
      <c r="BC141" s="27"/>
      <c r="BD141" s="27"/>
      <c r="BF141" s="1374">
        <f>IFERROR(VLOOKUP(B141,'Bảng lương T5.2024'!$B$10:$N$85,13,0),0)</f>
        <v>0</v>
      </c>
    </row>
    <row r="142" spans="50:58" ht="16.5" customHeight="1">
      <c r="AX142" s="154"/>
      <c r="AY142" s="154"/>
      <c r="AZ142" s="154"/>
      <c r="BA142" s="27"/>
      <c r="BB142" s="27"/>
      <c r="BC142" s="27"/>
      <c r="BD142" s="27"/>
      <c r="BF142" s="1374">
        <f>IFERROR(VLOOKUP(B142,'Bảng lương T5.2024'!$B$10:$N$85,13,0),0)</f>
        <v>0</v>
      </c>
    </row>
    <row r="143" spans="50:58" ht="16.5" customHeight="1">
      <c r="AX143" s="154"/>
      <c r="AY143" s="154"/>
      <c r="AZ143" s="154"/>
      <c r="BA143" s="27"/>
      <c r="BB143" s="27"/>
      <c r="BC143" s="27"/>
      <c r="BD143" s="27"/>
      <c r="BF143" s="1374">
        <f>IFERROR(VLOOKUP(B143,'Bảng lương T5.2024'!$B$10:$N$85,13,0),0)</f>
        <v>0</v>
      </c>
    </row>
    <row r="144" spans="50:58" ht="16.5" customHeight="1">
      <c r="AX144" s="154"/>
      <c r="AY144" s="154"/>
      <c r="AZ144" s="154"/>
      <c r="BA144" s="27"/>
      <c r="BB144" s="27"/>
      <c r="BC144" s="27"/>
      <c r="BD144" s="27"/>
      <c r="BF144" s="1374">
        <f>IFERROR(VLOOKUP(B144,'Bảng lương T5.2024'!$B$10:$N$85,13,0),0)</f>
        <v>0</v>
      </c>
    </row>
    <row r="145" spans="50:58" ht="16.5" customHeight="1">
      <c r="AX145" s="154"/>
      <c r="AY145" s="154"/>
      <c r="AZ145" s="154"/>
      <c r="BA145" s="27"/>
      <c r="BB145" s="27"/>
      <c r="BC145" s="27"/>
      <c r="BD145" s="27"/>
      <c r="BF145" s="1374">
        <f>IFERROR(VLOOKUP(B145,'Bảng lương T5.2024'!$B$10:$N$85,13,0),0)</f>
        <v>0</v>
      </c>
    </row>
    <row r="146" spans="50:58" ht="16.5" customHeight="1">
      <c r="AX146" s="154"/>
      <c r="AY146" s="154"/>
      <c r="AZ146" s="154"/>
      <c r="BA146" s="27"/>
      <c r="BB146" s="27"/>
      <c r="BC146" s="27"/>
      <c r="BD146" s="27"/>
      <c r="BF146" s="1374">
        <f>IFERROR(VLOOKUP(B146,'Bảng lương T5.2024'!$B$10:$N$85,13,0),0)</f>
        <v>0</v>
      </c>
    </row>
    <row r="147" spans="50:58" ht="16.5" customHeight="1">
      <c r="AX147" s="154"/>
      <c r="AY147" s="154"/>
      <c r="AZ147" s="154"/>
      <c r="BA147" s="27"/>
      <c r="BB147" s="27"/>
      <c r="BC147" s="27"/>
      <c r="BD147" s="27"/>
      <c r="BF147" s="1374">
        <f>IFERROR(VLOOKUP(B147,'Bảng lương T5.2024'!$B$10:$N$85,13,0),0)</f>
        <v>0</v>
      </c>
    </row>
    <row r="148" spans="50:58" ht="16.5" customHeight="1">
      <c r="AX148" s="154"/>
      <c r="AY148" s="154"/>
      <c r="AZ148" s="154"/>
      <c r="BA148" s="27"/>
      <c r="BB148" s="27"/>
      <c r="BC148" s="27"/>
      <c r="BD148" s="27"/>
      <c r="BF148" s="1374">
        <f>IFERROR(VLOOKUP(B148,'Bảng lương T5.2024'!$B$10:$N$85,13,0),0)</f>
        <v>0</v>
      </c>
    </row>
    <row r="149" spans="50:58" ht="16.5" customHeight="1">
      <c r="AX149" s="154"/>
      <c r="AY149" s="154"/>
      <c r="AZ149" s="154"/>
      <c r="BA149" s="27"/>
      <c r="BB149" s="27"/>
      <c r="BC149" s="27"/>
      <c r="BD149" s="27"/>
      <c r="BF149" s="1374">
        <f>IFERROR(VLOOKUP(B149,'Bảng lương T5.2024'!$B$10:$N$85,13,0),0)</f>
        <v>0</v>
      </c>
    </row>
    <row r="150" spans="50:58" ht="16.5" customHeight="1">
      <c r="AX150" s="154"/>
      <c r="AY150" s="154"/>
      <c r="AZ150" s="154"/>
      <c r="BA150" s="27"/>
      <c r="BB150" s="27"/>
      <c r="BC150" s="27"/>
      <c r="BD150" s="27"/>
      <c r="BF150" s="1374">
        <f>IFERROR(VLOOKUP(B150,'Bảng lương T5.2024'!$B$10:$N$85,13,0),0)</f>
        <v>0</v>
      </c>
    </row>
    <row r="151" spans="50:58" ht="16.5" customHeight="1">
      <c r="AX151" s="154"/>
      <c r="AY151" s="154"/>
      <c r="AZ151" s="154"/>
      <c r="BA151" s="27"/>
      <c r="BB151" s="27"/>
      <c r="BC151" s="27"/>
      <c r="BD151" s="27"/>
    </row>
    <row r="152" spans="50:58" ht="16.5" customHeight="1">
      <c r="AX152" s="154"/>
      <c r="AY152" s="154"/>
      <c r="AZ152" s="154"/>
      <c r="BA152" s="27"/>
      <c r="BB152" s="27"/>
      <c r="BC152" s="27"/>
      <c r="BD152" s="27"/>
    </row>
    <row r="153" spans="50:58" ht="16.5" customHeight="1">
      <c r="AX153" s="154"/>
      <c r="AY153" s="154"/>
      <c r="AZ153" s="154"/>
      <c r="BA153" s="27"/>
      <c r="BB153" s="27"/>
      <c r="BC153" s="27"/>
      <c r="BD153" s="27"/>
    </row>
    <row r="154" spans="50:58" ht="16.5" customHeight="1">
      <c r="AX154" s="154"/>
      <c r="AY154" s="154"/>
      <c r="AZ154" s="154"/>
      <c r="BA154" s="27"/>
      <c r="BB154" s="27"/>
      <c r="BC154" s="27"/>
      <c r="BD154" s="27"/>
    </row>
    <row r="155" spans="50:58" ht="16.5" customHeight="1">
      <c r="AX155" s="154"/>
      <c r="AY155" s="154"/>
      <c r="AZ155" s="154"/>
      <c r="BA155" s="27"/>
      <c r="BB155" s="27"/>
      <c r="BC155" s="27"/>
      <c r="BD155" s="27"/>
    </row>
    <row r="156" spans="50:58" ht="16.5" customHeight="1">
      <c r="AX156" s="154"/>
      <c r="AY156" s="154"/>
      <c r="AZ156" s="154"/>
      <c r="BA156" s="27"/>
      <c r="BB156" s="27"/>
      <c r="BC156" s="27"/>
      <c r="BD156" s="27"/>
    </row>
    <row r="157" spans="50:58" ht="16.5" customHeight="1">
      <c r="AX157" s="154"/>
      <c r="AY157" s="154"/>
      <c r="AZ157" s="154"/>
      <c r="BA157" s="27"/>
      <c r="BB157" s="27"/>
      <c r="BC157" s="27"/>
      <c r="BD157" s="27"/>
    </row>
    <row r="158" spans="50:58" ht="16.5" customHeight="1">
      <c r="AX158" s="154"/>
      <c r="AY158" s="154"/>
      <c r="AZ158" s="154"/>
      <c r="BA158" s="27"/>
      <c r="BB158" s="27"/>
      <c r="BC158" s="27"/>
      <c r="BD158" s="27"/>
    </row>
    <row r="159" spans="50:58" ht="16.5" customHeight="1">
      <c r="AX159" s="154"/>
      <c r="AY159" s="154"/>
      <c r="AZ159" s="154"/>
      <c r="BA159" s="27"/>
      <c r="BB159" s="27"/>
      <c r="BC159" s="27"/>
      <c r="BD159" s="27"/>
    </row>
    <row r="160" spans="50:58" ht="16.5" customHeight="1">
      <c r="AX160" s="154"/>
      <c r="AY160" s="154"/>
      <c r="AZ160" s="154"/>
      <c r="BA160" s="27"/>
      <c r="BB160" s="27"/>
      <c r="BC160" s="27"/>
      <c r="BD160" s="27"/>
    </row>
    <row r="161" spans="50:56" ht="16.5" customHeight="1">
      <c r="AX161" s="154"/>
      <c r="AY161" s="154"/>
      <c r="AZ161" s="154"/>
      <c r="BA161" s="27"/>
      <c r="BB161" s="27"/>
      <c r="BC161" s="27"/>
      <c r="BD161" s="27"/>
    </row>
    <row r="162" spans="50:56" ht="16.5" customHeight="1">
      <c r="AX162" s="154"/>
      <c r="AY162" s="154"/>
      <c r="AZ162" s="154"/>
      <c r="BA162" s="27"/>
      <c r="BB162" s="27"/>
      <c r="BC162" s="27"/>
      <c r="BD162" s="27"/>
    </row>
    <row r="163" spans="50:56" ht="16.5" customHeight="1">
      <c r="AX163" s="154"/>
      <c r="AY163" s="154"/>
      <c r="AZ163" s="154"/>
      <c r="BA163" s="27"/>
      <c r="BB163" s="27"/>
      <c r="BC163" s="27"/>
      <c r="BD163" s="27"/>
    </row>
    <row r="164" spans="50:56" ht="16.5" customHeight="1">
      <c r="AX164" s="154"/>
      <c r="AY164" s="154"/>
      <c r="AZ164" s="154"/>
      <c r="BA164" s="27"/>
      <c r="BB164" s="27"/>
      <c r="BC164" s="27"/>
      <c r="BD164" s="27"/>
    </row>
    <row r="165" spans="50:56" ht="16.5" customHeight="1">
      <c r="AX165" s="154"/>
      <c r="AY165" s="154"/>
      <c r="AZ165" s="154"/>
      <c r="BA165" s="27"/>
      <c r="BB165" s="27"/>
      <c r="BC165" s="27"/>
      <c r="BD165" s="27"/>
    </row>
    <row r="166" spans="50:56" ht="16.5" customHeight="1">
      <c r="AX166" s="154"/>
      <c r="AY166" s="154"/>
      <c r="AZ166" s="154"/>
      <c r="BA166" s="27"/>
      <c r="BB166" s="27"/>
      <c r="BC166" s="27"/>
      <c r="BD166" s="27"/>
    </row>
    <row r="167" spans="50:56" ht="16.5" customHeight="1">
      <c r="AX167" s="154"/>
      <c r="AY167" s="154"/>
      <c r="AZ167" s="154"/>
      <c r="BA167" s="27"/>
      <c r="BB167" s="27"/>
      <c r="BC167" s="27"/>
      <c r="BD167" s="27"/>
    </row>
    <row r="168" spans="50:56" ht="16.5" customHeight="1">
      <c r="AX168" s="154"/>
      <c r="AY168" s="154"/>
      <c r="AZ168" s="154"/>
      <c r="BA168" s="27"/>
      <c r="BB168" s="27"/>
      <c r="BC168" s="27"/>
      <c r="BD168" s="27"/>
    </row>
    <row r="169" spans="50:56" ht="16.5" customHeight="1">
      <c r="AX169" s="154"/>
      <c r="AY169" s="154"/>
      <c r="AZ169" s="154"/>
      <c r="BA169" s="27"/>
      <c r="BB169" s="27"/>
      <c r="BC169" s="27"/>
      <c r="BD169" s="27"/>
    </row>
    <row r="170" spans="50:56" ht="16.5" customHeight="1">
      <c r="AX170" s="154"/>
      <c r="AY170" s="154"/>
      <c r="AZ170" s="154"/>
      <c r="BA170" s="27"/>
      <c r="BB170" s="27"/>
      <c r="BC170" s="27"/>
      <c r="BD170" s="27"/>
    </row>
    <row r="171" spans="50:56" ht="16.5" customHeight="1">
      <c r="AX171" s="154"/>
      <c r="AY171" s="154"/>
      <c r="AZ171" s="154"/>
      <c r="BA171" s="27"/>
      <c r="BB171" s="27"/>
      <c r="BC171" s="27"/>
      <c r="BD171" s="27"/>
    </row>
    <row r="172" spans="50:56" ht="16.5" customHeight="1">
      <c r="AX172" s="154"/>
      <c r="AY172" s="154"/>
      <c r="AZ172" s="154"/>
      <c r="BA172" s="27"/>
      <c r="BB172" s="27"/>
      <c r="BC172" s="27"/>
      <c r="BD172" s="27"/>
    </row>
    <row r="173" spans="50:56" ht="16.5" customHeight="1">
      <c r="AX173" s="154"/>
      <c r="AY173" s="154"/>
      <c r="AZ173" s="154"/>
      <c r="BA173" s="27"/>
      <c r="BB173" s="27"/>
      <c r="BC173" s="27"/>
      <c r="BD173" s="27"/>
    </row>
    <row r="174" spans="50:56" ht="16.5" customHeight="1">
      <c r="AX174" s="154"/>
      <c r="AY174" s="154"/>
      <c r="AZ174" s="154"/>
      <c r="BA174" s="27"/>
      <c r="BB174" s="27"/>
      <c r="BC174" s="27"/>
      <c r="BD174" s="27"/>
    </row>
    <row r="175" spans="50:56" ht="16.5" customHeight="1">
      <c r="AX175" s="154"/>
      <c r="AY175" s="154"/>
      <c r="AZ175" s="154"/>
      <c r="BA175" s="27"/>
      <c r="BB175" s="27"/>
      <c r="BC175" s="27"/>
      <c r="BD175" s="27"/>
    </row>
    <row r="176" spans="50:56" ht="16.5" customHeight="1">
      <c r="AX176" s="154"/>
      <c r="AY176" s="154"/>
      <c r="AZ176" s="154"/>
      <c r="BA176" s="27"/>
      <c r="BB176" s="27"/>
      <c r="BC176" s="27"/>
      <c r="BD176" s="27"/>
    </row>
    <row r="177" spans="50:56" ht="16.5" customHeight="1">
      <c r="AX177" s="154"/>
      <c r="AY177" s="154"/>
      <c r="AZ177" s="154"/>
      <c r="BA177" s="27"/>
      <c r="BB177" s="27"/>
      <c r="BC177" s="27"/>
      <c r="BD177" s="27"/>
    </row>
    <row r="178" spans="50:56" ht="16.5" customHeight="1">
      <c r="AX178" s="154"/>
      <c r="AY178" s="154"/>
      <c r="AZ178" s="154"/>
      <c r="BA178" s="27"/>
      <c r="BB178" s="27"/>
      <c r="BC178" s="27"/>
      <c r="BD178" s="27"/>
    </row>
    <row r="179" spans="50:56" ht="16.5" customHeight="1">
      <c r="AX179" s="154"/>
      <c r="AY179" s="154"/>
      <c r="AZ179" s="154"/>
      <c r="BA179" s="27"/>
      <c r="BB179" s="27"/>
      <c r="BC179" s="27"/>
      <c r="BD179" s="27"/>
    </row>
    <row r="180" spans="50:56" ht="16.5" customHeight="1">
      <c r="AX180" s="154"/>
      <c r="AY180" s="154"/>
      <c r="AZ180" s="154"/>
      <c r="BA180" s="27"/>
      <c r="BB180" s="27"/>
      <c r="BC180" s="27"/>
      <c r="BD180" s="27"/>
    </row>
    <row r="181" spans="50:56" ht="16.5" customHeight="1">
      <c r="AX181" s="154"/>
      <c r="AY181" s="154"/>
      <c r="AZ181" s="154"/>
      <c r="BA181" s="27"/>
      <c r="BB181" s="27"/>
      <c r="BC181" s="27"/>
      <c r="BD181" s="27"/>
    </row>
    <row r="182" spans="50:56" ht="16.5" customHeight="1">
      <c r="AX182" s="154"/>
      <c r="AY182" s="154"/>
      <c r="AZ182" s="1281"/>
      <c r="BA182" s="27"/>
      <c r="BB182" s="27"/>
      <c r="BC182" s="27"/>
      <c r="BD182" s="27"/>
    </row>
  </sheetData>
  <autoFilter ref="A7:CY150">
    <filterColumn colId="36" showButton="0"/>
    <filterColumn colId="42" showButton="0"/>
    <filterColumn colId="43" showButton="0"/>
    <filterColumn colId="44" showButton="0"/>
    <filterColumn colId="47" showButton="0"/>
  </autoFilter>
  <mergeCells count="36">
    <mergeCell ref="H7:H9"/>
    <mergeCell ref="Y7:Y8"/>
    <mergeCell ref="I7:I9"/>
    <mergeCell ref="O7:O8"/>
    <mergeCell ref="A1:G1"/>
    <mergeCell ref="A2:G2"/>
    <mergeCell ref="A7:A9"/>
    <mergeCell ref="D7:D9"/>
    <mergeCell ref="E7:E9"/>
    <mergeCell ref="F7:F9"/>
    <mergeCell ref="G7:G9"/>
    <mergeCell ref="C7:C9"/>
    <mergeCell ref="B7:B9"/>
    <mergeCell ref="A3:AW3"/>
    <mergeCell ref="L7:L8"/>
    <mergeCell ref="M7:M8"/>
    <mergeCell ref="S7:S8"/>
    <mergeCell ref="N7:N8"/>
    <mergeCell ref="X7:X8"/>
    <mergeCell ref="K7:K8"/>
    <mergeCell ref="AC7:AC8"/>
    <mergeCell ref="T7:T8"/>
    <mergeCell ref="U7:U8"/>
    <mergeCell ref="Z7:Z8"/>
    <mergeCell ref="AA7:AA8"/>
    <mergeCell ref="AB7:AB8"/>
    <mergeCell ref="AD7:AD8"/>
    <mergeCell ref="AV7:AW7"/>
    <mergeCell ref="AU7:AU8"/>
    <mergeCell ref="AJ7:AJ8"/>
    <mergeCell ref="AK7:AL7"/>
    <mergeCell ref="AM7:AM8"/>
    <mergeCell ref="AP7:AP8"/>
    <mergeCell ref="AQ7:AT7"/>
    <mergeCell ref="AN7:AN8"/>
    <mergeCell ref="AO7:AO8"/>
  </mergeCells>
  <conditionalFormatting sqref="B10:B1048576 B7 B4:B5">
    <cfRule type="duplicateValues" dxfId="86" priority="96"/>
  </conditionalFormatting>
  <conditionalFormatting sqref="C11:C88">
    <cfRule type="duplicateValues" dxfId="85" priority="1"/>
  </conditionalFormatting>
  <conditionalFormatting sqref="C50">
    <cfRule type="duplicateValues" dxfId="84" priority="4" stopIfTrue="1"/>
  </conditionalFormatting>
  <conditionalFormatting sqref="C95:C65537 C5 C10:C49 C7 C51:C93">
    <cfRule type="duplicateValues" dxfId="83" priority="95" stopIfTrue="1"/>
  </conditionalFormatting>
  <conditionalFormatting sqref="C95:C65537 C7 C4:C5 C10:C93">
    <cfRule type="duplicateValues" dxfId="82" priority="91" stopIfTrue="1"/>
  </conditionalFormatting>
  <printOptions horizontalCentered="1"/>
  <pageMargins left="0" right="0" top="0" bottom="0" header="0.31496062992125984" footer="0.31496062992125984"/>
  <pageSetup paperSize="8" scale="45" orientation="landscape" horizontalDpi="300" verticalDpi="300"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M90"/>
  <sheetViews>
    <sheetView topLeftCell="A4" workbookViewId="0">
      <pane xSplit="4" ySplit="5" topLeftCell="E9" activePane="bottomRight" state="frozen"/>
      <selection activeCell="A4" sqref="A4"/>
      <selection pane="topRight" activeCell="E4" sqref="E4"/>
      <selection pane="bottomLeft" activeCell="A9" sqref="A9"/>
      <selection pane="bottomRight" activeCell="D14" sqref="D14"/>
    </sheetView>
  </sheetViews>
  <sheetFormatPr defaultColWidth="9.140625" defaultRowHeight="16.5" customHeight="1"/>
  <cols>
    <col min="1" max="1" width="4.42578125" style="164" customWidth="1"/>
    <col min="2" max="2" width="11.140625" style="145" customWidth="1"/>
    <col min="3" max="3" width="22.85546875" style="145" customWidth="1"/>
    <col min="4" max="4" width="10.5703125" style="165" customWidth="1"/>
    <col min="5" max="5" width="11.85546875" style="166" customWidth="1"/>
    <col min="6" max="6" width="10.28515625" style="128" customWidth="1"/>
    <col min="7" max="7" width="11.28515625" style="128" customWidth="1"/>
    <col min="8" max="8" width="8.28515625" style="128" customWidth="1"/>
    <col min="9" max="9" width="13.140625" style="128" customWidth="1"/>
    <col min="10" max="10" width="14.42578125" style="128" customWidth="1"/>
    <col min="11" max="11" width="11.42578125" style="128" customWidth="1"/>
    <col min="12" max="12" width="23.5703125" style="128" customWidth="1"/>
    <col min="13" max="13" width="22.42578125" style="128" customWidth="1"/>
    <col min="14" max="16384" width="9.140625" style="128"/>
  </cols>
  <sheetData>
    <row r="1" spans="1:13" ht="20.25" customHeight="1">
      <c r="A1" s="1468" t="s">
        <v>191</v>
      </c>
      <c r="B1" s="1468"/>
      <c r="C1" s="1468"/>
      <c r="D1" s="1468"/>
      <c r="E1" s="1468"/>
      <c r="F1" s="1468"/>
      <c r="G1" s="127"/>
      <c r="H1" s="127"/>
      <c r="I1" s="127"/>
      <c r="J1" s="127"/>
      <c r="K1" s="127"/>
    </row>
    <row r="2" spans="1:13" ht="12.75" customHeight="1">
      <c r="A2" s="127"/>
      <c r="B2" s="127"/>
      <c r="C2" s="127"/>
      <c r="D2" s="127"/>
      <c r="E2" s="127"/>
      <c r="F2" s="127"/>
      <c r="G2" s="127"/>
      <c r="H2" s="127"/>
      <c r="I2" s="127"/>
      <c r="J2" s="127"/>
      <c r="K2" s="127"/>
    </row>
    <row r="3" spans="1:13" ht="23.25" customHeight="1">
      <c r="A3" s="1479" t="s">
        <v>425</v>
      </c>
      <c r="B3" s="1479"/>
      <c r="C3" s="1479"/>
      <c r="D3" s="1479"/>
      <c r="E3" s="1479"/>
      <c r="F3" s="1479"/>
      <c r="G3" s="1479"/>
      <c r="H3" s="1479"/>
      <c r="I3" s="1479"/>
      <c r="J3" s="1479"/>
      <c r="K3" s="1479"/>
    </row>
    <row r="4" spans="1:13" ht="20.25" customHeight="1">
      <c r="A4" s="1480" t="s">
        <v>422</v>
      </c>
      <c r="B4" s="1480"/>
      <c r="C4" s="1480"/>
      <c r="D4" s="1480"/>
      <c r="E4" s="1480"/>
      <c r="F4" s="1480"/>
      <c r="G4" s="1480"/>
      <c r="H4" s="1480"/>
      <c r="I4" s="1480"/>
      <c r="J4" s="1480"/>
      <c r="K4" s="1480"/>
    </row>
    <row r="5" spans="1:13" s="129" customFormat="1" ht="15.75" customHeight="1">
      <c r="D5" s="130"/>
      <c r="E5" s="130"/>
      <c r="F5" s="128"/>
      <c r="G5" s="128"/>
      <c r="H5" s="128"/>
      <c r="I5" s="128"/>
      <c r="J5" s="128"/>
      <c r="K5" s="128"/>
    </row>
    <row r="6" spans="1:13" s="129" customFormat="1" ht="43.5" customHeight="1">
      <c r="A6" s="1481" t="s">
        <v>0</v>
      </c>
      <c r="B6" s="1481" t="s">
        <v>1</v>
      </c>
      <c r="C6" s="1481" t="s">
        <v>2</v>
      </c>
      <c r="D6" s="1483" t="s">
        <v>6</v>
      </c>
      <c r="E6" s="1483" t="s">
        <v>7</v>
      </c>
      <c r="F6" s="1481" t="s">
        <v>10</v>
      </c>
      <c r="G6" s="1481" t="s">
        <v>188</v>
      </c>
      <c r="H6" s="1484" t="s">
        <v>305</v>
      </c>
      <c r="I6" s="1485"/>
      <c r="J6" s="1481" t="s">
        <v>264</v>
      </c>
      <c r="K6" s="1461" t="s">
        <v>423</v>
      </c>
    </row>
    <row r="7" spans="1:13" s="129" customFormat="1" ht="57" customHeight="1">
      <c r="A7" s="1482"/>
      <c r="B7" s="1482"/>
      <c r="C7" s="1482"/>
      <c r="D7" s="1482"/>
      <c r="E7" s="1482" t="s">
        <v>7</v>
      </c>
      <c r="F7" s="1482"/>
      <c r="G7" s="1482"/>
      <c r="H7" s="131" t="s">
        <v>306</v>
      </c>
      <c r="I7" s="132" t="s">
        <v>307</v>
      </c>
      <c r="J7" s="1482"/>
      <c r="K7" s="1462"/>
    </row>
    <row r="8" spans="1:13" s="129" customFormat="1" ht="12.75">
      <c r="A8" s="134" t="s">
        <v>259</v>
      </c>
      <c r="B8" s="134" t="s">
        <v>260</v>
      </c>
      <c r="C8" s="134" t="s">
        <v>224</v>
      </c>
      <c r="D8" s="135">
        <v>1</v>
      </c>
      <c r="E8" s="135">
        <v>2</v>
      </c>
      <c r="F8" s="135">
        <v>3</v>
      </c>
      <c r="G8" s="135">
        <v>4</v>
      </c>
      <c r="H8" s="1486">
        <v>5</v>
      </c>
      <c r="I8" s="1487"/>
      <c r="J8" s="135" t="s">
        <v>424</v>
      </c>
      <c r="K8" s="133">
        <v>7</v>
      </c>
    </row>
    <row r="9" spans="1:13" s="140" customFormat="1" ht="20.25" customHeight="1">
      <c r="A9" s="136">
        <v>1</v>
      </c>
      <c r="B9" s="82" t="s">
        <v>13</v>
      </c>
      <c r="C9" s="30" t="s">
        <v>14</v>
      </c>
      <c r="D9" s="22">
        <v>4451200</v>
      </c>
      <c r="E9" s="137" t="e">
        <f>VLOOKUP(B9,'DSOAT-T1.2025'!$B$11:$AJ$76,46,0)</f>
        <v>#REF!</v>
      </c>
      <c r="F9" s="138" t="e">
        <f>VLOOKUP(B9,'DSOAT-T1.2025'!$B$11:$AQ$76,53,0)</f>
        <v>#REF!</v>
      </c>
      <c r="G9" s="138">
        <v>11000000</v>
      </c>
      <c r="H9" s="138" t="e">
        <f>VLOOKUP(C9,#REF!,6,0)</f>
        <v>#REF!</v>
      </c>
      <c r="I9" s="138" t="e">
        <f>H9*4400000</f>
        <v>#REF!</v>
      </c>
      <c r="J9" s="138" t="e">
        <f>IF((E9-F9-G9-I9)&lt;0,0,(E9-F9-G9-I9))</f>
        <v>#REF!</v>
      </c>
      <c r="K9" s="139" t="e">
        <f>ROUND(IF(J9&gt;80000000,J9*35%-9850000,IF(J9&gt;52000000,J9*30%-5850000,IF(J9&gt;32000000,J9*25%-3250000,IF(J9&gt;18000000,J9*20%-1650000,IF(J9&gt;10000000,J9*15%-750000,IF(J9&gt;5000000,J9*10%-250000,IF(J9&gt;0,J9*5%,0))))))),0)</f>
        <v>#REF!</v>
      </c>
      <c r="M9" s="172" t="e">
        <f>+E9-F9-G9-I9</f>
        <v>#REF!</v>
      </c>
    </row>
    <row r="10" spans="1:13" s="140" customFormat="1" ht="20.25" customHeight="1">
      <c r="A10" s="136">
        <v>2</v>
      </c>
      <c r="B10" s="82" t="s">
        <v>55</v>
      </c>
      <c r="C10" s="30" t="s">
        <v>56</v>
      </c>
      <c r="D10" s="22">
        <v>3894800</v>
      </c>
      <c r="E10" s="137" t="e">
        <f>VLOOKUP(B10,'DSOAT-T1.2025'!$B$11:$AJ$76,46,0)</f>
        <v>#REF!</v>
      </c>
      <c r="F10" s="138" t="e">
        <f>VLOOKUP(B10,'DSOAT-T1.2025'!$B$11:$AQ$76,53,0)</f>
        <v>#REF!</v>
      </c>
      <c r="G10" s="138">
        <v>11000000</v>
      </c>
      <c r="H10" s="138" t="e">
        <f>VLOOKUP(C10,#REF!,6,0)</f>
        <v>#REF!</v>
      </c>
      <c r="I10" s="138" t="e">
        <f t="shared" ref="I10:I73" si="0">H10*4400000</f>
        <v>#REF!</v>
      </c>
      <c r="J10" s="138" t="e">
        <f t="shared" ref="J10:J73" si="1">IF((E10-F10-G10-I10)&lt;0,0,(E10-F10-G10-I10))</f>
        <v>#REF!</v>
      </c>
      <c r="K10" s="139" t="e">
        <f t="shared" ref="K10:K73" si="2">ROUND(IF(J10&gt;80000000,J10*35%-9850000,IF(J10&gt;52000000,J10*30%-5850000,IF(J10&gt;32000000,J10*25%-3250000,IF(J10&gt;18000000,J10*20%-1650000,IF(J10&gt;10000000,J10*15%-750000,IF(J10&gt;5000000,J10*10%-250000,IF(J10&gt;0,J10*5%,0))))))),0)</f>
        <v>#REF!</v>
      </c>
      <c r="M10" s="172" t="e">
        <f t="shared" ref="M10:M73" si="3">+E10-F10-G10-I10</f>
        <v>#REF!</v>
      </c>
    </row>
    <row r="11" spans="1:13" s="140" customFormat="1" ht="20.25" customHeight="1">
      <c r="A11" s="136">
        <v>3</v>
      </c>
      <c r="B11" s="82" t="s">
        <v>16</v>
      </c>
      <c r="C11" s="30" t="s">
        <v>17</v>
      </c>
      <c r="D11" s="22">
        <v>4451200</v>
      </c>
      <c r="E11" s="137" t="e">
        <f>VLOOKUP(B11,'DSOAT-T1.2025'!$B$11:$AJ$76,46,0)</f>
        <v>#REF!</v>
      </c>
      <c r="F11" s="138" t="e">
        <f>VLOOKUP(B11,'DSOAT-T1.2025'!$B$11:$AQ$76,53,0)</f>
        <v>#REF!</v>
      </c>
      <c r="G11" s="138">
        <v>11000000</v>
      </c>
      <c r="H11" s="138" t="e">
        <f>VLOOKUP(C11,#REF!,6,0)</f>
        <v>#REF!</v>
      </c>
      <c r="I11" s="138" t="e">
        <f t="shared" si="0"/>
        <v>#REF!</v>
      </c>
      <c r="J11" s="138" t="e">
        <f t="shared" si="1"/>
        <v>#REF!</v>
      </c>
      <c r="K11" s="139" t="e">
        <f t="shared" si="2"/>
        <v>#REF!</v>
      </c>
      <c r="M11" s="172" t="e">
        <f t="shared" si="3"/>
        <v>#REF!</v>
      </c>
    </row>
    <row r="12" spans="1:13" s="140" customFormat="1" ht="20.25" customHeight="1">
      <c r="A12" s="136">
        <v>4</v>
      </c>
      <c r="B12" s="82" t="s">
        <v>21</v>
      </c>
      <c r="C12" s="30" t="s">
        <v>22</v>
      </c>
      <c r="D12" s="22">
        <v>4451200</v>
      </c>
      <c r="E12" s="137" t="e">
        <f>VLOOKUP(B12,'DSOAT-T1.2025'!$B$11:$AJ$76,46,0)</f>
        <v>#REF!</v>
      </c>
      <c r="F12" s="138" t="e">
        <f>VLOOKUP(B12,'DSOAT-T1.2025'!$B$11:$AQ$76,53,0)</f>
        <v>#REF!</v>
      </c>
      <c r="G12" s="138">
        <v>11000000</v>
      </c>
      <c r="H12" s="138" t="e">
        <f>VLOOKUP(C12,#REF!,6,0)</f>
        <v>#REF!</v>
      </c>
      <c r="I12" s="138" t="e">
        <f t="shared" si="0"/>
        <v>#REF!</v>
      </c>
      <c r="J12" s="138" t="e">
        <f t="shared" si="1"/>
        <v>#REF!</v>
      </c>
      <c r="K12" s="139" t="e">
        <f t="shared" si="2"/>
        <v>#REF!</v>
      </c>
      <c r="M12" s="172" t="e">
        <f t="shared" si="3"/>
        <v>#REF!</v>
      </c>
    </row>
    <row r="13" spans="1:13" s="140" customFormat="1" ht="20.25" customHeight="1">
      <c r="A13" s="136">
        <v>5</v>
      </c>
      <c r="B13" s="82" t="s">
        <v>155</v>
      </c>
      <c r="C13" s="30" t="s">
        <v>142</v>
      </c>
      <c r="D13" s="22">
        <v>4451200</v>
      </c>
      <c r="E13" s="137" t="e">
        <f>VLOOKUP(B13,'DSOAT-T1.2025'!$B$11:$AJ$76,46,0)</f>
        <v>#REF!</v>
      </c>
      <c r="F13" s="138" t="e">
        <f>VLOOKUP(B13,'DSOAT-T1.2025'!$B$11:$AQ$76,53,0)</f>
        <v>#REF!</v>
      </c>
      <c r="G13" s="138">
        <v>11000000</v>
      </c>
      <c r="H13" s="138" t="e">
        <f>VLOOKUP(C13,#REF!,6,0)</f>
        <v>#REF!</v>
      </c>
      <c r="I13" s="138" t="e">
        <f t="shared" si="0"/>
        <v>#REF!</v>
      </c>
      <c r="J13" s="138" t="e">
        <f t="shared" si="1"/>
        <v>#REF!</v>
      </c>
      <c r="K13" s="139" t="e">
        <f t="shared" si="2"/>
        <v>#REF!</v>
      </c>
      <c r="M13" s="172" t="e">
        <f t="shared" si="3"/>
        <v>#REF!</v>
      </c>
    </row>
    <row r="14" spans="1:13" s="140" customFormat="1" ht="20.25" customHeight="1">
      <c r="A14" s="136">
        <v>6</v>
      </c>
      <c r="B14" s="82" t="s">
        <v>156</v>
      </c>
      <c r="C14" s="30" t="s">
        <v>143</v>
      </c>
      <c r="D14" s="22">
        <v>4451200</v>
      </c>
      <c r="E14" s="137" t="e">
        <f>VLOOKUP(B14,'DSOAT-T1.2025'!$B$11:$AJ$76,46,0)</f>
        <v>#REF!</v>
      </c>
      <c r="F14" s="138" t="e">
        <f>VLOOKUP(B14,'DSOAT-T1.2025'!$B$11:$AQ$76,53,0)</f>
        <v>#REF!</v>
      </c>
      <c r="G14" s="138">
        <v>11000000</v>
      </c>
      <c r="H14" s="138" t="e">
        <f>VLOOKUP(C14,#REF!,6,0)</f>
        <v>#REF!</v>
      </c>
      <c r="I14" s="138" t="e">
        <f t="shared" si="0"/>
        <v>#REF!</v>
      </c>
      <c r="J14" s="138" t="e">
        <f t="shared" si="1"/>
        <v>#REF!</v>
      </c>
      <c r="K14" s="139" t="e">
        <f t="shared" si="2"/>
        <v>#REF!</v>
      </c>
      <c r="M14" s="172" t="e">
        <f t="shared" si="3"/>
        <v>#REF!</v>
      </c>
    </row>
    <row r="15" spans="1:13" s="140" customFormat="1" ht="20.25" customHeight="1">
      <c r="A15" s="136">
        <v>7</v>
      </c>
      <c r="B15" s="82" t="s">
        <v>157</v>
      </c>
      <c r="C15" s="30" t="s">
        <v>144</v>
      </c>
      <c r="D15" s="22">
        <v>4451200</v>
      </c>
      <c r="E15" s="137" t="e">
        <f>VLOOKUP(B15,'DSOAT-T1.2025'!$B$11:$AJ$76,46,0)</f>
        <v>#REF!</v>
      </c>
      <c r="F15" s="138" t="e">
        <f>VLOOKUP(B15,'DSOAT-T1.2025'!$B$11:$AQ$76,53,0)</f>
        <v>#REF!</v>
      </c>
      <c r="G15" s="138">
        <v>11000000</v>
      </c>
      <c r="H15" s="138" t="e">
        <f>VLOOKUP(C15,#REF!,6,0)</f>
        <v>#REF!</v>
      </c>
      <c r="I15" s="138" t="e">
        <f t="shared" si="0"/>
        <v>#REF!</v>
      </c>
      <c r="J15" s="138" t="e">
        <f t="shared" si="1"/>
        <v>#REF!</v>
      </c>
      <c r="K15" s="139" t="e">
        <f t="shared" si="2"/>
        <v>#REF!</v>
      </c>
      <c r="M15" s="172" t="e">
        <f t="shared" si="3"/>
        <v>#REF!</v>
      </c>
    </row>
    <row r="16" spans="1:13" s="140" customFormat="1" ht="20.25" customHeight="1">
      <c r="A16" s="136">
        <v>8</v>
      </c>
      <c r="B16" s="84" t="s">
        <v>167</v>
      </c>
      <c r="C16" s="85" t="s">
        <v>145</v>
      </c>
      <c r="D16" s="77">
        <v>4451200</v>
      </c>
      <c r="E16" s="137" t="e">
        <f>VLOOKUP(B16,'DSOAT-T1.2025'!$B$11:$AJ$76,46,0)</f>
        <v>#N/A</v>
      </c>
      <c r="F16" s="138" t="e">
        <f>VLOOKUP(B16,'DSOAT-T1.2025'!$B$11:$AQ$76,53,0)</f>
        <v>#N/A</v>
      </c>
      <c r="G16" s="138">
        <v>11000000</v>
      </c>
      <c r="H16" s="138" t="e">
        <f>VLOOKUP(C16,#REF!,6,0)</f>
        <v>#REF!</v>
      </c>
      <c r="I16" s="138" t="e">
        <f t="shared" si="0"/>
        <v>#REF!</v>
      </c>
      <c r="J16" s="138" t="e">
        <f t="shared" si="1"/>
        <v>#N/A</v>
      </c>
      <c r="K16" s="139" t="e">
        <f t="shared" si="2"/>
        <v>#N/A</v>
      </c>
      <c r="M16" s="172" t="e">
        <f t="shared" si="3"/>
        <v>#N/A</v>
      </c>
    </row>
    <row r="17" spans="1:13" s="140" customFormat="1" ht="20.25" customHeight="1">
      <c r="A17" s="136">
        <v>9</v>
      </c>
      <c r="B17" s="82" t="s">
        <v>103</v>
      </c>
      <c r="C17" s="30" t="s">
        <v>104</v>
      </c>
      <c r="D17" s="22">
        <v>4451200</v>
      </c>
      <c r="E17" s="137" t="e">
        <f>VLOOKUP(B17,'DSOAT-T1.2025'!$B$11:$AJ$76,46,0)</f>
        <v>#REF!</v>
      </c>
      <c r="F17" s="138" t="e">
        <f>VLOOKUP(B17,'DSOAT-T1.2025'!$B$11:$AQ$76,53,0)</f>
        <v>#REF!</v>
      </c>
      <c r="G17" s="138">
        <v>11000000</v>
      </c>
      <c r="H17" s="138" t="e">
        <f>VLOOKUP(C17,#REF!,6,0)</f>
        <v>#REF!</v>
      </c>
      <c r="I17" s="138" t="e">
        <f t="shared" si="0"/>
        <v>#REF!</v>
      </c>
      <c r="J17" s="138" t="e">
        <f t="shared" si="1"/>
        <v>#REF!</v>
      </c>
      <c r="K17" s="139" t="e">
        <f t="shared" si="2"/>
        <v>#REF!</v>
      </c>
      <c r="M17" s="172" t="e">
        <f t="shared" si="3"/>
        <v>#REF!</v>
      </c>
    </row>
    <row r="18" spans="1:13" s="140" customFormat="1" ht="20.25" customHeight="1">
      <c r="A18" s="136">
        <v>10</v>
      </c>
      <c r="B18" s="82" t="s">
        <v>24</v>
      </c>
      <c r="C18" s="30" t="s">
        <v>25</v>
      </c>
      <c r="D18" s="22">
        <v>4451200</v>
      </c>
      <c r="E18" s="137" t="e">
        <f>VLOOKUP(B18,'DSOAT-T1.2025'!$B$11:$AJ$76,46,0)</f>
        <v>#REF!</v>
      </c>
      <c r="F18" s="138" t="e">
        <f>VLOOKUP(B18,'DSOAT-T1.2025'!$B$11:$AQ$76,53,0)</f>
        <v>#REF!</v>
      </c>
      <c r="G18" s="138">
        <v>11000000</v>
      </c>
      <c r="H18" s="138" t="e">
        <f>VLOOKUP(C18,#REF!,6,0)</f>
        <v>#REF!</v>
      </c>
      <c r="I18" s="138" t="e">
        <f t="shared" si="0"/>
        <v>#REF!</v>
      </c>
      <c r="J18" s="138" t="e">
        <f t="shared" si="1"/>
        <v>#REF!</v>
      </c>
      <c r="K18" s="139" t="e">
        <f t="shared" si="2"/>
        <v>#REF!</v>
      </c>
      <c r="M18" s="172" t="e">
        <f t="shared" si="3"/>
        <v>#REF!</v>
      </c>
    </row>
    <row r="19" spans="1:13" s="140" customFormat="1" ht="20.25" customHeight="1">
      <c r="A19" s="136">
        <v>11</v>
      </c>
      <c r="B19" s="82" t="s">
        <v>26</v>
      </c>
      <c r="C19" s="30" t="s">
        <v>27</v>
      </c>
      <c r="D19" s="22">
        <v>4451200</v>
      </c>
      <c r="E19" s="137" t="e">
        <f>VLOOKUP(B19,'DSOAT-T1.2025'!$B$11:$AJ$76,46,0)</f>
        <v>#REF!</v>
      </c>
      <c r="F19" s="138" t="e">
        <f>VLOOKUP(B19,'DSOAT-T1.2025'!$B$11:$AQ$76,53,0)</f>
        <v>#REF!</v>
      </c>
      <c r="G19" s="138">
        <v>11000000</v>
      </c>
      <c r="H19" s="138" t="e">
        <f>VLOOKUP(C19,#REF!,6,0)</f>
        <v>#REF!</v>
      </c>
      <c r="I19" s="138" t="e">
        <f t="shared" si="0"/>
        <v>#REF!</v>
      </c>
      <c r="J19" s="138" t="e">
        <f t="shared" si="1"/>
        <v>#REF!</v>
      </c>
      <c r="K19" s="139" t="e">
        <f t="shared" si="2"/>
        <v>#REF!</v>
      </c>
      <c r="M19" s="172" t="e">
        <f t="shared" si="3"/>
        <v>#REF!</v>
      </c>
    </row>
    <row r="20" spans="1:13" s="140" customFormat="1" ht="20.25" customHeight="1">
      <c r="A20" s="136">
        <v>12</v>
      </c>
      <c r="B20" s="82" t="s">
        <v>28</v>
      </c>
      <c r="C20" s="30" t="s">
        <v>29</v>
      </c>
      <c r="D20" s="22">
        <v>4451200</v>
      </c>
      <c r="E20" s="137" t="e">
        <f>VLOOKUP(B20,'DSOAT-T1.2025'!$B$11:$AJ$76,46,0)</f>
        <v>#REF!</v>
      </c>
      <c r="F20" s="138" t="e">
        <f>VLOOKUP(B20,'DSOAT-T1.2025'!$B$11:$AQ$76,53,0)</f>
        <v>#REF!</v>
      </c>
      <c r="G20" s="138">
        <v>11000000</v>
      </c>
      <c r="H20" s="138" t="e">
        <f>VLOOKUP(C20,#REF!,6,0)</f>
        <v>#REF!</v>
      </c>
      <c r="I20" s="138" t="e">
        <f t="shared" si="0"/>
        <v>#REF!</v>
      </c>
      <c r="J20" s="138" t="e">
        <f t="shared" si="1"/>
        <v>#REF!</v>
      </c>
      <c r="K20" s="139" t="e">
        <f t="shared" si="2"/>
        <v>#REF!</v>
      </c>
      <c r="M20" s="172" t="e">
        <f t="shared" si="3"/>
        <v>#REF!</v>
      </c>
    </row>
    <row r="21" spans="1:13" s="140" customFormat="1" ht="20.25" customHeight="1">
      <c r="A21" s="136">
        <v>13</v>
      </c>
      <c r="B21" s="82" t="s">
        <v>30</v>
      </c>
      <c r="C21" s="31" t="s">
        <v>31</v>
      </c>
      <c r="D21" s="22">
        <v>4451200</v>
      </c>
      <c r="E21" s="137" t="e">
        <f>VLOOKUP(B21,'DSOAT-T1.2025'!$B$11:$AJ$76,46,0)</f>
        <v>#REF!</v>
      </c>
      <c r="F21" s="138" t="e">
        <f>VLOOKUP(B21,'DSOAT-T1.2025'!$B$11:$AQ$76,53,0)</f>
        <v>#REF!</v>
      </c>
      <c r="G21" s="138">
        <v>11000000</v>
      </c>
      <c r="H21" s="138" t="e">
        <f>VLOOKUP(C21,#REF!,6,0)</f>
        <v>#REF!</v>
      </c>
      <c r="I21" s="138" t="e">
        <f t="shared" si="0"/>
        <v>#REF!</v>
      </c>
      <c r="J21" s="138" t="e">
        <f t="shared" si="1"/>
        <v>#REF!</v>
      </c>
      <c r="K21" s="139" t="e">
        <f t="shared" si="2"/>
        <v>#REF!</v>
      </c>
      <c r="M21" s="172" t="e">
        <f t="shared" si="3"/>
        <v>#REF!</v>
      </c>
    </row>
    <row r="22" spans="1:13" s="140" customFormat="1" ht="20.25" customHeight="1">
      <c r="A22" s="136">
        <v>14</v>
      </c>
      <c r="B22" s="82" t="s">
        <v>32</v>
      </c>
      <c r="C22" s="30" t="s">
        <v>33</v>
      </c>
      <c r="D22" s="22">
        <v>4451200</v>
      </c>
      <c r="E22" s="137" t="e">
        <f>VLOOKUP(B22,'DSOAT-T1.2025'!$B$11:$AJ$76,46,0)</f>
        <v>#REF!</v>
      </c>
      <c r="F22" s="138" t="e">
        <f>VLOOKUP(B22,'DSOAT-T1.2025'!$B$11:$AQ$76,53,0)</f>
        <v>#REF!</v>
      </c>
      <c r="G22" s="138">
        <v>11000000</v>
      </c>
      <c r="H22" s="138" t="e">
        <f>VLOOKUP(C22,#REF!,6,0)</f>
        <v>#REF!</v>
      </c>
      <c r="I22" s="138" t="e">
        <f t="shared" si="0"/>
        <v>#REF!</v>
      </c>
      <c r="J22" s="138" t="e">
        <f t="shared" si="1"/>
        <v>#REF!</v>
      </c>
      <c r="K22" s="139" t="e">
        <f t="shared" si="2"/>
        <v>#REF!</v>
      </c>
      <c r="M22" s="172" t="e">
        <f t="shared" si="3"/>
        <v>#REF!</v>
      </c>
    </row>
    <row r="23" spans="1:13" s="140" customFormat="1" ht="20.25" customHeight="1">
      <c r="A23" s="136">
        <v>15</v>
      </c>
      <c r="B23" s="82" t="s">
        <v>34</v>
      </c>
      <c r="C23" s="30" t="s">
        <v>35</v>
      </c>
      <c r="D23" s="22">
        <v>4451200</v>
      </c>
      <c r="E23" s="137" t="e">
        <f>VLOOKUP(B23,'DSOAT-T1.2025'!$B$11:$AJ$76,46,0)</f>
        <v>#REF!</v>
      </c>
      <c r="F23" s="138" t="e">
        <f>VLOOKUP(B23,'DSOAT-T1.2025'!$B$11:$AQ$76,53,0)</f>
        <v>#REF!</v>
      </c>
      <c r="G23" s="138">
        <v>11000000</v>
      </c>
      <c r="H23" s="138" t="e">
        <f>VLOOKUP(C23,#REF!,6,0)</f>
        <v>#REF!</v>
      </c>
      <c r="I23" s="138" t="e">
        <f t="shared" si="0"/>
        <v>#REF!</v>
      </c>
      <c r="J23" s="138" t="e">
        <f t="shared" si="1"/>
        <v>#REF!</v>
      </c>
      <c r="K23" s="139" t="e">
        <f t="shared" si="2"/>
        <v>#REF!</v>
      </c>
      <c r="M23" s="172" t="e">
        <f t="shared" si="3"/>
        <v>#REF!</v>
      </c>
    </row>
    <row r="24" spans="1:13" s="140" customFormat="1" ht="20.25" customHeight="1">
      <c r="A24" s="136">
        <v>16</v>
      </c>
      <c r="B24" s="82" t="s">
        <v>36</v>
      </c>
      <c r="C24" s="30" t="s">
        <v>37</v>
      </c>
      <c r="D24" s="22">
        <v>4451200</v>
      </c>
      <c r="E24" s="137" t="e">
        <f>VLOOKUP(B24,'DSOAT-T1.2025'!$B$11:$AJ$76,46,0)</f>
        <v>#REF!</v>
      </c>
      <c r="F24" s="138" t="e">
        <f>VLOOKUP(B24,'DSOAT-T1.2025'!$B$11:$AQ$76,53,0)</f>
        <v>#REF!</v>
      </c>
      <c r="G24" s="138">
        <v>11000000</v>
      </c>
      <c r="H24" s="138" t="e">
        <f>VLOOKUP(C24,#REF!,6,0)</f>
        <v>#REF!</v>
      </c>
      <c r="I24" s="138" t="e">
        <f t="shared" si="0"/>
        <v>#REF!</v>
      </c>
      <c r="J24" s="138" t="e">
        <f t="shared" si="1"/>
        <v>#REF!</v>
      </c>
      <c r="K24" s="139" t="e">
        <f t="shared" si="2"/>
        <v>#REF!</v>
      </c>
      <c r="M24" s="172" t="e">
        <f t="shared" si="3"/>
        <v>#REF!</v>
      </c>
    </row>
    <row r="25" spans="1:13" s="140" customFormat="1" ht="20.25" customHeight="1">
      <c r="A25" s="136">
        <v>17</v>
      </c>
      <c r="B25" s="82" t="s">
        <v>38</v>
      </c>
      <c r="C25" s="30" t="s">
        <v>39</v>
      </c>
      <c r="D25" s="22">
        <v>4451200</v>
      </c>
      <c r="E25" s="137" t="e">
        <f>VLOOKUP(B25,'DSOAT-T1.2025'!$B$11:$AJ$76,46,0)</f>
        <v>#REF!</v>
      </c>
      <c r="F25" s="138" t="e">
        <f>VLOOKUP(B25,'DSOAT-T1.2025'!$B$11:$AQ$76,53,0)</f>
        <v>#REF!</v>
      </c>
      <c r="G25" s="138">
        <v>11000000</v>
      </c>
      <c r="H25" s="138" t="e">
        <f>VLOOKUP(C25,#REF!,6,0)</f>
        <v>#REF!</v>
      </c>
      <c r="I25" s="138" t="e">
        <f t="shared" si="0"/>
        <v>#REF!</v>
      </c>
      <c r="J25" s="138" t="e">
        <f t="shared" si="1"/>
        <v>#REF!</v>
      </c>
      <c r="K25" s="139" t="e">
        <f t="shared" si="2"/>
        <v>#REF!</v>
      </c>
      <c r="M25" s="172" t="e">
        <f t="shared" si="3"/>
        <v>#REF!</v>
      </c>
    </row>
    <row r="26" spans="1:13" s="140" customFormat="1" ht="20.25" customHeight="1">
      <c r="A26" s="136">
        <v>18</v>
      </c>
      <c r="B26" s="82" t="s">
        <v>40</v>
      </c>
      <c r="C26" s="30" t="s">
        <v>41</v>
      </c>
      <c r="D26" s="22">
        <v>3894800</v>
      </c>
      <c r="E26" s="137" t="e">
        <f>VLOOKUP(B26,'DSOAT-T1.2025'!$B$11:$AJ$76,46,0)</f>
        <v>#REF!</v>
      </c>
      <c r="F26" s="138" t="e">
        <f>VLOOKUP(B26,'DSOAT-T1.2025'!$B$11:$AQ$76,53,0)</f>
        <v>#REF!</v>
      </c>
      <c r="G26" s="138">
        <v>11000000</v>
      </c>
      <c r="H26" s="138" t="e">
        <f>VLOOKUP(C26,#REF!,6,0)</f>
        <v>#REF!</v>
      </c>
      <c r="I26" s="138" t="e">
        <f t="shared" si="0"/>
        <v>#REF!</v>
      </c>
      <c r="J26" s="138" t="e">
        <f t="shared" si="1"/>
        <v>#REF!</v>
      </c>
      <c r="K26" s="139" t="e">
        <f t="shared" si="2"/>
        <v>#REF!</v>
      </c>
      <c r="M26" s="172" t="e">
        <f t="shared" si="3"/>
        <v>#REF!</v>
      </c>
    </row>
    <row r="27" spans="1:13" s="140" customFormat="1" ht="20.25" customHeight="1">
      <c r="A27" s="136">
        <v>19</v>
      </c>
      <c r="B27" s="86" t="s">
        <v>43</v>
      </c>
      <c r="C27" s="30" t="s">
        <v>44</v>
      </c>
      <c r="D27" s="22">
        <v>3894800</v>
      </c>
      <c r="E27" s="137" t="e">
        <f>VLOOKUP(B27,'DSOAT-T1.2025'!$B$11:$AJ$76,46,0)</f>
        <v>#REF!</v>
      </c>
      <c r="F27" s="138" t="e">
        <f>VLOOKUP(B27,'DSOAT-T1.2025'!$B$11:$AQ$76,53,0)</f>
        <v>#REF!</v>
      </c>
      <c r="G27" s="138">
        <v>11000000</v>
      </c>
      <c r="H27" s="138" t="e">
        <f>VLOOKUP(C27,#REF!,6,0)</f>
        <v>#REF!</v>
      </c>
      <c r="I27" s="138" t="e">
        <f t="shared" si="0"/>
        <v>#REF!</v>
      </c>
      <c r="J27" s="138" t="e">
        <f t="shared" si="1"/>
        <v>#REF!</v>
      </c>
      <c r="K27" s="139" t="e">
        <f t="shared" si="2"/>
        <v>#REF!</v>
      </c>
      <c r="M27" s="172" t="e">
        <f t="shared" si="3"/>
        <v>#REF!</v>
      </c>
    </row>
    <row r="28" spans="1:13" s="140" customFormat="1" ht="20.25" customHeight="1">
      <c r="A28" s="136">
        <v>20</v>
      </c>
      <c r="B28" s="82" t="s">
        <v>45</v>
      </c>
      <c r="C28" s="30" t="s">
        <v>46</v>
      </c>
      <c r="D28" s="22">
        <v>3894800</v>
      </c>
      <c r="E28" s="137" t="e">
        <f>VLOOKUP(B28,'DSOAT-T1.2025'!$B$11:$AJ$76,46,0)</f>
        <v>#REF!</v>
      </c>
      <c r="F28" s="138" t="e">
        <f>VLOOKUP(B28,'DSOAT-T1.2025'!$B$11:$AQ$76,53,0)</f>
        <v>#REF!</v>
      </c>
      <c r="G28" s="138">
        <v>11000000</v>
      </c>
      <c r="H28" s="138" t="e">
        <f>VLOOKUP(C28,#REF!,6,0)</f>
        <v>#REF!</v>
      </c>
      <c r="I28" s="138" t="e">
        <f t="shared" si="0"/>
        <v>#REF!</v>
      </c>
      <c r="J28" s="138" t="e">
        <f t="shared" si="1"/>
        <v>#REF!</v>
      </c>
      <c r="K28" s="139" t="e">
        <f t="shared" si="2"/>
        <v>#REF!</v>
      </c>
      <c r="M28" s="172" t="e">
        <f t="shared" si="3"/>
        <v>#REF!</v>
      </c>
    </row>
    <row r="29" spans="1:13" s="140" customFormat="1" ht="20.25" customHeight="1">
      <c r="A29" s="136">
        <v>21</v>
      </c>
      <c r="B29" s="82" t="s">
        <v>49</v>
      </c>
      <c r="C29" s="30" t="s">
        <v>50</v>
      </c>
      <c r="D29" s="22">
        <v>3894800</v>
      </c>
      <c r="E29" s="137" t="e">
        <f>VLOOKUP(B29,'DSOAT-T1.2025'!$B$11:$AJ$76,46,0)</f>
        <v>#REF!</v>
      </c>
      <c r="F29" s="138" t="e">
        <f>VLOOKUP(B29,'DSOAT-T1.2025'!$B$11:$AQ$76,53,0)</f>
        <v>#REF!</v>
      </c>
      <c r="G29" s="138">
        <v>11000000</v>
      </c>
      <c r="H29" s="138" t="e">
        <f>VLOOKUP(C29,#REF!,6,0)</f>
        <v>#REF!</v>
      </c>
      <c r="I29" s="138" t="e">
        <f t="shared" si="0"/>
        <v>#REF!</v>
      </c>
      <c r="J29" s="138" t="e">
        <f t="shared" si="1"/>
        <v>#REF!</v>
      </c>
      <c r="K29" s="139" t="e">
        <f t="shared" si="2"/>
        <v>#REF!</v>
      </c>
      <c r="M29" s="172" t="e">
        <f t="shared" si="3"/>
        <v>#REF!</v>
      </c>
    </row>
    <row r="30" spans="1:13" s="140" customFormat="1" ht="20.25" customHeight="1">
      <c r="A30" s="136">
        <v>22</v>
      </c>
      <c r="B30" s="82" t="s">
        <v>51</v>
      </c>
      <c r="C30" s="30" t="s">
        <v>52</v>
      </c>
      <c r="D30" s="22">
        <v>3894800</v>
      </c>
      <c r="E30" s="137" t="e">
        <f>VLOOKUP(B30,'DSOAT-T1.2025'!$B$11:$AJ$76,46,0)</f>
        <v>#REF!</v>
      </c>
      <c r="F30" s="138" t="e">
        <f>VLOOKUP(B30,'DSOAT-T1.2025'!$B$11:$AQ$76,53,0)</f>
        <v>#REF!</v>
      </c>
      <c r="G30" s="138">
        <v>11000000</v>
      </c>
      <c r="H30" s="138" t="e">
        <f>VLOOKUP(C30,#REF!,6,0)</f>
        <v>#REF!</v>
      </c>
      <c r="I30" s="138" t="e">
        <f t="shared" si="0"/>
        <v>#REF!</v>
      </c>
      <c r="J30" s="138" t="e">
        <f t="shared" si="1"/>
        <v>#REF!</v>
      </c>
      <c r="K30" s="139" t="e">
        <f t="shared" si="2"/>
        <v>#REF!</v>
      </c>
      <c r="M30" s="172" t="e">
        <f t="shared" si="3"/>
        <v>#REF!</v>
      </c>
    </row>
    <row r="31" spans="1:13" s="140" customFormat="1" ht="20.25" customHeight="1">
      <c r="A31" s="136">
        <v>23</v>
      </c>
      <c r="B31" s="82" t="s">
        <v>53</v>
      </c>
      <c r="C31" s="31" t="s">
        <v>54</v>
      </c>
      <c r="D31" s="22">
        <v>3894800</v>
      </c>
      <c r="E31" s="137" t="e">
        <f>VLOOKUP(B31,'DSOAT-T1.2025'!$B$11:$AJ$76,46,0)</f>
        <v>#REF!</v>
      </c>
      <c r="F31" s="138" t="e">
        <f>VLOOKUP(B31,'DSOAT-T1.2025'!$B$11:$AQ$76,53,0)</f>
        <v>#REF!</v>
      </c>
      <c r="G31" s="138">
        <v>11000000</v>
      </c>
      <c r="H31" s="138" t="e">
        <f>VLOOKUP(C31,#REF!,6,0)</f>
        <v>#REF!</v>
      </c>
      <c r="I31" s="138" t="e">
        <f t="shared" si="0"/>
        <v>#REF!</v>
      </c>
      <c r="J31" s="138" t="e">
        <f t="shared" si="1"/>
        <v>#REF!</v>
      </c>
      <c r="K31" s="139" t="e">
        <f t="shared" si="2"/>
        <v>#REF!</v>
      </c>
      <c r="M31" s="172" t="e">
        <f t="shared" si="3"/>
        <v>#REF!</v>
      </c>
    </row>
    <row r="32" spans="1:13" s="140" customFormat="1" ht="20.25" customHeight="1">
      <c r="A32" s="136">
        <v>24</v>
      </c>
      <c r="B32" s="82" t="s">
        <v>59</v>
      </c>
      <c r="C32" s="30" t="s">
        <v>60</v>
      </c>
      <c r="D32" s="22">
        <v>3894800</v>
      </c>
      <c r="E32" s="137" t="e">
        <f>VLOOKUP(B32,'DSOAT-T1.2025'!$B$11:$AJ$76,46,0)</f>
        <v>#REF!</v>
      </c>
      <c r="F32" s="138" t="e">
        <f>VLOOKUP(B32,'DSOAT-T1.2025'!$B$11:$AQ$76,53,0)</f>
        <v>#REF!</v>
      </c>
      <c r="G32" s="138">
        <v>11000000</v>
      </c>
      <c r="H32" s="138" t="e">
        <f>VLOOKUP(C32,#REF!,6,0)</f>
        <v>#REF!</v>
      </c>
      <c r="I32" s="138" t="e">
        <f t="shared" si="0"/>
        <v>#REF!</v>
      </c>
      <c r="J32" s="138" t="e">
        <f t="shared" si="1"/>
        <v>#REF!</v>
      </c>
      <c r="K32" s="139" t="e">
        <f t="shared" si="2"/>
        <v>#REF!</v>
      </c>
      <c r="M32" s="172" t="e">
        <f t="shared" si="3"/>
        <v>#REF!</v>
      </c>
    </row>
    <row r="33" spans="1:13" s="140" customFormat="1" ht="20.25" customHeight="1">
      <c r="A33" s="136">
        <v>25</v>
      </c>
      <c r="B33" s="82" t="s">
        <v>158</v>
      </c>
      <c r="C33" s="30" t="s">
        <v>146</v>
      </c>
      <c r="D33" s="22">
        <v>3894800</v>
      </c>
      <c r="E33" s="137" t="e">
        <f>VLOOKUP(B33,'DSOAT-T1.2025'!$B$11:$AJ$76,46,0)</f>
        <v>#REF!</v>
      </c>
      <c r="F33" s="138" t="e">
        <f>VLOOKUP(B33,'DSOAT-T1.2025'!$B$11:$AQ$76,53,0)</f>
        <v>#REF!</v>
      </c>
      <c r="G33" s="138">
        <v>11000000</v>
      </c>
      <c r="H33" s="138" t="e">
        <f>VLOOKUP(C33,#REF!,6,0)</f>
        <v>#REF!</v>
      </c>
      <c r="I33" s="138" t="e">
        <f t="shared" si="0"/>
        <v>#REF!</v>
      </c>
      <c r="J33" s="138" t="e">
        <f t="shared" si="1"/>
        <v>#REF!</v>
      </c>
      <c r="K33" s="139" t="e">
        <f t="shared" si="2"/>
        <v>#REF!</v>
      </c>
      <c r="M33" s="172" t="e">
        <f t="shared" si="3"/>
        <v>#REF!</v>
      </c>
    </row>
    <row r="34" spans="1:13" s="140" customFormat="1" ht="20.25" customHeight="1">
      <c r="A34" s="136">
        <v>26</v>
      </c>
      <c r="B34" s="82" t="s">
        <v>159</v>
      </c>
      <c r="C34" s="30" t="s">
        <v>147</v>
      </c>
      <c r="D34" s="22">
        <v>3894800</v>
      </c>
      <c r="E34" s="137" t="e">
        <f>VLOOKUP(B34,'DSOAT-T1.2025'!$B$11:$AJ$76,46,0)</f>
        <v>#REF!</v>
      </c>
      <c r="F34" s="138" t="e">
        <f>VLOOKUP(B34,'DSOAT-T1.2025'!$B$11:$AQ$76,53,0)</f>
        <v>#REF!</v>
      </c>
      <c r="G34" s="138">
        <v>11000000</v>
      </c>
      <c r="H34" s="138" t="e">
        <f>VLOOKUP(C34,#REF!,6,0)</f>
        <v>#REF!</v>
      </c>
      <c r="I34" s="138" t="e">
        <f t="shared" si="0"/>
        <v>#REF!</v>
      </c>
      <c r="J34" s="138" t="e">
        <f t="shared" si="1"/>
        <v>#REF!</v>
      </c>
      <c r="K34" s="139" t="e">
        <f t="shared" si="2"/>
        <v>#REF!</v>
      </c>
      <c r="M34" s="172" t="e">
        <f t="shared" si="3"/>
        <v>#REF!</v>
      </c>
    </row>
    <row r="35" spans="1:13" s="140" customFormat="1" ht="20.25" customHeight="1">
      <c r="A35" s="136">
        <v>27</v>
      </c>
      <c r="B35" s="84" t="s">
        <v>61</v>
      </c>
      <c r="C35" s="85" t="s">
        <v>62</v>
      </c>
      <c r="D35" s="77"/>
      <c r="E35" s="137" t="e">
        <f>VLOOKUP(B35,'DSOAT-T1.2025'!$B$11:$AJ$76,46,0)</f>
        <v>#N/A</v>
      </c>
      <c r="F35" s="138" t="e">
        <f>VLOOKUP(B35,'DSOAT-T1.2025'!$B$11:$AQ$76,53,0)</f>
        <v>#N/A</v>
      </c>
      <c r="G35" s="138"/>
      <c r="H35" s="138" t="e">
        <f>VLOOKUP(C35,#REF!,6,0)</f>
        <v>#REF!</v>
      </c>
      <c r="I35" s="138" t="e">
        <f t="shared" si="0"/>
        <v>#REF!</v>
      </c>
      <c r="J35" s="138" t="e">
        <f t="shared" si="1"/>
        <v>#N/A</v>
      </c>
      <c r="K35" s="139" t="e">
        <f t="shared" si="2"/>
        <v>#N/A</v>
      </c>
      <c r="L35" s="140" t="s">
        <v>428</v>
      </c>
      <c r="M35" s="172" t="e">
        <f t="shared" si="3"/>
        <v>#N/A</v>
      </c>
    </row>
    <row r="36" spans="1:13" s="140" customFormat="1" ht="20.25" customHeight="1">
      <c r="A36" s="136">
        <v>28</v>
      </c>
      <c r="B36" s="82" t="s">
        <v>64</v>
      </c>
      <c r="C36" s="30" t="s">
        <v>65</v>
      </c>
      <c r="D36" s="22">
        <v>3477500</v>
      </c>
      <c r="E36" s="137" t="e">
        <f>VLOOKUP(B36,'DSOAT-T1.2025'!$B$11:$AJ$76,46,0)</f>
        <v>#REF!</v>
      </c>
      <c r="F36" s="138" t="e">
        <f>VLOOKUP(B36,'DSOAT-T1.2025'!$B$11:$AQ$76,53,0)</f>
        <v>#REF!</v>
      </c>
      <c r="G36" s="138">
        <v>11000000</v>
      </c>
      <c r="H36" s="138" t="e">
        <f>VLOOKUP(C36,#REF!,6,0)</f>
        <v>#REF!</v>
      </c>
      <c r="I36" s="138" t="e">
        <f t="shared" si="0"/>
        <v>#REF!</v>
      </c>
      <c r="J36" s="138" t="e">
        <f t="shared" si="1"/>
        <v>#REF!</v>
      </c>
      <c r="K36" s="139" t="e">
        <f t="shared" si="2"/>
        <v>#REF!</v>
      </c>
      <c r="M36" s="172" t="e">
        <f t="shared" si="3"/>
        <v>#REF!</v>
      </c>
    </row>
    <row r="37" spans="1:13" s="140" customFormat="1" ht="20.25" customHeight="1">
      <c r="A37" s="136">
        <v>29</v>
      </c>
      <c r="B37" s="82" t="s">
        <v>66</v>
      </c>
      <c r="C37" s="30" t="s">
        <v>67</v>
      </c>
      <c r="D37" s="22">
        <v>3477500</v>
      </c>
      <c r="E37" s="137" t="e">
        <f>VLOOKUP(B37,'DSOAT-T1.2025'!$B$11:$AJ$76,46,0)</f>
        <v>#REF!</v>
      </c>
      <c r="F37" s="138" t="e">
        <f>VLOOKUP(B37,'DSOAT-T1.2025'!$B$11:$AQ$76,53,0)</f>
        <v>#REF!</v>
      </c>
      <c r="G37" s="138">
        <v>11000000</v>
      </c>
      <c r="H37" s="138" t="e">
        <f>VLOOKUP(C37,#REF!,6,0)</f>
        <v>#REF!</v>
      </c>
      <c r="I37" s="138" t="e">
        <f t="shared" si="0"/>
        <v>#REF!</v>
      </c>
      <c r="J37" s="138" t="e">
        <f t="shared" si="1"/>
        <v>#REF!</v>
      </c>
      <c r="K37" s="139" t="e">
        <f t="shared" si="2"/>
        <v>#REF!</v>
      </c>
      <c r="M37" s="172" t="e">
        <f t="shared" si="3"/>
        <v>#REF!</v>
      </c>
    </row>
    <row r="38" spans="1:13" s="140" customFormat="1" ht="20.25" customHeight="1">
      <c r="A38" s="136">
        <v>30</v>
      </c>
      <c r="B38" s="82" t="s">
        <v>160</v>
      </c>
      <c r="C38" s="32" t="s">
        <v>148</v>
      </c>
      <c r="D38" s="22">
        <v>3477500</v>
      </c>
      <c r="E38" s="137" t="e">
        <f>VLOOKUP(B38,'DSOAT-T1.2025'!$B$11:$AJ$76,46,0)</f>
        <v>#REF!</v>
      </c>
      <c r="F38" s="138" t="e">
        <f>VLOOKUP(B38,'DSOAT-T1.2025'!$B$11:$AQ$76,53,0)</f>
        <v>#REF!</v>
      </c>
      <c r="G38" s="138">
        <v>11000000</v>
      </c>
      <c r="H38" s="138" t="e">
        <f>VLOOKUP(C38,#REF!,6,0)</f>
        <v>#REF!</v>
      </c>
      <c r="I38" s="138" t="e">
        <f t="shared" si="0"/>
        <v>#REF!</v>
      </c>
      <c r="J38" s="138" t="e">
        <f t="shared" si="1"/>
        <v>#REF!</v>
      </c>
      <c r="K38" s="139" t="e">
        <f t="shared" si="2"/>
        <v>#REF!</v>
      </c>
      <c r="M38" s="172" t="e">
        <f t="shared" si="3"/>
        <v>#REF!</v>
      </c>
    </row>
    <row r="39" spans="1:13" s="140" customFormat="1" ht="20.25" customHeight="1">
      <c r="A39" s="136">
        <v>31</v>
      </c>
      <c r="B39" s="82" t="s">
        <v>171</v>
      </c>
      <c r="C39" s="32" t="s">
        <v>168</v>
      </c>
      <c r="D39" s="22">
        <v>3477500</v>
      </c>
      <c r="E39" s="137" t="e">
        <f>VLOOKUP(B39,'DSOAT-T1.2025'!$B$11:$AJ$76,46,0)</f>
        <v>#REF!</v>
      </c>
      <c r="F39" s="138" t="e">
        <f>VLOOKUP(B39,'DSOAT-T1.2025'!$B$11:$AQ$76,53,0)</f>
        <v>#REF!</v>
      </c>
      <c r="G39" s="138">
        <v>11000000</v>
      </c>
      <c r="H39" s="138" t="e">
        <f>VLOOKUP(C39,#REF!,6,0)</f>
        <v>#REF!</v>
      </c>
      <c r="I39" s="138" t="e">
        <f t="shared" si="0"/>
        <v>#REF!</v>
      </c>
      <c r="J39" s="138" t="e">
        <f t="shared" si="1"/>
        <v>#REF!</v>
      </c>
      <c r="K39" s="139" t="e">
        <f t="shared" si="2"/>
        <v>#REF!</v>
      </c>
      <c r="M39" s="172" t="e">
        <f t="shared" si="3"/>
        <v>#REF!</v>
      </c>
    </row>
    <row r="40" spans="1:13" s="140" customFormat="1" ht="20.25" customHeight="1">
      <c r="A40" s="136">
        <v>32</v>
      </c>
      <c r="B40" s="83" t="s">
        <v>68</v>
      </c>
      <c r="C40" s="39" t="s">
        <v>69</v>
      </c>
      <c r="D40" s="38">
        <v>3477500</v>
      </c>
      <c r="E40" s="137" t="e">
        <f>VLOOKUP(B40,'DSOAT-T1.2025'!$B$11:$AJ$76,46,0)</f>
        <v>#REF!</v>
      </c>
      <c r="F40" s="138" t="e">
        <f>VLOOKUP(B40,'DSOAT-T1.2025'!$B$11:$AQ$76,53,0)</f>
        <v>#REF!</v>
      </c>
      <c r="G40" s="138">
        <v>11000000</v>
      </c>
      <c r="H40" s="138" t="e">
        <f>VLOOKUP(C40,#REF!,6,0)</f>
        <v>#REF!</v>
      </c>
      <c r="I40" s="138" t="e">
        <f t="shared" si="0"/>
        <v>#REF!</v>
      </c>
      <c r="J40" s="138" t="e">
        <f t="shared" si="1"/>
        <v>#REF!</v>
      </c>
      <c r="K40" s="139" t="e">
        <f t="shared" si="2"/>
        <v>#REF!</v>
      </c>
      <c r="L40" s="140" t="s">
        <v>427</v>
      </c>
      <c r="M40" s="172" t="e">
        <f t="shared" si="3"/>
        <v>#REF!</v>
      </c>
    </row>
    <row r="41" spans="1:13" s="140" customFormat="1" ht="20.25" customHeight="1">
      <c r="A41" s="136">
        <v>33</v>
      </c>
      <c r="B41" s="82" t="s">
        <v>71</v>
      </c>
      <c r="C41" s="30" t="s">
        <v>72</v>
      </c>
      <c r="D41" s="22">
        <v>3477500</v>
      </c>
      <c r="E41" s="137" t="e">
        <f>VLOOKUP(B41,'DSOAT-T1.2025'!$B$11:$AJ$76,46,0)</f>
        <v>#REF!</v>
      </c>
      <c r="F41" s="138" t="e">
        <f>VLOOKUP(B41,'DSOAT-T1.2025'!$B$11:$AQ$76,53,0)</f>
        <v>#REF!</v>
      </c>
      <c r="G41" s="138">
        <v>11000000</v>
      </c>
      <c r="H41" s="138" t="e">
        <f>VLOOKUP(C41,#REF!,6,0)</f>
        <v>#REF!</v>
      </c>
      <c r="I41" s="138" t="e">
        <f t="shared" si="0"/>
        <v>#REF!</v>
      </c>
      <c r="J41" s="138" t="e">
        <f t="shared" si="1"/>
        <v>#REF!</v>
      </c>
      <c r="K41" s="139" t="e">
        <f t="shared" si="2"/>
        <v>#REF!</v>
      </c>
      <c r="M41" s="172" t="e">
        <f t="shared" si="3"/>
        <v>#REF!</v>
      </c>
    </row>
    <row r="42" spans="1:13" s="140" customFormat="1" ht="20.25" customHeight="1">
      <c r="A42" s="136">
        <v>34</v>
      </c>
      <c r="B42" s="82" t="s">
        <v>73</v>
      </c>
      <c r="C42" s="30" t="s">
        <v>74</v>
      </c>
      <c r="D42" s="22">
        <v>3477500</v>
      </c>
      <c r="E42" s="137" t="e">
        <f>VLOOKUP(B42,'DSOAT-T1.2025'!$B$11:$AJ$76,46,0)</f>
        <v>#REF!</v>
      </c>
      <c r="F42" s="138" t="e">
        <f>VLOOKUP(B42,'DSOAT-T1.2025'!$B$11:$AQ$76,53,0)</f>
        <v>#REF!</v>
      </c>
      <c r="G42" s="138">
        <v>11000000</v>
      </c>
      <c r="H42" s="138" t="e">
        <f>VLOOKUP(C42,#REF!,6,0)</f>
        <v>#REF!</v>
      </c>
      <c r="I42" s="138" t="e">
        <f t="shared" si="0"/>
        <v>#REF!</v>
      </c>
      <c r="J42" s="138" t="e">
        <f t="shared" si="1"/>
        <v>#REF!</v>
      </c>
      <c r="K42" s="139" t="e">
        <f t="shared" si="2"/>
        <v>#REF!</v>
      </c>
      <c r="M42" s="172" t="e">
        <f t="shared" si="3"/>
        <v>#REF!</v>
      </c>
    </row>
    <row r="43" spans="1:13" s="140" customFormat="1" ht="20.25" customHeight="1">
      <c r="A43" s="136">
        <v>35</v>
      </c>
      <c r="B43" s="87" t="s">
        <v>75</v>
      </c>
      <c r="C43" s="32" t="s">
        <v>76</v>
      </c>
      <c r="D43" s="22">
        <v>3477500</v>
      </c>
      <c r="E43" s="137" t="e">
        <f>VLOOKUP(B43,'DSOAT-T1.2025'!$B$11:$AJ$76,46,0)</f>
        <v>#N/A</v>
      </c>
      <c r="F43" s="138" t="e">
        <f>VLOOKUP(B43,'DSOAT-T1.2025'!$B$11:$AQ$76,53,0)</f>
        <v>#N/A</v>
      </c>
      <c r="G43" s="138">
        <v>11000000</v>
      </c>
      <c r="H43" s="138" t="e">
        <f>VLOOKUP(C43,#REF!,6,0)</f>
        <v>#REF!</v>
      </c>
      <c r="I43" s="138" t="e">
        <f t="shared" si="0"/>
        <v>#REF!</v>
      </c>
      <c r="J43" s="138" t="e">
        <f t="shared" si="1"/>
        <v>#N/A</v>
      </c>
      <c r="K43" s="139" t="e">
        <f t="shared" si="2"/>
        <v>#N/A</v>
      </c>
      <c r="M43" s="172" t="e">
        <f t="shared" si="3"/>
        <v>#N/A</v>
      </c>
    </row>
    <row r="44" spans="1:13" s="140" customFormat="1" ht="20.25" customHeight="1">
      <c r="A44" s="136">
        <v>36</v>
      </c>
      <c r="B44" s="82" t="s">
        <v>166</v>
      </c>
      <c r="C44" s="33" t="s">
        <v>149</v>
      </c>
      <c r="D44" s="22">
        <v>3477500</v>
      </c>
      <c r="E44" s="137" t="e">
        <f>VLOOKUP(B44,'DSOAT-T1.2025'!$B$11:$AJ$76,46,0)</f>
        <v>#REF!</v>
      </c>
      <c r="F44" s="138" t="e">
        <f>VLOOKUP(B44,'DSOAT-T1.2025'!$B$11:$AQ$76,53,0)</f>
        <v>#REF!</v>
      </c>
      <c r="G44" s="138">
        <v>11000000</v>
      </c>
      <c r="H44" s="138" t="e">
        <f>VLOOKUP(C44,#REF!,6,0)</f>
        <v>#REF!</v>
      </c>
      <c r="I44" s="138" t="e">
        <f t="shared" si="0"/>
        <v>#REF!</v>
      </c>
      <c r="J44" s="138" t="e">
        <f t="shared" si="1"/>
        <v>#REF!</v>
      </c>
      <c r="K44" s="139" t="e">
        <f t="shared" si="2"/>
        <v>#REF!</v>
      </c>
      <c r="M44" s="172" t="e">
        <f t="shared" si="3"/>
        <v>#REF!</v>
      </c>
    </row>
    <row r="45" spans="1:13" s="140" customFormat="1" ht="20.25" customHeight="1">
      <c r="A45" s="136">
        <v>37</v>
      </c>
      <c r="B45" s="82" t="s">
        <v>162</v>
      </c>
      <c r="C45" s="33" t="s">
        <v>150</v>
      </c>
      <c r="D45" s="22">
        <v>3477500</v>
      </c>
      <c r="E45" s="137" t="e">
        <f>VLOOKUP(B45,'DSOAT-T1.2025'!$B$11:$AJ$76,46,0)</f>
        <v>#REF!</v>
      </c>
      <c r="F45" s="138" t="e">
        <f>VLOOKUP(B45,'DSOAT-T1.2025'!$B$11:$AQ$76,53,0)</f>
        <v>#REF!</v>
      </c>
      <c r="G45" s="138">
        <v>11000000</v>
      </c>
      <c r="H45" s="138" t="e">
        <f>VLOOKUP(C45,#REF!,6,0)</f>
        <v>#REF!</v>
      </c>
      <c r="I45" s="138" t="e">
        <f t="shared" si="0"/>
        <v>#REF!</v>
      </c>
      <c r="J45" s="138" t="e">
        <f t="shared" si="1"/>
        <v>#REF!</v>
      </c>
      <c r="K45" s="139" t="e">
        <f t="shared" si="2"/>
        <v>#REF!</v>
      </c>
      <c r="M45" s="172" t="e">
        <f t="shared" si="3"/>
        <v>#REF!</v>
      </c>
    </row>
    <row r="46" spans="1:13" s="140" customFormat="1" ht="20.25" customHeight="1">
      <c r="A46" s="136">
        <v>38</v>
      </c>
      <c r="B46" s="82" t="s">
        <v>165</v>
      </c>
      <c r="C46" s="33" t="s">
        <v>151</v>
      </c>
      <c r="D46" s="22">
        <v>3894800</v>
      </c>
      <c r="E46" s="137" t="e">
        <f>VLOOKUP(B46,'DSOAT-T1.2025'!$B$11:$AJ$76,46,0)</f>
        <v>#REF!</v>
      </c>
      <c r="F46" s="138" t="e">
        <f>VLOOKUP(B46,'DSOAT-T1.2025'!$B$11:$AQ$76,53,0)</f>
        <v>#REF!</v>
      </c>
      <c r="G46" s="138">
        <v>11000000</v>
      </c>
      <c r="H46" s="138" t="e">
        <f>VLOOKUP(C46,#REF!,6,0)</f>
        <v>#REF!</v>
      </c>
      <c r="I46" s="138" t="e">
        <f t="shared" si="0"/>
        <v>#REF!</v>
      </c>
      <c r="J46" s="138" t="e">
        <f t="shared" si="1"/>
        <v>#REF!</v>
      </c>
      <c r="K46" s="139" t="e">
        <f t="shared" si="2"/>
        <v>#REF!</v>
      </c>
      <c r="M46" s="172" t="e">
        <f t="shared" si="3"/>
        <v>#REF!</v>
      </c>
    </row>
    <row r="47" spans="1:13" s="140" customFormat="1" ht="20.25" customHeight="1">
      <c r="A47" s="136">
        <v>39</v>
      </c>
      <c r="B47" s="82" t="s">
        <v>57</v>
      </c>
      <c r="C47" s="34" t="s">
        <v>211</v>
      </c>
      <c r="D47" s="22">
        <v>4451200</v>
      </c>
      <c r="E47" s="137" t="e">
        <f>VLOOKUP(B47,'DSOAT-T1.2025'!$B$11:$AJ$76,46,0)</f>
        <v>#REF!</v>
      </c>
      <c r="F47" s="138" t="e">
        <f>VLOOKUP(B47,'DSOAT-T1.2025'!$B$11:$AQ$76,53,0)</f>
        <v>#REF!</v>
      </c>
      <c r="G47" s="138">
        <v>11000000</v>
      </c>
      <c r="H47" s="138" t="e">
        <f>VLOOKUP(C47,#REF!,6,0)</f>
        <v>#REF!</v>
      </c>
      <c r="I47" s="138" t="e">
        <f t="shared" si="0"/>
        <v>#REF!</v>
      </c>
      <c r="J47" s="138" t="e">
        <f t="shared" si="1"/>
        <v>#REF!</v>
      </c>
      <c r="K47" s="139" t="e">
        <f t="shared" si="2"/>
        <v>#REF!</v>
      </c>
      <c r="M47" s="172" t="e">
        <f t="shared" si="3"/>
        <v>#REF!</v>
      </c>
    </row>
    <row r="48" spans="1:13" s="140" customFormat="1" ht="20.25" customHeight="1">
      <c r="A48" s="136">
        <v>40</v>
      </c>
      <c r="B48" s="82" t="s">
        <v>77</v>
      </c>
      <c r="C48" s="35" t="s">
        <v>78</v>
      </c>
      <c r="D48" s="22">
        <v>4451200</v>
      </c>
      <c r="E48" s="137" t="e">
        <f>VLOOKUP(B48,'DSOAT-T1.2025'!$B$11:$AJ$76,46,0)</f>
        <v>#REF!</v>
      </c>
      <c r="F48" s="138" t="e">
        <f>VLOOKUP(B48,'DSOAT-T1.2025'!$B$11:$AQ$76,53,0)</f>
        <v>#REF!</v>
      </c>
      <c r="G48" s="138">
        <v>11000000</v>
      </c>
      <c r="H48" s="138" t="e">
        <f>VLOOKUP(C48,#REF!,6,0)</f>
        <v>#REF!</v>
      </c>
      <c r="I48" s="138" t="e">
        <f t="shared" si="0"/>
        <v>#REF!</v>
      </c>
      <c r="J48" s="138" t="e">
        <f t="shared" si="1"/>
        <v>#REF!</v>
      </c>
      <c r="K48" s="139" t="e">
        <f t="shared" si="2"/>
        <v>#REF!</v>
      </c>
      <c r="M48" s="172" t="e">
        <f t="shared" si="3"/>
        <v>#REF!</v>
      </c>
    </row>
    <row r="49" spans="1:13" s="140" customFormat="1" ht="20.25" customHeight="1">
      <c r="A49" s="136">
        <v>41</v>
      </c>
      <c r="B49" s="82" t="s">
        <v>80</v>
      </c>
      <c r="C49" s="36" t="s">
        <v>81</v>
      </c>
      <c r="D49" s="22">
        <v>4451200</v>
      </c>
      <c r="E49" s="137" t="e">
        <f>VLOOKUP(B49,'DSOAT-T1.2025'!$B$11:$AJ$76,46,0)</f>
        <v>#REF!</v>
      </c>
      <c r="F49" s="138" t="e">
        <f>VLOOKUP(B49,'DSOAT-T1.2025'!$B$11:$AQ$76,53,0)</f>
        <v>#REF!</v>
      </c>
      <c r="G49" s="138">
        <v>11000000</v>
      </c>
      <c r="H49" s="138" t="e">
        <f>VLOOKUP(C49,#REF!,6,0)</f>
        <v>#REF!</v>
      </c>
      <c r="I49" s="138" t="e">
        <f t="shared" si="0"/>
        <v>#REF!</v>
      </c>
      <c r="J49" s="138" t="e">
        <f t="shared" si="1"/>
        <v>#REF!</v>
      </c>
      <c r="K49" s="139" t="e">
        <f t="shared" si="2"/>
        <v>#REF!</v>
      </c>
      <c r="M49" s="172" t="e">
        <f t="shared" si="3"/>
        <v>#REF!</v>
      </c>
    </row>
    <row r="50" spans="1:13" s="140" customFormat="1" ht="20.25" customHeight="1">
      <c r="A50" s="136">
        <v>42</v>
      </c>
      <c r="B50" s="82" t="s">
        <v>82</v>
      </c>
      <c r="C50" s="30" t="s">
        <v>83</v>
      </c>
      <c r="D50" s="22">
        <v>3477500</v>
      </c>
      <c r="E50" s="137" t="e">
        <f>VLOOKUP(B50,'DSOAT-T1.2025'!$B$11:$AJ$76,46,0)</f>
        <v>#REF!</v>
      </c>
      <c r="F50" s="138" t="e">
        <f>VLOOKUP(B50,'DSOAT-T1.2025'!$B$11:$AQ$76,53,0)</f>
        <v>#REF!</v>
      </c>
      <c r="G50" s="138">
        <v>11000000</v>
      </c>
      <c r="H50" s="138" t="e">
        <f>VLOOKUP(C50,#REF!,6,0)</f>
        <v>#REF!</v>
      </c>
      <c r="I50" s="138" t="e">
        <f t="shared" si="0"/>
        <v>#REF!</v>
      </c>
      <c r="J50" s="138" t="e">
        <f t="shared" si="1"/>
        <v>#REF!</v>
      </c>
      <c r="K50" s="139" t="e">
        <f t="shared" si="2"/>
        <v>#REF!</v>
      </c>
      <c r="M50" s="172" t="e">
        <f t="shared" si="3"/>
        <v>#REF!</v>
      </c>
    </row>
    <row r="51" spans="1:13" s="169" customFormat="1" ht="20.25" customHeight="1">
      <c r="A51" s="167">
        <v>43</v>
      </c>
      <c r="B51" s="84" t="s">
        <v>84</v>
      </c>
      <c r="C51" s="170" t="s">
        <v>139</v>
      </c>
      <c r="D51" s="77">
        <v>4451200</v>
      </c>
      <c r="E51" s="171" t="e">
        <f>VLOOKUP(B51,'DSOAT-T1.2025'!$B$11:$AJ$76,46,0)</f>
        <v>#REF!</v>
      </c>
      <c r="F51" s="168" t="e">
        <f>VLOOKUP(B51,'DSOAT-T1.2025'!$B$11:$AQ$76,53,0)</f>
        <v>#REF!</v>
      </c>
      <c r="G51" s="168">
        <v>11000000</v>
      </c>
      <c r="H51" s="138">
        <v>2</v>
      </c>
      <c r="I51" s="168">
        <f t="shared" si="0"/>
        <v>8800000</v>
      </c>
      <c r="J51" s="138" t="e">
        <f t="shared" si="1"/>
        <v>#REF!</v>
      </c>
      <c r="K51" s="139" t="e">
        <f t="shared" si="2"/>
        <v>#REF!</v>
      </c>
      <c r="M51" s="172" t="e">
        <f t="shared" si="3"/>
        <v>#REF!</v>
      </c>
    </row>
    <row r="52" spans="1:13" s="140" customFormat="1" ht="20.25" customHeight="1">
      <c r="A52" s="136">
        <v>44</v>
      </c>
      <c r="B52" s="82" t="s">
        <v>161</v>
      </c>
      <c r="C52" s="30" t="s">
        <v>152</v>
      </c>
      <c r="D52" s="22">
        <v>4451200</v>
      </c>
      <c r="E52" s="137" t="e">
        <f>VLOOKUP(B52,'DSOAT-T1.2025'!$B$11:$AJ$76,46,0)</f>
        <v>#REF!</v>
      </c>
      <c r="F52" s="138" t="e">
        <f>VLOOKUP(B52,'DSOAT-T1.2025'!$B$11:$AQ$76,53,0)</f>
        <v>#REF!</v>
      </c>
      <c r="G52" s="138">
        <v>11000000</v>
      </c>
      <c r="H52" s="138" t="e">
        <f>VLOOKUP(C52,#REF!,6,0)</f>
        <v>#REF!</v>
      </c>
      <c r="I52" s="138" t="e">
        <f t="shared" si="0"/>
        <v>#REF!</v>
      </c>
      <c r="J52" s="138" t="e">
        <f t="shared" si="1"/>
        <v>#REF!</v>
      </c>
      <c r="K52" s="139" t="e">
        <f t="shared" si="2"/>
        <v>#REF!</v>
      </c>
      <c r="M52" s="172" t="e">
        <f t="shared" si="3"/>
        <v>#REF!</v>
      </c>
    </row>
    <row r="53" spans="1:13" s="140" customFormat="1" ht="20.25" customHeight="1">
      <c r="A53" s="136">
        <v>45</v>
      </c>
      <c r="B53" s="82" t="s">
        <v>85</v>
      </c>
      <c r="C53" s="30" t="s">
        <v>86</v>
      </c>
      <c r="D53" s="22">
        <v>3894800</v>
      </c>
      <c r="E53" s="137" t="e">
        <f>VLOOKUP(B53,'DSOAT-T1.2025'!$B$11:$AJ$76,46,0)</f>
        <v>#REF!</v>
      </c>
      <c r="F53" s="138" t="e">
        <f>VLOOKUP(B53,'DSOAT-T1.2025'!$B$11:$AQ$76,53,0)</f>
        <v>#REF!</v>
      </c>
      <c r="G53" s="138">
        <v>11000000</v>
      </c>
      <c r="H53" s="138" t="e">
        <f>VLOOKUP(C53,#REF!,6,0)</f>
        <v>#REF!</v>
      </c>
      <c r="I53" s="138" t="e">
        <f t="shared" si="0"/>
        <v>#REF!</v>
      </c>
      <c r="J53" s="138" t="e">
        <f t="shared" si="1"/>
        <v>#REF!</v>
      </c>
      <c r="K53" s="139" t="e">
        <f t="shared" si="2"/>
        <v>#REF!</v>
      </c>
      <c r="M53" s="172" t="e">
        <f t="shared" si="3"/>
        <v>#REF!</v>
      </c>
    </row>
    <row r="54" spans="1:13" s="140" customFormat="1" ht="20.25" customHeight="1">
      <c r="A54" s="136">
        <v>46</v>
      </c>
      <c r="B54" s="82" t="s">
        <v>88</v>
      </c>
      <c r="C54" s="30" t="s">
        <v>89</v>
      </c>
      <c r="D54" s="78">
        <v>3477500</v>
      </c>
      <c r="E54" s="137" t="e">
        <f>VLOOKUP(B54,'DSOAT-T1.2025'!$B$11:$AJ$76,46,0)</f>
        <v>#REF!</v>
      </c>
      <c r="F54" s="138" t="e">
        <f>VLOOKUP(B54,'DSOAT-T1.2025'!$B$11:$AQ$76,53,0)</f>
        <v>#REF!</v>
      </c>
      <c r="G54" s="138">
        <v>11000000</v>
      </c>
      <c r="H54" s="138" t="e">
        <f>VLOOKUP(C54,#REF!,6,0)</f>
        <v>#REF!</v>
      </c>
      <c r="I54" s="138" t="e">
        <f t="shared" si="0"/>
        <v>#REF!</v>
      </c>
      <c r="J54" s="138" t="e">
        <f t="shared" si="1"/>
        <v>#REF!</v>
      </c>
      <c r="K54" s="139" t="e">
        <f t="shared" si="2"/>
        <v>#REF!</v>
      </c>
      <c r="M54" s="172" t="e">
        <f t="shared" si="3"/>
        <v>#REF!</v>
      </c>
    </row>
    <row r="55" spans="1:13" s="140" customFormat="1" ht="20.25" customHeight="1">
      <c r="A55" s="136">
        <v>47</v>
      </c>
      <c r="B55" s="82" t="s">
        <v>90</v>
      </c>
      <c r="C55" s="30" t="s">
        <v>91</v>
      </c>
      <c r="D55" s="78">
        <v>3477500</v>
      </c>
      <c r="E55" s="137" t="e">
        <f>VLOOKUP(B55,'DSOAT-T1.2025'!$B$11:$AJ$76,46,0)</f>
        <v>#REF!</v>
      </c>
      <c r="F55" s="138" t="e">
        <f>VLOOKUP(B55,'DSOAT-T1.2025'!$B$11:$AQ$76,53,0)</f>
        <v>#REF!</v>
      </c>
      <c r="G55" s="138">
        <v>11000000</v>
      </c>
      <c r="H55" s="138" t="e">
        <f>VLOOKUP(C55,#REF!,6,0)</f>
        <v>#REF!</v>
      </c>
      <c r="I55" s="138" t="e">
        <f t="shared" si="0"/>
        <v>#REF!</v>
      </c>
      <c r="J55" s="138" t="e">
        <f t="shared" si="1"/>
        <v>#REF!</v>
      </c>
      <c r="K55" s="139" t="e">
        <f t="shared" si="2"/>
        <v>#REF!</v>
      </c>
      <c r="M55" s="172" t="e">
        <f t="shared" si="3"/>
        <v>#REF!</v>
      </c>
    </row>
    <row r="56" spans="1:13" s="140" customFormat="1" ht="20.25" customHeight="1">
      <c r="A56" s="136">
        <v>48</v>
      </c>
      <c r="B56" s="82" t="s">
        <v>93</v>
      </c>
      <c r="C56" s="30" t="s">
        <v>94</v>
      </c>
      <c r="D56" s="78">
        <v>3894800</v>
      </c>
      <c r="E56" s="137" t="e">
        <f>VLOOKUP(B56,'DSOAT-T1.2025'!$B$11:$AJ$76,46,0)</f>
        <v>#REF!</v>
      </c>
      <c r="F56" s="138" t="e">
        <f>VLOOKUP(B56,'DSOAT-T1.2025'!$B$11:$AQ$76,53,0)</f>
        <v>#REF!</v>
      </c>
      <c r="G56" s="138">
        <v>11000000</v>
      </c>
      <c r="H56" s="138" t="e">
        <f>VLOOKUP(C56,#REF!,6,0)</f>
        <v>#REF!</v>
      </c>
      <c r="I56" s="138" t="e">
        <f t="shared" si="0"/>
        <v>#REF!</v>
      </c>
      <c r="J56" s="138" t="e">
        <f t="shared" si="1"/>
        <v>#REF!</v>
      </c>
      <c r="K56" s="139" t="e">
        <f t="shared" si="2"/>
        <v>#REF!</v>
      </c>
      <c r="M56" s="172" t="e">
        <f t="shared" si="3"/>
        <v>#REF!</v>
      </c>
    </row>
    <row r="57" spans="1:13" s="140" customFormat="1" ht="20.25" customHeight="1">
      <c r="A57" s="136">
        <v>49</v>
      </c>
      <c r="B57" s="82" t="s">
        <v>164</v>
      </c>
      <c r="C57" s="30" t="s">
        <v>153</v>
      </c>
      <c r="D57" s="78">
        <v>3894800</v>
      </c>
      <c r="E57" s="137" t="e">
        <f>VLOOKUP(B57,'DSOAT-T1.2025'!$B$11:$AJ$76,46,0)</f>
        <v>#REF!</v>
      </c>
      <c r="F57" s="138" t="e">
        <f>VLOOKUP(B57,'DSOAT-T1.2025'!$B$11:$AQ$76,53,0)</f>
        <v>#REF!</v>
      </c>
      <c r="G57" s="138">
        <v>11000000</v>
      </c>
      <c r="H57" s="138" t="e">
        <f>VLOOKUP(C57,#REF!,6,0)</f>
        <v>#REF!</v>
      </c>
      <c r="I57" s="138" t="e">
        <f t="shared" si="0"/>
        <v>#REF!</v>
      </c>
      <c r="J57" s="138" t="e">
        <f t="shared" si="1"/>
        <v>#REF!</v>
      </c>
      <c r="K57" s="139" t="e">
        <f t="shared" si="2"/>
        <v>#REF!</v>
      </c>
      <c r="M57" s="172" t="e">
        <f t="shared" si="3"/>
        <v>#REF!</v>
      </c>
    </row>
    <row r="58" spans="1:13" s="140" customFormat="1" ht="20.25" customHeight="1">
      <c r="A58" s="136">
        <v>50</v>
      </c>
      <c r="B58" s="82" t="s">
        <v>170</v>
      </c>
      <c r="C58" s="30" t="s">
        <v>169</v>
      </c>
      <c r="D58" s="78">
        <v>3894800</v>
      </c>
      <c r="E58" s="137" t="e">
        <f>VLOOKUP(B58,'DSOAT-T1.2025'!$B$11:$AJ$76,46,0)</f>
        <v>#N/A</v>
      </c>
      <c r="F58" s="138" t="e">
        <f>VLOOKUP(B58,'DSOAT-T1.2025'!$B$11:$AQ$76,53,0)</f>
        <v>#N/A</v>
      </c>
      <c r="G58" s="138">
        <v>11000000</v>
      </c>
      <c r="H58" s="138" t="e">
        <f>VLOOKUP(C58,#REF!,6,0)</f>
        <v>#REF!</v>
      </c>
      <c r="I58" s="138" t="e">
        <f t="shared" si="0"/>
        <v>#REF!</v>
      </c>
      <c r="J58" s="138" t="e">
        <f t="shared" si="1"/>
        <v>#N/A</v>
      </c>
      <c r="K58" s="139" t="e">
        <f t="shared" si="2"/>
        <v>#N/A</v>
      </c>
      <c r="M58" s="172" t="e">
        <f t="shared" si="3"/>
        <v>#N/A</v>
      </c>
    </row>
    <row r="59" spans="1:13" s="140" customFormat="1" ht="20.25" customHeight="1">
      <c r="A59" s="136">
        <v>51</v>
      </c>
      <c r="B59" s="82" t="s">
        <v>18</v>
      </c>
      <c r="C59" s="30" t="s">
        <v>19</v>
      </c>
      <c r="D59" s="78">
        <v>3894800</v>
      </c>
      <c r="E59" s="137" t="e">
        <f>VLOOKUP(B59,'DSOAT-T1.2025'!$B$11:$AJ$76,46,0)</f>
        <v>#REF!</v>
      </c>
      <c r="F59" s="138" t="e">
        <f>VLOOKUP(B59,'DSOAT-T1.2025'!$B$11:$AQ$76,53,0)</f>
        <v>#REF!</v>
      </c>
      <c r="G59" s="138">
        <v>11000000</v>
      </c>
      <c r="H59" s="138" t="e">
        <f>VLOOKUP(C59,#REF!,6,0)</f>
        <v>#REF!</v>
      </c>
      <c r="I59" s="138" t="e">
        <f t="shared" si="0"/>
        <v>#REF!</v>
      </c>
      <c r="J59" s="138" t="e">
        <f t="shared" si="1"/>
        <v>#REF!</v>
      </c>
      <c r="K59" s="139" t="e">
        <f t="shared" si="2"/>
        <v>#REF!</v>
      </c>
      <c r="M59" s="172" t="e">
        <f t="shared" si="3"/>
        <v>#REF!</v>
      </c>
    </row>
    <row r="60" spans="1:13" s="140" customFormat="1" ht="20.25" customHeight="1">
      <c r="A60" s="136">
        <v>52</v>
      </c>
      <c r="B60" s="82" t="s">
        <v>95</v>
      </c>
      <c r="C60" s="30" t="s">
        <v>96</v>
      </c>
      <c r="D60" s="78">
        <v>3894800</v>
      </c>
      <c r="E60" s="137" t="e">
        <f>VLOOKUP(B60,'DSOAT-T1.2025'!$B$11:$AJ$76,46,0)</f>
        <v>#REF!</v>
      </c>
      <c r="F60" s="138" t="e">
        <f>VLOOKUP(B60,'DSOAT-T1.2025'!$B$11:$AQ$76,53,0)</f>
        <v>#REF!</v>
      </c>
      <c r="G60" s="138">
        <v>11000000</v>
      </c>
      <c r="H60" s="138" t="e">
        <f>VLOOKUP(C60,#REF!,6,0)</f>
        <v>#REF!</v>
      </c>
      <c r="I60" s="138" t="e">
        <f t="shared" si="0"/>
        <v>#REF!</v>
      </c>
      <c r="J60" s="138" t="e">
        <f t="shared" si="1"/>
        <v>#REF!</v>
      </c>
      <c r="K60" s="139" t="e">
        <f t="shared" si="2"/>
        <v>#REF!</v>
      </c>
      <c r="M60" s="172" t="e">
        <f t="shared" si="3"/>
        <v>#REF!</v>
      </c>
    </row>
    <row r="61" spans="1:13" s="140" customFormat="1" ht="20.25" customHeight="1">
      <c r="A61" s="136">
        <v>53</v>
      </c>
      <c r="B61" s="82" t="s">
        <v>97</v>
      </c>
      <c r="C61" s="30" t="s">
        <v>98</v>
      </c>
      <c r="D61" s="78">
        <v>3894800</v>
      </c>
      <c r="E61" s="137" t="e">
        <f>VLOOKUP(B61,'DSOAT-T1.2025'!$B$11:$AJ$76,46,0)</f>
        <v>#REF!</v>
      </c>
      <c r="F61" s="138" t="e">
        <f>VLOOKUP(B61,'DSOAT-T1.2025'!$B$11:$AQ$76,53,0)</f>
        <v>#REF!</v>
      </c>
      <c r="G61" s="138">
        <v>11000000</v>
      </c>
      <c r="H61" s="138" t="e">
        <f>VLOOKUP(C61,#REF!,6,0)</f>
        <v>#REF!</v>
      </c>
      <c r="I61" s="138" t="e">
        <f t="shared" si="0"/>
        <v>#REF!</v>
      </c>
      <c r="J61" s="138" t="e">
        <f t="shared" si="1"/>
        <v>#REF!</v>
      </c>
      <c r="K61" s="139" t="e">
        <f t="shared" si="2"/>
        <v>#REF!</v>
      </c>
      <c r="M61" s="172" t="e">
        <f t="shared" si="3"/>
        <v>#REF!</v>
      </c>
    </row>
    <row r="62" spans="1:13" s="140" customFormat="1" ht="20.25" customHeight="1">
      <c r="A62" s="136">
        <v>54</v>
      </c>
      <c r="B62" s="82" t="s">
        <v>99</v>
      </c>
      <c r="C62" s="30" t="s">
        <v>100</v>
      </c>
      <c r="D62" s="78">
        <v>3894800</v>
      </c>
      <c r="E62" s="137" t="e">
        <f>VLOOKUP(B62,'DSOAT-T1.2025'!$B$11:$AJ$76,46,0)</f>
        <v>#N/A</v>
      </c>
      <c r="F62" s="138" t="e">
        <f>VLOOKUP(B62,'DSOAT-T1.2025'!$B$11:$AQ$76,53,0)</f>
        <v>#N/A</v>
      </c>
      <c r="G62" s="138">
        <v>11000000</v>
      </c>
      <c r="H62" s="138" t="e">
        <f>VLOOKUP(C62,#REF!,6,0)</f>
        <v>#REF!</v>
      </c>
      <c r="I62" s="138" t="e">
        <f t="shared" si="0"/>
        <v>#REF!</v>
      </c>
      <c r="J62" s="138" t="e">
        <f t="shared" si="1"/>
        <v>#N/A</v>
      </c>
      <c r="K62" s="139" t="e">
        <f t="shared" si="2"/>
        <v>#N/A</v>
      </c>
      <c r="M62" s="172" t="e">
        <f t="shared" si="3"/>
        <v>#N/A</v>
      </c>
    </row>
    <row r="63" spans="1:13" s="140" customFormat="1" ht="20.25" customHeight="1">
      <c r="A63" s="136">
        <v>55</v>
      </c>
      <c r="B63" s="82" t="s">
        <v>101</v>
      </c>
      <c r="C63" s="30" t="s">
        <v>102</v>
      </c>
      <c r="D63" s="78">
        <v>3894800</v>
      </c>
      <c r="E63" s="137" t="e">
        <f>VLOOKUP(B63,'DSOAT-T1.2025'!$B$11:$AJ$76,46,0)</f>
        <v>#REF!</v>
      </c>
      <c r="F63" s="138" t="e">
        <f>VLOOKUP(B63,'DSOAT-T1.2025'!$B$11:$AQ$76,53,0)</f>
        <v>#REF!</v>
      </c>
      <c r="G63" s="138">
        <v>11000000</v>
      </c>
      <c r="H63" s="138" t="e">
        <f>VLOOKUP(C63,#REF!,6,0)</f>
        <v>#REF!</v>
      </c>
      <c r="I63" s="138" t="e">
        <f t="shared" si="0"/>
        <v>#REF!</v>
      </c>
      <c r="J63" s="138" t="e">
        <f t="shared" si="1"/>
        <v>#REF!</v>
      </c>
      <c r="K63" s="139" t="e">
        <f t="shared" si="2"/>
        <v>#REF!</v>
      </c>
      <c r="M63" s="172" t="e">
        <f t="shared" si="3"/>
        <v>#REF!</v>
      </c>
    </row>
    <row r="64" spans="1:13" s="140" customFormat="1" ht="20.25" customHeight="1">
      <c r="A64" s="136">
        <v>56</v>
      </c>
      <c r="B64" s="82" t="s">
        <v>105</v>
      </c>
      <c r="C64" s="30" t="s">
        <v>106</v>
      </c>
      <c r="D64" s="78">
        <v>3894800</v>
      </c>
      <c r="E64" s="137" t="e">
        <f>VLOOKUP(B64,'DSOAT-T1.2025'!$B$11:$AJ$76,46,0)</f>
        <v>#N/A</v>
      </c>
      <c r="F64" s="138" t="e">
        <f>VLOOKUP(B64,'DSOAT-T1.2025'!$B$11:$AQ$76,53,0)</f>
        <v>#N/A</v>
      </c>
      <c r="G64" s="138">
        <v>11000000</v>
      </c>
      <c r="H64" s="138" t="e">
        <f>VLOOKUP(C64,#REF!,6,0)</f>
        <v>#REF!</v>
      </c>
      <c r="I64" s="138" t="e">
        <f t="shared" si="0"/>
        <v>#REF!</v>
      </c>
      <c r="J64" s="138" t="e">
        <f t="shared" si="1"/>
        <v>#N/A</v>
      </c>
      <c r="K64" s="139" t="e">
        <f t="shared" si="2"/>
        <v>#N/A</v>
      </c>
      <c r="M64" s="172" t="e">
        <f t="shared" si="3"/>
        <v>#N/A</v>
      </c>
    </row>
    <row r="65" spans="1:13" s="140" customFormat="1" ht="20.25" customHeight="1">
      <c r="A65" s="136">
        <v>57</v>
      </c>
      <c r="B65" s="82" t="s">
        <v>163</v>
      </c>
      <c r="C65" s="30" t="s">
        <v>154</v>
      </c>
      <c r="D65" s="78">
        <v>3894800</v>
      </c>
      <c r="E65" s="137" t="e">
        <f>VLOOKUP(B65,'DSOAT-T1.2025'!$B$11:$AJ$76,46,0)</f>
        <v>#REF!</v>
      </c>
      <c r="F65" s="138" t="e">
        <f>VLOOKUP(B65,'DSOAT-T1.2025'!$B$11:$AQ$76,53,0)</f>
        <v>#REF!</v>
      </c>
      <c r="G65" s="138">
        <v>11000000</v>
      </c>
      <c r="H65" s="138" t="e">
        <f>VLOOKUP(C65,#REF!,6,0)</f>
        <v>#REF!</v>
      </c>
      <c r="I65" s="138" t="e">
        <f t="shared" si="0"/>
        <v>#REF!</v>
      </c>
      <c r="J65" s="138" t="e">
        <f t="shared" si="1"/>
        <v>#REF!</v>
      </c>
      <c r="K65" s="139" t="e">
        <f t="shared" si="2"/>
        <v>#REF!</v>
      </c>
      <c r="M65" s="172" t="e">
        <f t="shared" si="3"/>
        <v>#REF!</v>
      </c>
    </row>
    <row r="66" spans="1:13" s="140" customFormat="1" ht="20.25" customHeight="1">
      <c r="A66" s="136">
        <v>58</v>
      </c>
      <c r="B66" s="82" t="s">
        <v>107</v>
      </c>
      <c r="C66" s="30" t="s">
        <v>108</v>
      </c>
      <c r="D66" s="22">
        <v>4451200</v>
      </c>
      <c r="E66" s="137" t="e">
        <f>VLOOKUP(B66,'DSOAT-T1.2025'!$B$11:$AJ$76,46,0)</f>
        <v>#N/A</v>
      </c>
      <c r="F66" s="138" t="e">
        <f>VLOOKUP(B66,'DSOAT-T1.2025'!$B$11:$AQ$76,53,0)</f>
        <v>#N/A</v>
      </c>
      <c r="G66" s="138">
        <v>11000000</v>
      </c>
      <c r="H66" s="138" t="e">
        <f>VLOOKUP(C66,#REF!,6,0)</f>
        <v>#REF!</v>
      </c>
      <c r="I66" s="138" t="e">
        <f t="shared" si="0"/>
        <v>#REF!</v>
      </c>
      <c r="J66" s="138" t="e">
        <f t="shared" si="1"/>
        <v>#N/A</v>
      </c>
      <c r="K66" s="139" t="e">
        <f t="shared" si="2"/>
        <v>#N/A</v>
      </c>
      <c r="M66" s="172" t="e">
        <f t="shared" si="3"/>
        <v>#N/A</v>
      </c>
    </row>
    <row r="67" spans="1:13" s="140" customFormat="1" ht="20.25" customHeight="1">
      <c r="A67" s="136">
        <v>59</v>
      </c>
      <c r="B67" s="82" t="s">
        <v>209</v>
      </c>
      <c r="C67" s="30" t="s">
        <v>210</v>
      </c>
      <c r="D67" s="22">
        <v>3894800</v>
      </c>
      <c r="E67" s="137" t="e">
        <f>VLOOKUP(B67,'DSOAT-T1.2025'!$B$11:$AJ$76,46,0)</f>
        <v>#REF!</v>
      </c>
      <c r="F67" s="138" t="e">
        <f>VLOOKUP(B67,'DSOAT-T1.2025'!$B$11:$AQ$76,53,0)</f>
        <v>#REF!</v>
      </c>
      <c r="G67" s="138">
        <v>11000000</v>
      </c>
      <c r="H67" s="138" t="e">
        <f>VLOOKUP(C67,#REF!,6,0)</f>
        <v>#REF!</v>
      </c>
      <c r="I67" s="138" t="e">
        <f t="shared" si="0"/>
        <v>#REF!</v>
      </c>
      <c r="J67" s="138" t="e">
        <f t="shared" si="1"/>
        <v>#REF!</v>
      </c>
      <c r="K67" s="139" t="e">
        <f t="shared" si="2"/>
        <v>#REF!</v>
      </c>
      <c r="M67" s="172" t="e">
        <f t="shared" si="3"/>
        <v>#REF!</v>
      </c>
    </row>
    <row r="68" spans="1:13" s="140" customFormat="1" ht="20.25" customHeight="1">
      <c r="A68" s="136">
        <v>60</v>
      </c>
      <c r="B68" s="82" t="s">
        <v>204</v>
      </c>
      <c r="C68" s="30" t="s">
        <v>205</v>
      </c>
      <c r="D68" s="22">
        <v>4451200</v>
      </c>
      <c r="E68" s="137" t="e">
        <f>VLOOKUP(B68,'DSOAT-T1.2025'!$B$11:$AJ$76,46,0)</f>
        <v>#REF!</v>
      </c>
      <c r="F68" s="138" t="e">
        <f>VLOOKUP(B68,'DSOAT-T1.2025'!$B$11:$AQ$76,53,0)</f>
        <v>#REF!</v>
      </c>
      <c r="G68" s="138">
        <v>11000000</v>
      </c>
      <c r="H68" s="138" t="e">
        <f>VLOOKUP(C68,#REF!,6,0)</f>
        <v>#REF!</v>
      </c>
      <c r="I68" s="138" t="e">
        <f t="shared" si="0"/>
        <v>#REF!</v>
      </c>
      <c r="J68" s="138" t="e">
        <f t="shared" si="1"/>
        <v>#REF!</v>
      </c>
      <c r="K68" s="139" t="e">
        <f t="shared" si="2"/>
        <v>#REF!</v>
      </c>
      <c r="M68" s="172" t="e">
        <f t="shared" si="3"/>
        <v>#REF!</v>
      </c>
    </row>
    <row r="69" spans="1:13" s="140" customFormat="1" ht="20.25" customHeight="1">
      <c r="A69" s="136">
        <v>61</v>
      </c>
      <c r="B69" s="82" t="s">
        <v>212</v>
      </c>
      <c r="C69" s="75" t="s">
        <v>213</v>
      </c>
      <c r="D69" s="22">
        <v>4451200</v>
      </c>
      <c r="E69" s="137" t="e">
        <f>VLOOKUP(B69,'DSOAT-T1.2025'!$B$11:$AJ$76,46,0)</f>
        <v>#REF!</v>
      </c>
      <c r="F69" s="138" t="e">
        <f>VLOOKUP(B69,'DSOAT-T1.2025'!$B$11:$AQ$76,53,0)</f>
        <v>#REF!</v>
      </c>
      <c r="G69" s="138">
        <v>11000000</v>
      </c>
      <c r="H69" s="138" t="e">
        <f>VLOOKUP(C69,#REF!,6,0)</f>
        <v>#REF!</v>
      </c>
      <c r="I69" s="138" t="e">
        <f t="shared" si="0"/>
        <v>#REF!</v>
      </c>
      <c r="J69" s="138" t="e">
        <f t="shared" si="1"/>
        <v>#REF!</v>
      </c>
      <c r="K69" s="139" t="e">
        <f t="shared" si="2"/>
        <v>#REF!</v>
      </c>
      <c r="M69" s="172" t="e">
        <f t="shared" si="3"/>
        <v>#REF!</v>
      </c>
    </row>
    <row r="70" spans="1:13" s="140" customFormat="1" ht="20.25" customHeight="1">
      <c r="A70" s="136">
        <v>62</v>
      </c>
      <c r="B70" s="82" t="s">
        <v>214</v>
      </c>
      <c r="C70" s="75" t="s">
        <v>215</v>
      </c>
      <c r="D70" s="22">
        <v>3894800</v>
      </c>
      <c r="E70" s="137" t="e">
        <f>VLOOKUP(B70,'DSOAT-T1.2025'!$B$11:$AJ$76,46,0)</f>
        <v>#N/A</v>
      </c>
      <c r="F70" s="138" t="e">
        <f>VLOOKUP(B70,'DSOAT-T1.2025'!$B$11:$AQ$76,53,0)</f>
        <v>#N/A</v>
      </c>
      <c r="G70" s="138">
        <v>11000000</v>
      </c>
      <c r="H70" s="138" t="e">
        <f>VLOOKUP(C70,#REF!,6,0)</f>
        <v>#REF!</v>
      </c>
      <c r="I70" s="138" t="e">
        <f t="shared" si="0"/>
        <v>#REF!</v>
      </c>
      <c r="J70" s="138" t="e">
        <f t="shared" si="1"/>
        <v>#N/A</v>
      </c>
      <c r="K70" s="139" t="e">
        <f t="shared" si="2"/>
        <v>#N/A</v>
      </c>
      <c r="M70" s="172" t="e">
        <f t="shared" si="3"/>
        <v>#N/A</v>
      </c>
    </row>
    <row r="71" spans="1:13" s="140" customFormat="1" ht="20.25" customHeight="1">
      <c r="A71" s="136">
        <v>63</v>
      </c>
      <c r="B71" s="82" t="s">
        <v>206</v>
      </c>
      <c r="C71" s="75" t="s">
        <v>207</v>
      </c>
      <c r="D71" s="22">
        <v>3894800</v>
      </c>
      <c r="E71" s="137" t="e">
        <f>VLOOKUP(B71,'DSOAT-T1.2025'!$B$11:$AJ$76,46,0)</f>
        <v>#REF!</v>
      </c>
      <c r="F71" s="138" t="e">
        <f>VLOOKUP(B71,'DSOAT-T1.2025'!$B$11:$AQ$76,53,0)</f>
        <v>#REF!</v>
      </c>
      <c r="G71" s="138">
        <v>11000000</v>
      </c>
      <c r="H71" s="138" t="e">
        <f>VLOOKUP(C71,#REF!,6,0)</f>
        <v>#REF!</v>
      </c>
      <c r="I71" s="138" t="e">
        <f t="shared" si="0"/>
        <v>#REF!</v>
      </c>
      <c r="J71" s="138" t="e">
        <f t="shared" si="1"/>
        <v>#REF!</v>
      </c>
      <c r="K71" s="139" t="e">
        <f t="shared" si="2"/>
        <v>#REF!</v>
      </c>
      <c r="M71" s="172" t="e">
        <f t="shared" si="3"/>
        <v>#REF!</v>
      </c>
    </row>
    <row r="72" spans="1:13" s="140" customFormat="1" ht="20.25" customHeight="1">
      <c r="A72" s="136">
        <v>64</v>
      </c>
      <c r="B72" s="88" t="s">
        <v>217</v>
      </c>
      <c r="C72" s="76" t="s">
        <v>216</v>
      </c>
      <c r="D72" s="22">
        <v>4451200</v>
      </c>
      <c r="E72" s="137" t="e">
        <f>VLOOKUP(B72,'DSOAT-T1.2025'!$B$11:$AJ$76,46,0)</f>
        <v>#REF!</v>
      </c>
      <c r="F72" s="138" t="e">
        <f>VLOOKUP(B72,'DSOAT-T1.2025'!$B$11:$AQ$76,53,0)</f>
        <v>#REF!</v>
      </c>
      <c r="G72" s="138">
        <v>11000000</v>
      </c>
      <c r="H72" s="138" t="e">
        <f>VLOOKUP(C72,#REF!,6,0)</f>
        <v>#REF!</v>
      </c>
      <c r="I72" s="138" t="e">
        <f t="shared" si="0"/>
        <v>#REF!</v>
      </c>
      <c r="J72" s="138" t="e">
        <f t="shared" si="1"/>
        <v>#REF!</v>
      </c>
      <c r="K72" s="139" t="e">
        <f t="shared" si="2"/>
        <v>#REF!</v>
      </c>
      <c r="M72" s="172" t="e">
        <f t="shared" si="3"/>
        <v>#REF!</v>
      </c>
    </row>
    <row r="73" spans="1:13" s="140" customFormat="1" ht="20.25" customHeight="1">
      <c r="A73" s="136">
        <v>65</v>
      </c>
      <c r="B73" s="88" t="s">
        <v>220</v>
      </c>
      <c r="C73" s="76" t="s">
        <v>221</v>
      </c>
      <c r="D73" s="22">
        <v>4451200</v>
      </c>
      <c r="E73" s="137" t="e">
        <f>VLOOKUP(B73,'DSOAT-T1.2025'!$B$11:$AJ$76,46,0)</f>
        <v>#N/A</v>
      </c>
      <c r="F73" s="138" t="e">
        <f>VLOOKUP(B73,'DSOAT-T1.2025'!$B$11:$AQ$76,53,0)</f>
        <v>#N/A</v>
      </c>
      <c r="G73" s="138">
        <v>11000000</v>
      </c>
      <c r="H73" s="138" t="e">
        <f>VLOOKUP(C73,#REF!,6,0)</f>
        <v>#REF!</v>
      </c>
      <c r="I73" s="138" t="e">
        <f t="shared" si="0"/>
        <v>#REF!</v>
      </c>
      <c r="J73" s="138" t="e">
        <f t="shared" si="1"/>
        <v>#N/A</v>
      </c>
      <c r="K73" s="139" t="e">
        <f t="shared" si="2"/>
        <v>#N/A</v>
      </c>
      <c r="M73" s="172" t="e">
        <f t="shared" si="3"/>
        <v>#N/A</v>
      </c>
    </row>
    <row r="74" spans="1:13" s="140" customFormat="1" ht="20.25" customHeight="1">
      <c r="A74" s="136">
        <v>66</v>
      </c>
      <c r="B74" s="88" t="s">
        <v>141</v>
      </c>
      <c r="C74" s="76" t="s">
        <v>187</v>
      </c>
      <c r="D74" s="22">
        <v>4451200</v>
      </c>
      <c r="E74" s="137" t="e">
        <f>VLOOKUP(B74,'DSOAT-T1.2025'!$B$11:$AJ$76,46,0)</f>
        <v>#REF!</v>
      </c>
      <c r="F74" s="138" t="e">
        <f>VLOOKUP(B74,'DSOAT-T1.2025'!$B$11:$AQ$76,53,0)</f>
        <v>#REF!</v>
      </c>
      <c r="G74" s="138">
        <v>11000000</v>
      </c>
      <c r="H74" s="138" t="e">
        <f>VLOOKUP(C74,#REF!,6,0)</f>
        <v>#REF!</v>
      </c>
      <c r="I74" s="138" t="e">
        <f t="shared" ref="I74:I85" si="4">H74*4400000</f>
        <v>#REF!</v>
      </c>
      <c r="J74" s="138" t="e">
        <f t="shared" ref="J74:J85" si="5">IF((E74-F74-G74-I74)&lt;0,0,(E74-F74-G74-I74))</f>
        <v>#REF!</v>
      </c>
      <c r="K74" s="139" t="e">
        <f t="shared" ref="K74:K85" si="6">ROUND(IF(J74&gt;80000000,J74*35%-9850000,IF(J74&gt;52000000,J74*30%-5850000,IF(J74&gt;32000000,J74*25%-3250000,IF(J74&gt;18000000,J74*20%-1650000,IF(J74&gt;10000000,J74*15%-750000,IF(J74&gt;5000000,J74*10%-250000,IF(J74&gt;0,J74*5%,0))))))),0)</f>
        <v>#REF!</v>
      </c>
      <c r="M74" s="172" t="e">
        <f t="shared" ref="M74:M85" si="7">+E74-F74-G74-I74</f>
        <v>#REF!</v>
      </c>
    </row>
    <row r="75" spans="1:13" s="140" customFormat="1" ht="20.25" customHeight="1">
      <c r="A75" s="136">
        <v>67</v>
      </c>
      <c r="B75" s="88" t="s">
        <v>263</v>
      </c>
      <c r="C75" s="76" t="s">
        <v>262</v>
      </c>
      <c r="D75" s="22">
        <v>4451200</v>
      </c>
      <c r="E75" s="137" t="e">
        <f>VLOOKUP(B75,'DSOAT-T1.2025'!$B$11:$AJ$76,46,0)</f>
        <v>#REF!</v>
      </c>
      <c r="F75" s="138" t="e">
        <f>VLOOKUP(B75,'DSOAT-T1.2025'!$B$11:$AQ$76,53,0)</f>
        <v>#REF!</v>
      </c>
      <c r="G75" s="138">
        <v>11000000</v>
      </c>
      <c r="H75" s="138" t="e">
        <f>VLOOKUP(C75,#REF!,6,0)</f>
        <v>#REF!</v>
      </c>
      <c r="I75" s="138" t="e">
        <f t="shared" si="4"/>
        <v>#REF!</v>
      </c>
      <c r="J75" s="138" t="e">
        <f t="shared" si="5"/>
        <v>#REF!</v>
      </c>
      <c r="K75" s="139" t="e">
        <f t="shared" si="6"/>
        <v>#REF!</v>
      </c>
      <c r="M75" s="172" t="e">
        <f t="shared" si="7"/>
        <v>#REF!</v>
      </c>
    </row>
    <row r="76" spans="1:13" s="140" customFormat="1" ht="20.25" customHeight="1">
      <c r="A76" s="136">
        <v>68</v>
      </c>
      <c r="B76" s="88" t="s">
        <v>47</v>
      </c>
      <c r="C76" s="76" t="s">
        <v>48</v>
      </c>
      <c r="D76" s="22">
        <v>3894800</v>
      </c>
      <c r="E76" s="137" t="e">
        <f>VLOOKUP(B76,'DSOAT-T1.2025'!$B$11:$AJ$76,46,0)</f>
        <v>#REF!</v>
      </c>
      <c r="F76" s="138" t="e">
        <f>VLOOKUP(B76,'DSOAT-T1.2025'!$B$11:$AQ$76,53,0)</f>
        <v>#REF!</v>
      </c>
      <c r="G76" s="138">
        <v>11000000</v>
      </c>
      <c r="H76" s="138" t="e">
        <f>VLOOKUP(C76,#REF!,6,0)</f>
        <v>#REF!</v>
      </c>
      <c r="I76" s="138" t="e">
        <f t="shared" si="4"/>
        <v>#REF!</v>
      </c>
      <c r="J76" s="138" t="e">
        <f t="shared" si="5"/>
        <v>#REF!</v>
      </c>
      <c r="K76" s="139" t="e">
        <f t="shared" si="6"/>
        <v>#REF!</v>
      </c>
      <c r="M76" s="172" t="e">
        <f t="shared" si="7"/>
        <v>#REF!</v>
      </c>
    </row>
    <row r="77" spans="1:13" s="140" customFormat="1" ht="20.25" customHeight="1">
      <c r="A77" s="136">
        <v>69</v>
      </c>
      <c r="B77" s="88" t="s">
        <v>271</v>
      </c>
      <c r="C77" s="76" t="s">
        <v>269</v>
      </c>
      <c r="D77" s="22">
        <v>4451200</v>
      </c>
      <c r="E77" s="137" t="e">
        <f>VLOOKUP(B77,'DSOAT-T1.2025'!$B$11:$AJ$76,46,0)</f>
        <v>#REF!</v>
      </c>
      <c r="F77" s="138" t="e">
        <f>VLOOKUP(B77,'DSOAT-T1.2025'!$B$11:$AQ$76,53,0)</f>
        <v>#REF!</v>
      </c>
      <c r="G77" s="138">
        <v>11000000</v>
      </c>
      <c r="H77" s="138" t="e">
        <f>VLOOKUP(C77,#REF!,6,0)</f>
        <v>#REF!</v>
      </c>
      <c r="I77" s="138" t="e">
        <f t="shared" si="4"/>
        <v>#REF!</v>
      </c>
      <c r="J77" s="138" t="e">
        <f t="shared" si="5"/>
        <v>#REF!</v>
      </c>
      <c r="K77" s="139" t="e">
        <f t="shared" si="6"/>
        <v>#REF!</v>
      </c>
      <c r="M77" s="172" t="e">
        <f t="shared" si="7"/>
        <v>#REF!</v>
      </c>
    </row>
    <row r="78" spans="1:13" s="140" customFormat="1" ht="20.25" customHeight="1">
      <c r="A78" s="136">
        <v>70</v>
      </c>
      <c r="B78" s="88" t="s">
        <v>272</v>
      </c>
      <c r="C78" s="76" t="s">
        <v>273</v>
      </c>
      <c r="D78" s="22">
        <v>4451200</v>
      </c>
      <c r="E78" s="137" t="e">
        <f>VLOOKUP(B78,'DSOAT-T1.2025'!$B$11:$AJ$76,46,0)</f>
        <v>#REF!</v>
      </c>
      <c r="F78" s="138" t="e">
        <f>VLOOKUP(B78,'DSOAT-T1.2025'!$B$11:$AQ$76,53,0)</f>
        <v>#REF!</v>
      </c>
      <c r="G78" s="138">
        <v>11000000</v>
      </c>
      <c r="H78" s="138" t="e">
        <f>VLOOKUP(C78,#REF!,6,0)</f>
        <v>#REF!</v>
      </c>
      <c r="I78" s="138" t="e">
        <f t="shared" si="4"/>
        <v>#REF!</v>
      </c>
      <c r="J78" s="138" t="e">
        <f t="shared" si="5"/>
        <v>#REF!</v>
      </c>
      <c r="K78" s="139" t="e">
        <f t="shared" si="6"/>
        <v>#REF!</v>
      </c>
      <c r="M78" s="172" t="e">
        <f t="shared" si="7"/>
        <v>#REF!</v>
      </c>
    </row>
    <row r="79" spans="1:13" s="140" customFormat="1" ht="20.25" customHeight="1">
      <c r="A79" s="136">
        <v>71</v>
      </c>
      <c r="B79" s="88" t="s">
        <v>274</v>
      </c>
      <c r="C79" s="76" t="s">
        <v>275</v>
      </c>
      <c r="D79" s="22">
        <v>4451200</v>
      </c>
      <c r="E79" s="137" t="e">
        <f>VLOOKUP(B79,'DSOAT-T1.2025'!$B$11:$AJ$76,46,0)</f>
        <v>#N/A</v>
      </c>
      <c r="F79" s="138" t="e">
        <f>VLOOKUP(B79,'DSOAT-T1.2025'!$B$11:$AQ$76,53,0)</f>
        <v>#N/A</v>
      </c>
      <c r="G79" s="138">
        <v>11000000</v>
      </c>
      <c r="H79" s="138" t="e">
        <f>VLOOKUP(C79,#REF!,6,0)</f>
        <v>#REF!</v>
      </c>
      <c r="I79" s="138" t="e">
        <f t="shared" si="4"/>
        <v>#REF!</v>
      </c>
      <c r="J79" s="138" t="e">
        <f t="shared" si="5"/>
        <v>#N/A</v>
      </c>
      <c r="K79" s="139" t="e">
        <f t="shared" si="6"/>
        <v>#N/A</v>
      </c>
      <c r="M79" s="172" t="e">
        <f t="shared" si="7"/>
        <v>#N/A</v>
      </c>
    </row>
    <row r="80" spans="1:13" s="140" customFormat="1" ht="20.25" customHeight="1">
      <c r="A80" s="136">
        <v>72</v>
      </c>
      <c r="B80" s="89" t="s">
        <v>277</v>
      </c>
      <c r="C80" s="90" t="s">
        <v>276</v>
      </c>
      <c r="D80" s="38">
        <v>3894800</v>
      </c>
      <c r="E80" s="137" t="e">
        <f>VLOOKUP(B80,'DSOAT-T1.2025'!$B$11:$AJ$76,46,0)</f>
        <v>#N/A</v>
      </c>
      <c r="F80" s="138" t="e">
        <f>VLOOKUP(B80,'DSOAT-T1.2025'!$B$11:$AQ$76,53,0)</f>
        <v>#N/A</v>
      </c>
      <c r="G80" s="138"/>
      <c r="H80" s="138" t="e">
        <f>VLOOKUP(C80,#REF!,6,0)</f>
        <v>#REF!</v>
      </c>
      <c r="I80" s="138" t="e">
        <f t="shared" si="4"/>
        <v>#REF!</v>
      </c>
      <c r="J80" s="138" t="e">
        <f t="shared" si="5"/>
        <v>#N/A</v>
      </c>
      <c r="K80" s="139" t="e">
        <f t="shared" si="6"/>
        <v>#N/A</v>
      </c>
      <c r="L80" s="140" t="s">
        <v>426</v>
      </c>
      <c r="M80" s="172" t="e">
        <f t="shared" si="7"/>
        <v>#N/A</v>
      </c>
    </row>
    <row r="81" spans="1:13" s="140" customFormat="1" ht="20.25" customHeight="1">
      <c r="A81" s="136">
        <v>73</v>
      </c>
      <c r="B81" s="88" t="s">
        <v>283</v>
      </c>
      <c r="C81" s="76" t="s">
        <v>281</v>
      </c>
      <c r="D81" s="22">
        <v>3894800</v>
      </c>
      <c r="E81" s="137" t="e">
        <f>VLOOKUP(B81,'DSOAT-T1.2025'!$B$11:$AJ$76,46,0)</f>
        <v>#REF!</v>
      </c>
      <c r="F81" s="138" t="e">
        <f>VLOOKUP(B81,'DSOAT-T1.2025'!$B$11:$AQ$76,53,0)</f>
        <v>#REF!</v>
      </c>
      <c r="G81" s="138">
        <v>11000000</v>
      </c>
      <c r="H81" s="138" t="e">
        <f>VLOOKUP(C81,#REF!,6,0)</f>
        <v>#REF!</v>
      </c>
      <c r="I81" s="138" t="e">
        <f t="shared" si="4"/>
        <v>#REF!</v>
      </c>
      <c r="J81" s="138" t="e">
        <f t="shared" si="5"/>
        <v>#REF!</v>
      </c>
      <c r="K81" s="139" t="e">
        <f t="shared" si="6"/>
        <v>#REF!</v>
      </c>
      <c r="M81" s="172" t="e">
        <f t="shared" si="7"/>
        <v>#REF!</v>
      </c>
    </row>
    <row r="82" spans="1:13" s="140" customFormat="1" ht="20.25" customHeight="1">
      <c r="A82" s="136">
        <v>74</v>
      </c>
      <c r="B82" s="88" t="s">
        <v>284</v>
      </c>
      <c r="C82" s="76" t="s">
        <v>282</v>
      </c>
      <c r="D82" s="22">
        <v>3477500</v>
      </c>
      <c r="E82" s="137" t="e">
        <f>VLOOKUP(B82,'DSOAT-T1.2025'!$B$11:$AJ$76,46,0)</f>
        <v>#REF!</v>
      </c>
      <c r="F82" s="138" t="e">
        <f>VLOOKUP(B82,'DSOAT-T1.2025'!$B$11:$AQ$76,53,0)</f>
        <v>#REF!</v>
      </c>
      <c r="G82" s="138">
        <v>11000000</v>
      </c>
      <c r="H82" s="138" t="e">
        <f>VLOOKUP(C82,#REF!,6,0)</f>
        <v>#REF!</v>
      </c>
      <c r="I82" s="138" t="e">
        <f t="shared" si="4"/>
        <v>#REF!</v>
      </c>
      <c r="J82" s="138" t="e">
        <f t="shared" si="5"/>
        <v>#REF!</v>
      </c>
      <c r="K82" s="139" t="e">
        <f t="shared" si="6"/>
        <v>#REF!</v>
      </c>
      <c r="M82" s="172" t="e">
        <f t="shared" si="7"/>
        <v>#REF!</v>
      </c>
    </row>
    <row r="83" spans="1:13" s="140" customFormat="1" ht="20.25" customHeight="1">
      <c r="A83" s="136">
        <v>75</v>
      </c>
      <c r="B83" s="97" t="s">
        <v>287</v>
      </c>
      <c r="C83" s="98" t="s">
        <v>288</v>
      </c>
      <c r="D83" s="77">
        <v>3894800</v>
      </c>
      <c r="E83" s="137" t="e">
        <f>VLOOKUP(B83,'DSOAT-T1.2025'!$B$11:$AJ$76,46,0)</f>
        <v>#REF!</v>
      </c>
      <c r="F83" s="138" t="e">
        <f>VLOOKUP(B83,'DSOAT-T1.2025'!$B$11:$AQ$76,53,0)</f>
        <v>#REF!</v>
      </c>
      <c r="G83" s="138">
        <v>11000000</v>
      </c>
      <c r="H83" s="138" t="e">
        <f>VLOOKUP(C83,#REF!,6,0)</f>
        <v>#REF!</v>
      </c>
      <c r="I83" s="138" t="e">
        <f t="shared" si="4"/>
        <v>#REF!</v>
      </c>
      <c r="J83" s="138" t="e">
        <f t="shared" si="5"/>
        <v>#REF!</v>
      </c>
      <c r="K83" s="139" t="e">
        <f t="shared" si="6"/>
        <v>#REF!</v>
      </c>
      <c r="M83" s="172" t="e">
        <f t="shared" si="7"/>
        <v>#REF!</v>
      </c>
    </row>
    <row r="84" spans="1:13" s="140" customFormat="1" ht="20.25" customHeight="1">
      <c r="A84" s="136">
        <v>76</v>
      </c>
      <c r="B84" s="88" t="s">
        <v>290</v>
      </c>
      <c r="C84" s="76" t="s">
        <v>289</v>
      </c>
      <c r="D84" s="22">
        <v>3477500</v>
      </c>
      <c r="E84" s="137" t="e">
        <f>VLOOKUP(B84,'DSOAT-T1.2025'!$B$11:$AJ$76,46,0)</f>
        <v>#REF!</v>
      </c>
      <c r="F84" s="138" t="e">
        <f>VLOOKUP(B84,'DSOAT-T1.2025'!$B$11:$AQ$76,53,0)</f>
        <v>#REF!</v>
      </c>
      <c r="G84" s="138">
        <v>11000000</v>
      </c>
      <c r="H84" s="138" t="e">
        <f>VLOOKUP(C84,#REF!,6,0)</f>
        <v>#REF!</v>
      </c>
      <c r="I84" s="138" t="e">
        <f t="shared" si="4"/>
        <v>#REF!</v>
      </c>
      <c r="J84" s="138" t="e">
        <f t="shared" si="5"/>
        <v>#REF!</v>
      </c>
      <c r="K84" s="139" t="e">
        <f t="shared" si="6"/>
        <v>#REF!</v>
      </c>
      <c r="M84" s="172" t="e">
        <f t="shared" si="7"/>
        <v>#REF!</v>
      </c>
    </row>
    <row r="85" spans="1:13" s="140" customFormat="1" ht="20.25" customHeight="1">
      <c r="A85" s="136">
        <v>77</v>
      </c>
      <c r="B85" s="88" t="s">
        <v>294</v>
      </c>
      <c r="C85" s="76" t="s">
        <v>295</v>
      </c>
      <c r="D85" s="22">
        <v>4451200</v>
      </c>
      <c r="E85" s="137" t="e">
        <f>VLOOKUP(B85,'DSOAT-T1.2025'!$B$11:$AJ$76,46,0)</f>
        <v>#REF!</v>
      </c>
      <c r="F85" s="138" t="e">
        <f>VLOOKUP(B85,'DSOAT-T1.2025'!$B$11:$AQ$76,53,0)</f>
        <v>#REF!</v>
      </c>
      <c r="G85" s="138">
        <v>11000000</v>
      </c>
      <c r="H85" s="138" t="e">
        <f>VLOOKUP(C85,#REF!,6,0)</f>
        <v>#REF!</v>
      </c>
      <c r="I85" s="138" t="e">
        <f t="shared" si="4"/>
        <v>#REF!</v>
      </c>
      <c r="J85" s="138" t="e">
        <f t="shared" si="5"/>
        <v>#REF!</v>
      </c>
      <c r="K85" s="139" t="e">
        <f t="shared" si="6"/>
        <v>#REF!</v>
      </c>
      <c r="M85" s="172" t="e">
        <f t="shared" si="7"/>
        <v>#REF!</v>
      </c>
    </row>
    <row r="86" spans="1:13" s="145" customFormat="1" ht="21" customHeight="1">
      <c r="A86" s="141" t="s">
        <v>110</v>
      </c>
      <c r="B86" s="142"/>
      <c r="C86" s="143"/>
      <c r="D86" s="144">
        <f t="shared" ref="D86:K86" si="8">SUM(D9:D85)</f>
        <v>307550100</v>
      </c>
      <c r="E86" s="144" t="e">
        <f t="shared" si="8"/>
        <v>#REF!</v>
      </c>
      <c r="F86" s="144" t="e">
        <f t="shared" si="8"/>
        <v>#REF!</v>
      </c>
      <c r="G86" s="144">
        <f t="shared" si="8"/>
        <v>825000000</v>
      </c>
      <c r="H86" s="144" t="e">
        <f t="shared" si="8"/>
        <v>#REF!</v>
      </c>
      <c r="I86" s="144" t="e">
        <f t="shared" si="8"/>
        <v>#REF!</v>
      </c>
      <c r="J86" s="144" t="e">
        <f t="shared" si="8"/>
        <v>#REF!</v>
      </c>
      <c r="K86" s="144" t="e">
        <f t="shared" si="8"/>
        <v>#REF!</v>
      </c>
    </row>
    <row r="87" spans="1:13" s="154" customFormat="1" ht="17.25" customHeight="1">
      <c r="A87" s="146"/>
      <c r="B87" s="147"/>
      <c r="C87" s="147"/>
      <c r="D87" s="148"/>
      <c r="E87" s="149"/>
      <c r="F87" s="150"/>
      <c r="G87" s="151"/>
      <c r="H87" s="27"/>
      <c r="I87" s="152"/>
      <c r="J87" s="153"/>
    </row>
    <row r="88" spans="1:13" s="154" customFormat="1" ht="18.75" customHeight="1">
      <c r="A88" s="1478" t="s">
        <v>192</v>
      </c>
      <c r="B88" s="1478"/>
      <c r="C88" s="1478"/>
      <c r="D88" s="1478"/>
      <c r="E88" s="1478"/>
      <c r="F88" s="1478"/>
      <c r="G88" s="1478" t="s">
        <v>191</v>
      </c>
      <c r="H88" s="1478"/>
      <c r="I88" s="1478"/>
      <c r="J88" s="1478"/>
      <c r="K88" s="1478"/>
    </row>
    <row r="89" spans="1:13" s="154" customFormat="1" ht="18.75" customHeight="1">
      <c r="A89" s="146"/>
      <c r="B89" s="156"/>
      <c r="C89" s="156"/>
      <c r="D89" s="157"/>
      <c r="E89" s="156"/>
      <c r="F89" s="155"/>
      <c r="G89" s="1468" t="s">
        <v>193</v>
      </c>
      <c r="H89" s="1468"/>
      <c r="I89" s="1468"/>
      <c r="J89" s="1468"/>
      <c r="K89" s="1468"/>
    </row>
    <row r="90" spans="1:13" s="163" customFormat="1" ht="27.75" customHeight="1">
      <c r="A90" s="158"/>
      <c r="B90" s="147"/>
      <c r="C90" s="147"/>
      <c r="D90" s="154"/>
      <c r="E90" s="159"/>
      <c r="F90" s="160"/>
      <c r="G90" s="161"/>
      <c r="H90" s="162"/>
      <c r="I90" s="162"/>
    </row>
  </sheetData>
  <autoFilter ref="G6:K86">
    <filterColumn colId="1" showButton="0"/>
  </autoFilter>
  <mergeCells count="17">
    <mergeCell ref="G89:K89"/>
    <mergeCell ref="H6:I6"/>
    <mergeCell ref="J6:J7"/>
    <mergeCell ref="K6:K7"/>
    <mergeCell ref="H8:I8"/>
    <mergeCell ref="A88:F88"/>
    <mergeCell ref="G88:K88"/>
    <mergeCell ref="A1:F1"/>
    <mergeCell ref="A3:K3"/>
    <mergeCell ref="A4:K4"/>
    <mergeCell ref="A6:A7"/>
    <mergeCell ref="B6:B7"/>
    <mergeCell ref="C6:C7"/>
    <mergeCell ref="D6:D7"/>
    <mergeCell ref="E6:E7"/>
    <mergeCell ref="F6:F7"/>
    <mergeCell ref="G6:G7"/>
  </mergeCells>
  <conditionalFormatting sqref="B89">
    <cfRule type="duplicateValues" dxfId="81" priority="4"/>
  </conditionalFormatting>
  <conditionalFormatting sqref="C9:C50 C52:C85">
    <cfRule type="duplicateValues" dxfId="80" priority="3" stopIfTrue="1"/>
  </conditionalFormatting>
  <conditionalFormatting sqref="C9:C85">
    <cfRule type="duplicateValues" dxfId="79" priority="1" stopIfTrue="1"/>
  </conditionalFormatting>
  <conditionalFormatting sqref="C51">
    <cfRule type="duplicateValues" dxfId="78" priority="2" stopIfTrue="1"/>
  </conditionalFormatting>
  <conditionalFormatting sqref="C86 C2 C91:C65536">
    <cfRule type="duplicateValues" dxfId="77" priority="5" stopIfTrue="1"/>
  </conditionalFormatting>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3"/>
  <sheetViews>
    <sheetView topLeftCell="B1" workbookViewId="0">
      <selection activeCell="G14" sqref="G14"/>
    </sheetView>
  </sheetViews>
  <sheetFormatPr defaultColWidth="11.42578125" defaultRowHeight="15.75"/>
  <cols>
    <col min="1" max="1" width="14" style="20" hidden="1" customWidth="1"/>
    <col min="2" max="2" width="12.42578125" style="20" customWidth="1"/>
    <col min="3" max="3" width="5.140625" style="20" customWidth="1"/>
    <col min="4" max="4" width="23" style="20" customWidth="1"/>
    <col min="5" max="5" width="6.85546875" style="20" customWidth="1"/>
    <col min="6" max="7" width="7.140625" style="20" customWidth="1"/>
    <col min="8" max="8" width="13.28515625" style="20" customWidth="1"/>
    <col min="9" max="9" width="12.5703125" style="20" customWidth="1"/>
    <col min="10" max="10" width="8.140625" style="20" customWidth="1"/>
    <col min="11" max="11" width="13.7109375" style="20" customWidth="1"/>
    <col min="12" max="12" width="13.28515625" style="20" customWidth="1"/>
    <col min="13" max="13" width="16.28515625" style="20" customWidth="1"/>
    <col min="14" max="14" width="12.42578125" style="20" customWidth="1"/>
    <col min="15" max="15" width="14.42578125" style="20" customWidth="1"/>
    <col min="16" max="16" width="13.28515625" style="20" customWidth="1"/>
    <col min="17" max="17" width="13.5703125" style="20" customWidth="1"/>
    <col min="18" max="18" width="16.140625" style="59" hidden="1" customWidth="1"/>
    <col min="19" max="19" width="11.42578125" style="20" hidden="1" customWidth="1"/>
    <col min="20" max="20" width="13.28515625" style="20" hidden="1" customWidth="1"/>
    <col min="21" max="21" width="16.85546875" style="20" hidden="1" customWidth="1"/>
    <col min="22" max="22" width="17.28515625" style="20" hidden="1" customWidth="1"/>
    <col min="23" max="23" width="11.42578125" style="20" hidden="1" customWidth="1"/>
    <col min="24" max="24" width="4.7109375" style="20" customWidth="1"/>
    <col min="25" max="25" width="11" style="178" customWidth="1"/>
    <col min="26" max="26" width="6.28515625" style="20" customWidth="1"/>
    <col min="27" max="27" width="11.42578125" style="178"/>
    <col min="28" max="28" width="13.42578125" style="20" customWidth="1"/>
    <col min="29" max="16384" width="11.42578125" style="20"/>
  </cols>
  <sheetData>
    <row r="1" spans="1:28">
      <c r="C1" s="1488" t="s">
        <v>111</v>
      </c>
      <c r="D1" s="1488"/>
      <c r="E1" s="1488"/>
      <c r="I1" s="1489" t="s">
        <v>112</v>
      </c>
      <c r="J1" s="1489"/>
      <c r="K1" s="1489"/>
      <c r="L1" s="1489"/>
      <c r="M1" s="1489"/>
      <c r="N1" s="1489"/>
      <c r="O1" s="1489"/>
    </row>
    <row r="2" spans="1:28" ht="16.5">
      <c r="C2" s="1488" t="s">
        <v>113</v>
      </c>
      <c r="D2" s="1488"/>
      <c r="E2" s="1488"/>
      <c r="I2" s="1490" t="s">
        <v>114</v>
      </c>
      <c r="J2" s="1490"/>
      <c r="K2" s="1490"/>
      <c r="L2" s="1490"/>
      <c r="M2" s="1490"/>
      <c r="N2" s="1490"/>
      <c r="O2" s="1490"/>
    </row>
    <row r="3" spans="1:28" ht="16.5">
      <c r="C3" s="1490" t="s">
        <v>115</v>
      </c>
      <c r="D3" s="1490"/>
      <c r="E3" s="1490"/>
    </row>
    <row r="4" spans="1:28" ht="16.5">
      <c r="C4" s="1490" t="s">
        <v>116</v>
      </c>
      <c r="D4" s="1490"/>
      <c r="E4" s="1490"/>
    </row>
    <row r="5" spans="1:28" ht="16.5">
      <c r="C5" s="123"/>
      <c r="D5" s="123"/>
      <c r="E5" s="123"/>
    </row>
    <row r="6" spans="1:28" ht="25.5" customHeight="1">
      <c r="E6" s="1491" t="s">
        <v>117</v>
      </c>
      <c r="F6" s="1491"/>
      <c r="G6" s="1491"/>
      <c r="H6" s="1491"/>
      <c r="I6" s="1491"/>
      <c r="J6" s="1491"/>
      <c r="K6" s="1491"/>
      <c r="L6" s="1491"/>
      <c r="M6" s="1491"/>
      <c r="N6" s="124"/>
    </row>
    <row r="7" spans="1:28" ht="18.75">
      <c r="E7" s="1492" t="s">
        <v>407</v>
      </c>
      <c r="F7" s="1492"/>
      <c r="G7" s="1492"/>
      <c r="H7" s="1492"/>
      <c r="I7" s="1492"/>
      <c r="J7" s="1492"/>
      <c r="K7" s="1492"/>
      <c r="L7" s="1492"/>
      <c r="M7" s="1492"/>
      <c r="N7" s="125"/>
    </row>
    <row r="9" spans="1:28" ht="47.25">
      <c r="A9" s="40" t="s">
        <v>118</v>
      </c>
      <c r="B9" s="40" t="s">
        <v>119</v>
      </c>
      <c r="C9" s="41" t="s">
        <v>120</v>
      </c>
      <c r="D9" s="41" t="s">
        <v>121</v>
      </c>
      <c r="E9" s="41" t="s">
        <v>122</v>
      </c>
      <c r="F9" s="41" t="s">
        <v>123</v>
      </c>
      <c r="G9" s="42" t="s">
        <v>124</v>
      </c>
      <c r="H9" s="42" t="s">
        <v>125</v>
      </c>
      <c r="I9" s="42" t="s">
        <v>126</v>
      </c>
      <c r="J9" s="42" t="s">
        <v>208</v>
      </c>
      <c r="K9" s="42" t="s">
        <v>127</v>
      </c>
      <c r="L9" s="42" t="s">
        <v>128</v>
      </c>
      <c r="M9" s="42" t="s">
        <v>129</v>
      </c>
      <c r="N9" s="42" t="s">
        <v>130</v>
      </c>
      <c r="O9" s="42" t="s">
        <v>140</v>
      </c>
      <c r="P9" s="42" t="s">
        <v>131</v>
      </c>
      <c r="Q9" s="43" t="s">
        <v>172</v>
      </c>
      <c r="R9" s="60" t="s">
        <v>173</v>
      </c>
      <c r="U9" s="28">
        <f>SUM(U10:U84)</f>
        <v>172740923</v>
      </c>
    </row>
    <row r="10" spans="1:28" ht="18" customHeight="1">
      <c r="A10" s="15" t="s">
        <v>174</v>
      </c>
      <c r="B10" s="45" t="s">
        <v>167</v>
      </c>
      <c r="C10" s="46">
        <v>1</v>
      </c>
      <c r="D10" s="47" t="s">
        <v>145</v>
      </c>
      <c r="E10" s="48">
        <v>196</v>
      </c>
      <c r="F10" s="49">
        <v>1</v>
      </c>
      <c r="G10" s="50">
        <v>23.5</v>
      </c>
      <c r="H10" s="16">
        <v>4293579</v>
      </c>
      <c r="I10" s="16">
        <v>0</v>
      </c>
      <c r="J10" s="16">
        <v>0</v>
      </c>
      <c r="K10" s="16">
        <v>4293579</v>
      </c>
      <c r="L10" s="16">
        <v>2000000</v>
      </c>
      <c r="M10" s="16">
        <v>467376</v>
      </c>
      <c r="N10" s="16">
        <v>44512</v>
      </c>
      <c r="O10" s="16">
        <v>191310</v>
      </c>
      <c r="P10" s="16">
        <v>1590381</v>
      </c>
      <c r="Q10" s="44">
        <v>4294624</v>
      </c>
      <c r="R10" s="61">
        <v>-1045</v>
      </c>
      <c r="S10" s="20" t="s">
        <v>167</v>
      </c>
      <c r="T10" s="28">
        <v>3988188</v>
      </c>
      <c r="U10" s="28">
        <v>-305391</v>
      </c>
      <c r="V10" s="20" t="s">
        <v>167</v>
      </c>
      <c r="W10" s="20" t="s">
        <v>167</v>
      </c>
      <c r="X10" s="20">
        <f>IFERROR(VLOOKUP(B10,'DSOAT-T1.2025'!$B$11:$BH$76,64,0),0)</f>
        <v>0</v>
      </c>
      <c r="Y10" s="178">
        <f>IFERROR(VLOOKUP(B10,'DSOAT-T1.2025'!$B$11:$AQ$76,53,0),0)</f>
        <v>0</v>
      </c>
      <c r="Z10" s="28">
        <f>Y10-M10</f>
        <v>-467376</v>
      </c>
      <c r="AA10" s="178">
        <f>IFERROR(VLOOKUP(B10,'DSOAT-T1.2025'!$B$11:$AS$76,55,0),0)</f>
        <v>0</v>
      </c>
      <c r="AB10" s="28">
        <f>AA10-O10</f>
        <v>-191310</v>
      </c>
    </row>
    <row r="11" spans="1:28" ht="18" customHeight="1">
      <c r="A11" s="15" t="s">
        <v>175</v>
      </c>
      <c r="B11" s="45" t="s">
        <v>13</v>
      </c>
      <c r="C11" s="46">
        <v>2</v>
      </c>
      <c r="D11" s="47" t="s">
        <v>14</v>
      </c>
      <c r="E11" s="48">
        <v>489</v>
      </c>
      <c r="F11" s="49">
        <v>0.96</v>
      </c>
      <c r="G11" s="50">
        <v>23.5</v>
      </c>
      <c r="H11" s="16">
        <v>10283559</v>
      </c>
      <c r="I11" s="16">
        <v>0</v>
      </c>
      <c r="J11" s="16">
        <v>0</v>
      </c>
      <c r="K11" s="16">
        <v>10283559</v>
      </c>
      <c r="L11" s="16">
        <v>2000000</v>
      </c>
      <c r="M11" s="16">
        <v>467376</v>
      </c>
      <c r="N11" s="16">
        <v>44512</v>
      </c>
      <c r="O11" s="16">
        <v>872427</v>
      </c>
      <c r="P11" s="16">
        <v>6899244</v>
      </c>
      <c r="Q11" s="44">
        <v>10321779</v>
      </c>
      <c r="R11" s="61">
        <v>-38220</v>
      </c>
      <c r="S11" s="20" t="s">
        <v>13</v>
      </c>
      <c r="T11" s="28">
        <v>8372993</v>
      </c>
      <c r="U11" s="28">
        <v>-1910566</v>
      </c>
      <c r="V11" s="20" t="s">
        <v>13</v>
      </c>
      <c r="W11" s="20" t="s">
        <v>13</v>
      </c>
      <c r="X11" s="20">
        <f>IFERROR(VLOOKUP(B11,'DSOAT-T1.2025'!$B$11:$BH$76,64,0),0)</f>
        <v>0</v>
      </c>
      <c r="Y11" s="178">
        <f>IFERROR(VLOOKUP(B11,'DSOAT-T1.2025'!$B$11:$AQ$76,53,0),0)</f>
        <v>0</v>
      </c>
      <c r="Z11" s="28">
        <f t="shared" ref="Z11:Z74" si="0">Y11-M11</f>
        <v>-467376</v>
      </c>
      <c r="AA11" s="178">
        <f>IFERROR(VLOOKUP(B11,'DSOAT-T1.2025'!$B$11:$AS$76,55,0),0)</f>
        <v>0</v>
      </c>
      <c r="AB11" s="28">
        <f t="shared" ref="AB11:AB74" si="1">AA11-O11</f>
        <v>-872427</v>
      </c>
    </row>
    <row r="12" spans="1:28" ht="18" customHeight="1">
      <c r="A12" s="15" t="s">
        <v>183</v>
      </c>
      <c r="B12" s="45" t="s">
        <v>103</v>
      </c>
      <c r="C12" s="46">
        <v>3</v>
      </c>
      <c r="D12" s="47" t="s">
        <v>104</v>
      </c>
      <c r="E12" s="48">
        <v>570</v>
      </c>
      <c r="F12" s="49">
        <v>1</v>
      </c>
      <c r="G12" s="50">
        <v>23.5</v>
      </c>
      <c r="H12" s="16">
        <v>12467266</v>
      </c>
      <c r="I12" s="16">
        <v>0</v>
      </c>
      <c r="J12" s="16">
        <v>0</v>
      </c>
      <c r="K12" s="16">
        <v>12467266</v>
      </c>
      <c r="L12" s="16">
        <v>2000000</v>
      </c>
      <c r="M12" s="16">
        <v>467376</v>
      </c>
      <c r="N12" s="16">
        <v>44512</v>
      </c>
      <c r="O12" s="16">
        <v>1199984</v>
      </c>
      <c r="P12" s="16">
        <v>8755394</v>
      </c>
      <c r="Q12" s="44">
        <v>12477541</v>
      </c>
      <c r="R12" s="61">
        <v>-10275</v>
      </c>
      <c r="S12" s="20" t="s">
        <v>103</v>
      </c>
      <c r="T12" s="28">
        <v>9056502</v>
      </c>
      <c r="U12" s="28">
        <v>-3410764</v>
      </c>
      <c r="V12" s="20" t="s">
        <v>103</v>
      </c>
      <c r="W12" s="20">
        <v>0</v>
      </c>
      <c r="X12" s="20">
        <f>IFERROR(VLOOKUP(B12,'DSOAT-T1.2025'!$B$11:$BH$76,64,0),0)</f>
        <v>0</v>
      </c>
      <c r="Y12" s="178">
        <f>IFERROR(VLOOKUP(B12,'DSOAT-T1.2025'!$B$11:$AQ$76,53,0),0)</f>
        <v>0</v>
      </c>
      <c r="Z12" s="28">
        <f t="shared" si="0"/>
        <v>-467376</v>
      </c>
      <c r="AA12" s="178">
        <f>IFERROR(VLOOKUP(B12,'DSOAT-T1.2025'!$B$11:$AS$76,55,0),0)</f>
        <v>0</v>
      </c>
      <c r="AB12" s="28">
        <f t="shared" si="1"/>
        <v>-1199984</v>
      </c>
    </row>
    <row r="13" spans="1:28" ht="18" customHeight="1">
      <c r="A13" s="15" t="s">
        <v>175</v>
      </c>
      <c r="B13" s="45" t="s">
        <v>21</v>
      </c>
      <c r="C13" s="46">
        <v>4</v>
      </c>
      <c r="D13" s="47" t="s">
        <v>22</v>
      </c>
      <c r="E13" s="48">
        <v>290</v>
      </c>
      <c r="F13" s="49">
        <v>1.05</v>
      </c>
      <c r="G13" s="50">
        <v>23.5</v>
      </c>
      <c r="H13" s="16">
        <v>6670381</v>
      </c>
      <c r="I13" s="16">
        <v>0</v>
      </c>
      <c r="J13" s="16">
        <v>0</v>
      </c>
      <c r="K13" s="16">
        <v>6670381</v>
      </c>
      <c r="L13" s="16">
        <v>2000000</v>
      </c>
      <c r="M13" s="16">
        <v>467376</v>
      </c>
      <c r="N13" s="16">
        <v>44512</v>
      </c>
      <c r="O13" s="16">
        <v>470301</v>
      </c>
      <c r="P13" s="16">
        <v>3688192</v>
      </c>
      <c r="Q13" s="44">
        <v>6396653</v>
      </c>
      <c r="R13" s="61">
        <v>273728</v>
      </c>
      <c r="S13" s="20" t="s">
        <v>21</v>
      </c>
      <c r="T13" s="28">
        <v>5370932</v>
      </c>
      <c r="U13" s="28">
        <v>-1299449</v>
      </c>
      <c r="V13" s="20" t="s">
        <v>21</v>
      </c>
      <c r="W13" s="20" t="s">
        <v>21</v>
      </c>
      <c r="X13" s="20">
        <f>IFERROR(VLOOKUP(B13,'DSOAT-T1.2025'!$B$11:$BH$76,64,0),0)</f>
        <v>0</v>
      </c>
      <c r="Y13" s="178">
        <f>IFERROR(VLOOKUP(B13,'DSOAT-T1.2025'!$B$11:$AQ$76,53,0),0)</f>
        <v>0</v>
      </c>
      <c r="Z13" s="28">
        <f t="shared" si="0"/>
        <v>-467376</v>
      </c>
      <c r="AA13" s="178">
        <f>IFERROR(VLOOKUP(B13,'DSOAT-T1.2025'!$B$11:$AS$76,55,0),0)</f>
        <v>0</v>
      </c>
      <c r="AB13" s="28">
        <f t="shared" si="1"/>
        <v>-470301</v>
      </c>
    </row>
    <row r="14" spans="1:28" ht="18" customHeight="1">
      <c r="A14" s="15" t="s">
        <v>176</v>
      </c>
      <c r="B14" s="45" t="s">
        <v>16</v>
      </c>
      <c r="C14" s="46">
        <v>5</v>
      </c>
      <c r="D14" s="47" t="s">
        <v>17</v>
      </c>
      <c r="E14" s="48">
        <v>379</v>
      </c>
      <c r="F14" s="49">
        <v>1.1100000000000001</v>
      </c>
      <c r="G14" s="50">
        <v>23.5</v>
      </c>
      <c r="H14" s="16">
        <v>9215641</v>
      </c>
      <c r="I14" s="16">
        <v>1613</v>
      </c>
      <c r="J14" s="16">
        <v>0</v>
      </c>
      <c r="K14" s="16">
        <v>9217254</v>
      </c>
      <c r="L14" s="16">
        <v>2000000</v>
      </c>
      <c r="M14" s="16">
        <v>467376</v>
      </c>
      <c r="N14" s="16">
        <v>44512</v>
      </c>
      <c r="O14" s="16">
        <v>724988</v>
      </c>
      <c r="P14" s="16">
        <v>5980378</v>
      </c>
      <c r="Q14" s="44">
        <v>9584782</v>
      </c>
      <c r="R14" s="61">
        <v>-367528</v>
      </c>
      <c r="S14" s="20" t="s">
        <v>16</v>
      </c>
      <c r="T14" s="28">
        <v>5957995</v>
      </c>
      <c r="U14" s="28">
        <v>-3259259</v>
      </c>
      <c r="V14" s="20" t="s">
        <v>16</v>
      </c>
      <c r="W14" s="20" t="s">
        <v>16</v>
      </c>
      <c r="X14" s="20">
        <f>IFERROR(VLOOKUP(B14,'DSOAT-T1.2025'!$B$11:$BH$76,64,0),0)</f>
        <v>0</v>
      </c>
      <c r="Y14" s="178">
        <f>IFERROR(VLOOKUP(B14,'DSOAT-T1.2025'!$B$11:$AQ$76,53,0),0)</f>
        <v>0</v>
      </c>
      <c r="Z14" s="28">
        <f t="shared" si="0"/>
        <v>-467376</v>
      </c>
      <c r="AA14" s="178">
        <f>IFERROR(VLOOKUP(B14,'DSOAT-T1.2025'!$B$11:$AS$76,55,0),0)</f>
        <v>0</v>
      </c>
      <c r="AB14" s="28">
        <f t="shared" si="1"/>
        <v>-724988</v>
      </c>
    </row>
    <row r="15" spans="1:28" ht="18" customHeight="1">
      <c r="A15" s="15" t="s">
        <v>176</v>
      </c>
      <c r="B15" s="45" t="s">
        <v>157</v>
      </c>
      <c r="C15" s="46">
        <v>6</v>
      </c>
      <c r="D15" s="47" t="s">
        <v>144</v>
      </c>
      <c r="E15" s="48">
        <v>379</v>
      </c>
      <c r="F15" s="49">
        <v>1.22</v>
      </c>
      <c r="G15" s="50">
        <v>23.5</v>
      </c>
      <c r="H15" s="16">
        <v>10128903</v>
      </c>
      <c r="I15" s="16">
        <v>29872</v>
      </c>
      <c r="J15" s="16">
        <v>0</v>
      </c>
      <c r="K15" s="16">
        <v>10158775</v>
      </c>
      <c r="L15" s="16">
        <v>2000000</v>
      </c>
      <c r="M15" s="16">
        <v>467376</v>
      </c>
      <c r="N15" s="16">
        <v>44512</v>
      </c>
      <c r="O15" s="16">
        <v>853710</v>
      </c>
      <c r="P15" s="16">
        <v>6793177</v>
      </c>
      <c r="Q15" s="44">
        <v>9680613</v>
      </c>
      <c r="R15" s="61">
        <v>478162</v>
      </c>
      <c r="S15" s="20" t="s">
        <v>157</v>
      </c>
      <c r="T15" s="28">
        <v>8981838</v>
      </c>
      <c r="U15" s="28">
        <v>-1176937</v>
      </c>
      <c r="V15" s="20" t="s">
        <v>157</v>
      </c>
      <c r="W15" s="20" t="s">
        <v>157</v>
      </c>
      <c r="X15" s="20">
        <f>IFERROR(VLOOKUP(B15,'DSOAT-T1.2025'!$B$11:$BH$76,64,0),0)</f>
        <v>0</v>
      </c>
      <c r="Y15" s="178">
        <f>IFERROR(VLOOKUP(B15,'DSOAT-T1.2025'!$B$11:$AQ$76,53,0),0)</f>
        <v>0</v>
      </c>
      <c r="Z15" s="28">
        <f t="shared" si="0"/>
        <v>-467376</v>
      </c>
      <c r="AA15" s="178">
        <f>IFERROR(VLOOKUP(B15,'DSOAT-T1.2025'!$B$11:$AS$76,55,0),0)</f>
        <v>0</v>
      </c>
      <c r="AB15" s="28">
        <f t="shared" si="1"/>
        <v>-853710</v>
      </c>
    </row>
    <row r="16" spans="1:28" ht="18" customHeight="1">
      <c r="A16" s="15" t="s">
        <v>177</v>
      </c>
      <c r="B16" s="45" t="s">
        <v>107</v>
      </c>
      <c r="C16" s="46">
        <v>7</v>
      </c>
      <c r="D16" s="47" t="s">
        <v>108</v>
      </c>
      <c r="E16" s="48">
        <v>543</v>
      </c>
      <c r="F16" s="49">
        <v>0.99</v>
      </c>
      <c r="G16" s="50">
        <v>23.5</v>
      </c>
      <c r="H16" s="16">
        <v>11776016</v>
      </c>
      <c r="I16" s="16">
        <v>62731</v>
      </c>
      <c r="J16" s="16">
        <v>0</v>
      </c>
      <c r="K16" s="16">
        <v>11838747</v>
      </c>
      <c r="L16" s="16">
        <v>2000000</v>
      </c>
      <c r="M16" s="16">
        <v>467376</v>
      </c>
      <c r="N16" s="16">
        <v>44512</v>
      </c>
      <c r="O16" s="16">
        <v>1109693</v>
      </c>
      <c r="P16" s="16">
        <v>8217166</v>
      </c>
      <c r="Q16" s="44">
        <v>11897862</v>
      </c>
      <c r="R16" s="61">
        <v>-59115</v>
      </c>
      <c r="S16" s="20" t="s">
        <v>107</v>
      </c>
      <c r="T16" s="28">
        <v>9297618</v>
      </c>
      <c r="U16" s="28">
        <v>-2541129</v>
      </c>
      <c r="V16" s="20" t="s">
        <v>107</v>
      </c>
      <c r="W16" s="20" t="s">
        <v>107</v>
      </c>
      <c r="X16" s="20">
        <f>IFERROR(VLOOKUP(B16,'DSOAT-T1.2025'!$B$11:$BH$76,64,0),0)</f>
        <v>0</v>
      </c>
      <c r="Y16" s="178">
        <f>IFERROR(VLOOKUP(B16,'DSOAT-T1.2025'!$B$11:$AQ$76,53,0),0)</f>
        <v>0</v>
      </c>
      <c r="Z16" s="28">
        <f t="shared" si="0"/>
        <v>-467376</v>
      </c>
      <c r="AA16" s="178">
        <f>IFERROR(VLOOKUP(B16,'DSOAT-T1.2025'!$B$11:$AS$76,55,0),0)</f>
        <v>0</v>
      </c>
      <c r="AB16" s="28">
        <f t="shared" si="1"/>
        <v>-1109693</v>
      </c>
    </row>
    <row r="17" spans="1:28" ht="18" customHeight="1">
      <c r="A17" s="15" t="s">
        <v>178</v>
      </c>
      <c r="B17" s="45" t="s">
        <v>36</v>
      </c>
      <c r="C17" s="46">
        <v>8</v>
      </c>
      <c r="D17" s="47" t="s">
        <v>37</v>
      </c>
      <c r="E17" s="48">
        <v>489</v>
      </c>
      <c r="F17" s="49">
        <v>1</v>
      </c>
      <c r="G17" s="50">
        <v>23.5</v>
      </c>
      <c r="H17" s="16">
        <v>10685942</v>
      </c>
      <c r="I17" s="16">
        <v>9933</v>
      </c>
      <c r="J17" s="16">
        <v>0</v>
      </c>
      <c r="K17" s="16">
        <v>10695875</v>
      </c>
      <c r="L17" s="16">
        <v>2000000</v>
      </c>
      <c r="M17" s="16">
        <v>467376</v>
      </c>
      <c r="N17" s="16">
        <v>44512</v>
      </c>
      <c r="O17" s="16">
        <v>934275</v>
      </c>
      <c r="P17" s="16">
        <v>7249712</v>
      </c>
      <c r="Q17" s="44">
        <v>10683779</v>
      </c>
      <c r="R17" s="61">
        <v>12096</v>
      </c>
      <c r="S17" s="20" t="s">
        <v>36</v>
      </c>
      <c r="T17" s="28">
        <v>8297924</v>
      </c>
      <c r="U17" s="28">
        <v>-2397951</v>
      </c>
      <c r="V17" s="20" t="s">
        <v>36</v>
      </c>
      <c r="W17" s="20">
        <v>0</v>
      </c>
      <c r="X17" s="20">
        <f>IFERROR(VLOOKUP(B17,'DSOAT-T1.2025'!$B$11:$BH$76,64,0),0)</f>
        <v>0</v>
      </c>
      <c r="Y17" s="178">
        <f>IFERROR(VLOOKUP(B17,'DSOAT-T1.2025'!$B$11:$AQ$76,53,0),0)</f>
        <v>0</v>
      </c>
      <c r="Z17" s="28">
        <f t="shared" si="0"/>
        <v>-467376</v>
      </c>
      <c r="AA17" s="178">
        <f>IFERROR(VLOOKUP(B17,'DSOAT-T1.2025'!$B$11:$AS$76,55,0),0)</f>
        <v>0</v>
      </c>
      <c r="AB17" s="28">
        <f t="shared" si="1"/>
        <v>-934275</v>
      </c>
    </row>
    <row r="18" spans="1:28" ht="18" customHeight="1">
      <c r="A18" s="15" t="s">
        <v>189</v>
      </c>
      <c r="B18" s="45" t="s">
        <v>156</v>
      </c>
      <c r="C18" s="46">
        <v>9</v>
      </c>
      <c r="D18" s="47" t="s">
        <v>143</v>
      </c>
      <c r="E18" s="48">
        <v>355</v>
      </c>
      <c r="F18" s="49">
        <v>1.32</v>
      </c>
      <c r="G18" s="50">
        <v>23.5</v>
      </c>
      <c r="H18" s="16">
        <v>3844768</v>
      </c>
      <c r="I18" s="16">
        <v>7252933</v>
      </c>
      <c r="J18" s="16">
        <v>0</v>
      </c>
      <c r="K18" s="16">
        <v>11097701</v>
      </c>
      <c r="L18" s="16">
        <v>2000000</v>
      </c>
      <c r="M18" s="16">
        <v>467376</v>
      </c>
      <c r="N18" s="16">
        <v>44512</v>
      </c>
      <c r="O18" s="16">
        <v>994549</v>
      </c>
      <c r="P18" s="16">
        <v>7591264</v>
      </c>
      <c r="Q18" s="44">
        <v>9380194</v>
      </c>
      <c r="R18" s="61">
        <v>1717507</v>
      </c>
      <c r="S18" s="20" t="s">
        <v>156</v>
      </c>
      <c r="T18" s="28">
        <v>7738386</v>
      </c>
      <c r="U18" s="28">
        <v>-3359315</v>
      </c>
      <c r="V18" s="20" t="s">
        <v>156</v>
      </c>
      <c r="W18" s="20" t="s">
        <v>156</v>
      </c>
      <c r="X18" s="20">
        <f>IFERROR(VLOOKUP(B18,'DSOAT-T1.2025'!$B$11:$BH$76,64,0),0)</f>
        <v>0</v>
      </c>
      <c r="Y18" s="178">
        <f>IFERROR(VLOOKUP(B18,'DSOAT-T1.2025'!$B$11:$AQ$76,53,0),0)</f>
        <v>0</v>
      </c>
      <c r="Z18" s="28">
        <f t="shared" si="0"/>
        <v>-467376</v>
      </c>
      <c r="AA18" s="178">
        <f>IFERROR(VLOOKUP(B18,'DSOAT-T1.2025'!$B$11:$AS$76,55,0),0)</f>
        <v>0</v>
      </c>
      <c r="AB18" s="28">
        <f t="shared" si="1"/>
        <v>-994549</v>
      </c>
    </row>
    <row r="19" spans="1:28" ht="18" customHeight="1">
      <c r="A19" s="15" t="s">
        <v>189</v>
      </c>
      <c r="B19" s="45" t="s">
        <v>155</v>
      </c>
      <c r="C19" s="46">
        <v>10</v>
      </c>
      <c r="D19" s="47" t="s">
        <v>142</v>
      </c>
      <c r="E19" s="48">
        <v>366</v>
      </c>
      <c r="F19" s="49">
        <v>1.33</v>
      </c>
      <c r="G19" s="50">
        <v>23.5</v>
      </c>
      <c r="H19" s="16">
        <v>3993932</v>
      </c>
      <c r="I19" s="16">
        <v>7287577</v>
      </c>
      <c r="J19" s="16">
        <v>0</v>
      </c>
      <c r="K19" s="16">
        <v>11281509</v>
      </c>
      <c r="L19" s="16">
        <v>2000000</v>
      </c>
      <c r="M19" s="16">
        <v>467376</v>
      </c>
      <c r="N19" s="16">
        <v>44512</v>
      </c>
      <c r="O19" s="16">
        <v>1022120</v>
      </c>
      <c r="P19" s="16">
        <v>7747501</v>
      </c>
      <c r="Q19" s="44">
        <v>11191236</v>
      </c>
      <c r="R19" s="61">
        <v>90273</v>
      </c>
      <c r="S19" s="20" t="s">
        <v>155</v>
      </c>
      <c r="T19" s="28">
        <v>7538592</v>
      </c>
      <c r="U19" s="28">
        <v>-3742917</v>
      </c>
      <c r="V19" s="20" t="s">
        <v>155</v>
      </c>
      <c r="W19" s="20" t="s">
        <v>155</v>
      </c>
      <c r="X19" s="20">
        <f>IFERROR(VLOOKUP(B19,'DSOAT-T1.2025'!$B$11:$BH$76,64,0),0)</f>
        <v>0</v>
      </c>
      <c r="Y19" s="178">
        <f>IFERROR(VLOOKUP(B19,'DSOAT-T1.2025'!$B$11:$AQ$76,53,0),0)</f>
        <v>0</v>
      </c>
      <c r="Z19" s="28">
        <f t="shared" si="0"/>
        <v>-467376</v>
      </c>
      <c r="AA19" s="178">
        <f>IFERROR(VLOOKUP(B19,'DSOAT-T1.2025'!$B$11:$AS$76,55,0),0)</f>
        <v>0</v>
      </c>
      <c r="AB19" s="28">
        <f t="shared" si="1"/>
        <v>-1022120</v>
      </c>
    </row>
    <row r="20" spans="1:28" ht="18" customHeight="1">
      <c r="A20" s="15" t="s">
        <v>178</v>
      </c>
      <c r="B20" s="45" t="s">
        <v>34</v>
      </c>
      <c r="C20" s="46">
        <v>11</v>
      </c>
      <c r="D20" s="47" t="s">
        <v>35</v>
      </c>
      <c r="E20" s="48">
        <v>438</v>
      </c>
      <c r="F20" s="49">
        <v>1.1200000000000001</v>
      </c>
      <c r="G20" s="50">
        <v>23.5</v>
      </c>
      <c r="H20" s="16">
        <v>10720032</v>
      </c>
      <c r="I20" s="16">
        <v>2258993</v>
      </c>
      <c r="J20" s="16">
        <v>0</v>
      </c>
      <c r="K20" s="16">
        <v>12979025</v>
      </c>
      <c r="L20" s="16">
        <v>2000000</v>
      </c>
      <c r="M20" s="16">
        <v>467376</v>
      </c>
      <c r="N20" s="16">
        <v>44512</v>
      </c>
      <c r="O20" s="16">
        <v>1287997</v>
      </c>
      <c r="P20" s="16">
        <v>9179140</v>
      </c>
      <c r="Q20" s="44">
        <v>11952495</v>
      </c>
      <c r="R20" s="61">
        <v>1026530</v>
      </c>
      <c r="S20" s="20" t="s">
        <v>34</v>
      </c>
      <c r="T20" s="28">
        <v>7399021</v>
      </c>
      <c r="U20" s="28">
        <v>-5580004</v>
      </c>
      <c r="V20" s="20" t="s">
        <v>34</v>
      </c>
      <c r="W20" s="20" t="s">
        <v>34</v>
      </c>
      <c r="X20" s="20">
        <f>IFERROR(VLOOKUP(B20,'DSOAT-T1.2025'!$B$11:$BH$76,64,0),0)</f>
        <v>0</v>
      </c>
      <c r="Y20" s="178">
        <f>IFERROR(VLOOKUP(B20,'DSOAT-T1.2025'!$B$11:$AQ$76,53,0),0)</f>
        <v>0</v>
      </c>
      <c r="Z20" s="28">
        <f t="shared" si="0"/>
        <v>-467376</v>
      </c>
      <c r="AA20" s="178">
        <f>IFERROR(VLOOKUP(B20,'DSOAT-T1.2025'!$B$11:$AS$76,55,0),0)</f>
        <v>0</v>
      </c>
      <c r="AB20" s="28">
        <f t="shared" si="1"/>
        <v>-1287997</v>
      </c>
    </row>
    <row r="21" spans="1:28" ht="18" customHeight="1">
      <c r="A21" s="15" t="s">
        <v>178</v>
      </c>
      <c r="B21" s="45" t="s">
        <v>38</v>
      </c>
      <c r="C21" s="46">
        <v>12</v>
      </c>
      <c r="D21" s="47" t="s">
        <v>39</v>
      </c>
      <c r="E21" s="48">
        <v>418</v>
      </c>
      <c r="F21" s="49">
        <v>1.28</v>
      </c>
      <c r="G21" s="50">
        <v>27</v>
      </c>
      <c r="H21" s="16">
        <v>4379200</v>
      </c>
      <c r="I21" s="16">
        <v>9183254</v>
      </c>
      <c r="J21" s="16">
        <v>0</v>
      </c>
      <c r="K21" s="16">
        <v>13562454</v>
      </c>
      <c r="L21" s="16">
        <v>2000000</v>
      </c>
      <c r="M21" s="16">
        <v>467376</v>
      </c>
      <c r="N21" s="16">
        <v>44512</v>
      </c>
      <c r="O21" s="16">
        <v>2782666</v>
      </c>
      <c r="P21" s="16">
        <v>8267900</v>
      </c>
      <c r="Q21" s="44">
        <v>14811560</v>
      </c>
      <c r="R21" s="61">
        <v>-1249106</v>
      </c>
      <c r="S21" s="20" t="s">
        <v>38</v>
      </c>
      <c r="T21" s="28">
        <v>15180519</v>
      </c>
      <c r="U21" s="28">
        <v>1618065</v>
      </c>
      <c r="V21" s="20" t="s">
        <v>38</v>
      </c>
      <c r="W21" s="20" t="s">
        <v>38</v>
      </c>
      <c r="X21" s="20">
        <f>IFERROR(VLOOKUP(B21,'DSOAT-T1.2025'!$B$11:$BH$76,64,0),0)</f>
        <v>0</v>
      </c>
      <c r="Y21" s="178">
        <f>IFERROR(VLOOKUP(B21,'DSOAT-T1.2025'!$B$11:$AQ$76,53,0),0)</f>
        <v>0</v>
      </c>
      <c r="Z21" s="28">
        <f t="shared" si="0"/>
        <v>-467376</v>
      </c>
      <c r="AA21" s="178">
        <f>IFERROR(VLOOKUP(B21,'DSOAT-T1.2025'!$B$11:$AS$76,55,0),0)</f>
        <v>0</v>
      </c>
      <c r="AB21" s="28">
        <f t="shared" si="1"/>
        <v>-2782666</v>
      </c>
    </row>
    <row r="22" spans="1:28" ht="18" customHeight="1">
      <c r="A22" s="15" t="s">
        <v>178</v>
      </c>
      <c r="B22" s="45" t="s">
        <v>24</v>
      </c>
      <c r="C22" s="46">
        <v>13</v>
      </c>
      <c r="D22" s="47" t="s">
        <v>25</v>
      </c>
      <c r="E22" s="48">
        <v>394</v>
      </c>
      <c r="F22" s="49">
        <v>1.1200000000000001</v>
      </c>
      <c r="G22" s="50">
        <v>23.5</v>
      </c>
      <c r="H22" s="16">
        <v>9643134</v>
      </c>
      <c r="I22" s="16">
        <v>1517635</v>
      </c>
      <c r="J22" s="16">
        <v>0</v>
      </c>
      <c r="K22" s="16">
        <v>11160769</v>
      </c>
      <c r="L22" s="16">
        <v>2000000</v>
      </c>
      <c r="M22" s="16">
        <v>467376</v>
      </c>
      <c r="N22" s="16">
        <v>44512</v>
      </c>
      <c r="O22" s="16">
        <v>1085759</v>
      </c>
      <c r="P22" s="16">
        <v>7563122</v>
      </c>
      <c r="Q22" s="44">
        <v>10785863</v>
      </c>
      <c r="R22" s="61">
        <v>374906</v>
      </c>
      <c r="S22" s="20" t="s">
        <v>24</v>
      </c>
      <c r="T22" s="28">
        <v>9266667</v>
      </c>
      <c r="U22" s="28">
        <v>-1894102</v>
      </c>
      <c r="V22" s="20" t="s">
        <v>24</v>
      </c>
      <c r="W22" s="20" t="s">
        <v>24</v>
      </c>
      <c r="X22" s="20">
        <f>IFERROR(VLOOKUP(B22,'DSOAT-T1.2025'!$B$11:$BH$76,64,0),0)</f>
        <v>0</v>
      </c>
      <c r="Y22" s="178">
        <f>IFERROR(VLOOKUP(B22,'DSOAT-T1.2025'!$B$11:$AQ$76,53,0),0)</f>
        <v>0</v>
      </c>
      <c r="Z22" s="28">
        <f t="shared" si="0"/>
        <v>-467376</v>
      </c>
      <c r="AA22" s="178">
        <f>IFERROR(VLOOKUP(B22,'DSOAT-T1.2025'!$B$11:$AS$76,55,0),0)</f>
        <v>0</v>
      </c>
      <c r="AB22" s="28">
        <f t="shared" si="1"/>
        <v>-1085759</v>
      </c>
    </row>
    <row r="23" spans="1:28" ht="18" customHeight="1">
      <c r="A23" s="15" t="s">
        <v>183</v>
      </c>
      <c r="B23" s="45" t="s">
        <v>26</v>
      </c>
      <c r="C23" s="46">
        <v>14</v>
      </c>
      <c r="D23" s="47" t="s">
        <v>27</v>
      </c>
      <c r="E23" s="48">
        <v>418</v>
      </c>
      <c r="F23" s="49">
        <v>1.33</v>
      </c>
      <c r="G23" s="50">
        <v>29</v>
      </c>
      <c r="H23" s="16">
        <v>4554375</v>
      </c>
      <c r="I23" s="16">
        <v>2896578</v>
      </c>
      <c r="J23" s="16">
        <v>0</v>
      </c>
      <c r="K23" s="16">
        <v>7450953</v>
      </c>
      <c r="L23" s="16">
        <v>2000000</v>
      </c>
      <c r="M23" s="16">
        <v>467376</v>
      </c>
      <c r="N23" s="16">
        <v>44512</v>
      </c>
      <c r="O23" s="16">
        <v>699145</v>
      </c>
      <c r="P23" s="16">
        <v>4239920</v>
      </c>
      <c r="Q23" s="44">
        <v>6708098</v>
      </c>
      <c r="R23" s="61">
        <v>742855</v>
      </c>
      <c r="S23" s="20" t="s">
        <v>26</v>
      </c>
      <c r="T23" s="28">
        <v>9882752</v>
      </c>
      <c r="U23" s="28">
        <v>2431799</v>
      </c>
      <c r="V23" s="20" t="s">
        <v>26</v>
      </c>
      <c r="W23" s="20" t="s">
        <v>26</v>
      </c>
      <c r="X23" s="20">
        <f>IFERROR(VLOOKUP(B23,'DSOAT-T1.2025'!$B$11:$BH$76,64,0),0)</f>
        <v>0</v>
      </c>
      <c r="Y23" s="178">
        <f>IFERROR(VLOOKUP(B23,'DSOAT-T1.2025'!$B$11:$AQ$76,53,0),0)</f>
        <v>0</v>
      </c>
      <c r="Z23" s="28">
        <f t="shared" si="0"/>
        <v>-467376</v>
      </c>
      <c r="AA23" s="178">
        <f>IFERROR(VLOOKUP(B23,'DSOAT-T1.2025'!$B$11:$AS$76,55,0),0)</f>
        <v>0</v>
      </c>
      <c r="AB23" s="28">
        <f t="shared" si="1"/>
        <v>-699145</v>
      </c>
    </row>
    <row r="24" spans="1:28" ht="18" customHeight="1">
      <c r="A24" s="15" t="s">
        <v>178</v>
      </c>
      <c r="B24" s="45" t="s">
        <v>28</v>
      </c>
      <c r="C24" s="46">
        <v>15</v>
      </c>
      <c r="D24" s="47" t="s">
        <v>29</v>
      </c>
      <c r="E24" s="48">
        <v>418</v>
      </c>
      <c r="F24" s="49">
        <v>1.33</v>
      </c>
      <c r="G24" s="50">
        <v>27.5</v>
      </c>
      <c r="H24" s="16">
        <v>4550262</v>
      </c>
      <c r="I24" s="16">
        <v>4158962</v>
      </c>
      <c r="J24" s="16">
        <v>0</v>
      </c>
      <c r="K24" s="16">
        <v>8709224</v>
      </c>
      <c r="L24" s="16">
        <v>2000000</v>
      </c>
      <c r="M24" s="16">
        <v>467376</v>
      </c>
      <c r="N24" s="16">
        <v>44512</v>
      </c>
      <c r="O24" s="16">
        <v>1013722</v>
      </c>
      <c r="P24" s="16">
        <v>5183614</v>
      </c>
      <c r="Q24" s="44">
        <v>8239141</v>
      </c>
      <c r="R24" s="61">
        <v>470083</v>
      </c>
      <c r="S24" s="20" t="s">
        <v>28</v>
      </c>
      <c r="T24" s="28">
        <v>8410936</v>
      </c>
      <c r="U24" s="28">
        <v>-298288</v>
      </c>
      <c r="V24" s="20" t="s">
        <v>28</v>
      </c>
      <c r="W24" s="20" t="s">
        <v>28</v>
      </c>
      <c r="X24" s="20">
        <f>IFERROR(VLOOKUP(B24,'DSOAT-T1.2025'!$B$11:$BH$76,64,0),0)</f>
        <v>0</v>
      </c>
      <c r="Y24" s="178">
        <f>IFERROR(VLOOKUP(B24,'DSOAT-T1.2025'!$B$11:$AQ$76,53,0),0)</f>
        <v>0</v>
      </c>
      <c r="Z24" s="28">
        <f t="shared" si="0"/>
        <v>-467376</v>
      </c>
      <c r="AA24" s="178">
        <f>IFERROR(VLOOKUP(B24,'DSOAT-T1.2025'!$B$11:$AS$76,55,0),0)</f>
        <v>0</v>
      </c>
      <c r="AB24" s="28">
        <f t="shared" si="1"/>
        <v>-1013722</v>
      </c>
    </row>
    <row r="25" spans="1:28" ht="18" customHeight="1">
      <c r="A25" s="15" t="s">
        <v>178</v>
      </c>
      <c r="B25" s="45" t="s">
        <v>30</v>
      </c>
      <c r="C25" s="46">
        <v>16</v>
      </c>
      <c r="D25" s="47" t="s">
        <v>31</v>
      </c>
      <c r="E25" s="48">
        <v>418</v>
      </c>
      <c r="F25" s="49">
        <v>1.1200000000000001</v>
      </c>
      <c r="G25" s="50">
        <v>26.5</v>
      </c>
      <c r="H25" s="16">
        <v>3831800</v>
      </c>
      <c r="I25" s="16">
        <v>2777408</v>
      </c>
      <c r="J25" s="16">
        <v>0</v>
      </c>
      <c r="K25" s="16">
        <v>6609208</v>
      </c>
      <c r="L25" s="16">
        <v>2000000</v>
      </c>
      <c r="M25" s="16">
        <v>467376</v>
      </c>
      <c r="N25" s="16">
        <v>44512</v>
      </c>
      <c r="O25" s="16">
        <v>697338</v>
      </c>
      <c r="P25" s="16">
        <v>3399982</v>
      </c>
      <c r="Q25" s="44">
        <v>6826966</v>
      </c>
      <c r="R25" s="61">
        <v>-217758</v>
      </c>
      <c r="S25" s="20" t="s">
        <v>30</v>
      </c>
      <c r="T25" s="28">
        <v>9560145</v>
      </c>
      <c r="U25" s="28">
        <v>2950937</v>
      </c>
      <c r="V25" s="20" t="s">
        <v>30</v>
      </c>
      <c r="W25" s="20" t="s">
        <v>30</v>
      </c>
      <c r="X25" s="20">
        <f>IFERROR(VLOOKUP(B25,'DSOAT-T1.2025'!$B$11:$BH$76,64,0),0)</f>
        <v>0</v>
      </c>
      <c r="Y25" s="178">
        <f>IFERROR(VLOOKUP(B25,'DSOAT-T1.2025'!$B$11:$AQ$76,53,0),0)</f>
        <v>0</v>
      </c>
      <c r="Z25" s="28">
        <f t="shared" si="0"/>
        <v>-467376</v>
      </c>
      <c r="AA25" s="178">
        <f>IFERROR(VLOOKUP(B25,'DSOAT-T1.2025'!$B$11:$AS$76,55,0),0)</f>
        <v>0</v>
      </c>
      <c r="AB25" s="28">
        <f t="shared" si="1"/>
        <v>-697338</v>
      </c>
    </row>
    <row r="26" spans="1:28" ht="18" customHeight="1">
      <c r="A26" s="15" t="s">
        <v>176</v>
      </c>
      <c r="B26" s="45" t="s">
        <v>32</v>
      </c>
      <c r="C26" s="46">
        <v>17</v>
      </c>
      <c r="D26" s="47" t="s">
        <v>33</v>
      </c>
      <c r="E26" s="48">
        <v>379</v>
      </c>
      <c r="F26" s="49">
        <v>1.22</v>
      </c>
      <c r="G26" s="50">
        <v>22.5</v>
      </c>
      <c r="H26" s="16">
        <v>9697886</v>
      </c>
      <c r="I26" s="16">
        <v>0</v>
      </c>
      <c r="J26" s="16">
        <v>0</v>
      </c>
      <c r="K26" s="16">
        <v>9697886</v>
      </c>
      <c r="L26" s="16">
        <v>2000000</v>
      </c>
      <c r="M26" s="16">
        <v>467376</v>
      </c>
      <c r="N26" s="16">
        <v>44512</v>
      </c>
      <c r="O26" s="16">
        <v>787360</v>
      </c>
      <c r="P26" s="16">
        <v>6398638</v>
      </c>
      <c r="Q26" s="44">
        <v>9359144</v>
      </c>
      <c r="R26" s="61">
        <v>338742</v>
      </c>
      <c r="S26" s="20" t="s">
        <v>32</v>
      </c>
      <c r="T26" s="28">
        <v>7026621</v>
      </c>
      <c r="U26" s="28">
        <v>-2671265</v>
      </c>
      <c r="V26" s="20" t="s">
        <v>32</v>
      </c>
      <c r="W26" s="20" t="s">
        <v>32</v>
      </c>
      <c r="X26" s="20">
        <f>IFERROR(VLOOKUP(B26,'DSOAT-T1.2025'!$B$11:$BH$76,64,0),0)</f>
        <v>0</v>
      </c>
      <c r="Y26" s="178">
        <f>IFERROR(VLOOKUP(B26,'DSOAT-T1.2025'!$B$11:$AQ$76,53,0),0)</f>
        <v>0</v>
      </c>
      <c r="Z26" s="28">
        <f t="shared" si="0"/>
        <v>-467376</v>
      </c>
      <c r="AA26" s="178">
        <f>IFERROR(VLOOKUP(B26,'DSOAT-T1.2025'!$B$11:$AS$76,55,0),0)</f>
        <v>0</v>
      </c>
      <c r="AB26" s="28">
        <f t="shared" si="1"/>
        <v>-787360</v>
      </c>
    </row>
    <row r="27" spans="1:28" ht="18" customHeight="1">
      <c r="A27" s="15" t="s">
        <v>178</v>
      </c>
      <c r="B27" s="45" t="s">
        <v>272</v>
      </c>
      <c r="C27" s="46">
        <v>18</v>
      </c>
      <c r="D27" s="47" t="s">
        <v>273</v>
      </c>
      <c r="E27" s="48">
        <v>418</v>
      </c>
      <c r="F27" s="49">
        <v>1.03</v>
      </c>
      <c r="G27" s="50">
        <v>28.5</v>
      </c>
      <c r="H27" s="16">
        <v>3523887</v>
      </c>
      <c r="I27" s="16">
        <v>2170182</v>
      </c>
      <c r="J27" s="16">
        <v>0</v>
      </c>
      <c r="K27" s="16">
        <v>5694069</v>
      </c>
      <c r="L27" s="16">
        <v>2000000</v>
      </c>
      <c r="M27" s="16">
        <v>467376</v>
      </c>
      <c r="N27" s="16">
        <v>44512</v>
      </c>
      <c r="O27" s="16">
        <v>64810</v>
      </c>
      <c r="P27" s="16">
        <v>3117371</v>
      </c>
      <c r="Q27" s="44">
        <v>4906528</v>
      </c>
      <c r="R27" s="61">
        <v>787541</v>
      </c>
      <c r="S27" s="20" t="s">
        <v>272</v>
      </c>
      <c r="T27" s="28">
        <v>7026621</v>
      </c>
      <c r="U27" s="28">
        <v>1332552</v>
      </c>
      <c r="V27" s="20" t="s">
        <v>272</v>
      </c>
      <c r="W27" s="20" t="s">
        <v>272</v>
      </c>
      <c r="X27" s="20">
        <f>IFERROR(VLOOKUP(B27,'DSOAT-T1.2025'!$B$11:$BH$76,64,0),0)</f>
        <v>0</v>
      </c>
      <c r="Y27" s="178">
        <f>IFERROR(VLOOKUP(B27,'DSOAT-T1.2025'!$B$11:$AQ$76,53,0),0)</f>
        <v>0</v>
      </c>
      <c r="Z27" s="28">
        <f t="shared" si="0"/>
        <v>-467376</v>
      </c>
      <c r="AA27" s="178">
        <f>IFERROR(VLOOKUP(B27,'DSOAT-T1.2025'!$B$11:$AS$76,55,0),0)</f>
        <v>0</v>
      </c>
      <c r="AB27" s="28">
        <f t="shared" si="1"/>
        <v>-64810</v>
      </c>
    </row>
    <row r="28" spans="1:28" ht="18" customHeight="1">
      <c r="A28" s="15" t="s">
        <v>178</v>
      </c>
      <c r="B28" s="45" t="s">
        <v>274</v>
      </c>
      <c r="C28" s="46">
        <v>19</v>
      </c>
      <c r="D28" s="47" t="s">
        <v>275</v>
      </c>
      <c r="E28" s="48">
        <v>472</v>
      </c>
      <c r="F28" s="49">
        <v>1.07</v>
      </c>
      <c r="G28" s="50">
        <v>23.5</v>
      </c>
      <c r="H28" s="16">
        <v>4133655</v>
      </c>
      <c r="I28" s="16">
        <v>964922</v>
      </c>
      <c r="J28" s="16">
        <v>0</v>
      </c>
      <c r="K28" s="16">
        <v>5098577</v>
      </c>
      <c r="L28" s="16">
        <v>2000000</v>
      </c>
      <c r="M28" s="16">
        <v>467376</v>
      </c>
      <c r="N28" s="16">
        <v>44512</v>
      </c>
      <c r="O28" s="16">
        <v>0</v>
      </c>
      <c r="P28" s="16">
        <v>2586689</v>
      </c>
      <c r="Q28" s="44">
        <v>4752248</v>
      </c>
      <c r="R28" s="61">
        <v>346329</v>
      </c>
      <c r="S28" s="20" t="s">
        <v>274</v>
      </c>
      <c r="T28" s="28">
        <v>7026621</v>
      </c>
      <c r="U28" s="28">
        <v>1928044</v>
      </c>
      <c r="V28" s="20" t="s">
        <v>274</v>
      </c>
      <c r="W28" s="20" t="s">
        <v>274</v>
      </c>
      <c r="X28" s="20">
        <f>IFERROR(VLOOKUP(B28,'DSOAT-T1.2025'!$B$11:$BH$76,64,0),0)</f>
        <v>0</v>
      </c>
      <c r="Y28" s="178">
        <f>IFERROR(VLOOKUP(B28,'DSOAT-T1.2025'!$B$11:$AQ$76,53,0),0)</f>
        <v>0</v>
      </c>
      <c r="Z28" s="28">
        <f t="shared" si="0"/>
        <v>-467376</v>
      </c>
      <c r="AA28" s="178">
        <f>IFERROR(VLOOKUP(B28,'DSOAT-T1.2025'!$B$11:$AS$76,55,0),0)</f>
        <v>0</v>
      </c>
      <c r="AB28" s="28">
        <f t="shared" si="1"/>
        <v>0</v>
      </c>
    </row>
    <row r="29" spans="1:28" ht="18" customHeight="1">
      <c r="A29" s="15" t="s">
        <v>178</v>
      </c>
      <c r="B29" s="45" t="s">
        <v>271</v>
      </c>
      <c r="C29" s="46">
        <v>20</v>
      </c>
      <c r="D29" s="47" t="s">
        <v>269</v>
      </c>
      <c r="E29" s="48">
        <v>366</v>
      </c>
      <c r="F29" s="49">
        <v>1.03</v>
      </c>
      <c r="G29" s="50">
        <v>23.5</v>
      </c>
      <c r="H29" s="16">
        <v>2991071</v>
      </c>
      <c r="I29" s="16">
        <v>3575984</v>
      </c>
      <c r="J29" s="16">
        <v>0</v>
      </c>
      <c r="K29" s="16">
        <v>6567055</v>
      </c>
      <c r="L29" s="16">
        <v>2000000</v>
      </c>
      <c r="M29" s="16">
        <v>467376</v>
      </c>
      <c r="N29" s="16">
        <v>44512</v>
      </c>
      <c r="O29" s="16">
        <v>67634</v>
      </c>
      <c r="P29" s="16">
        <v>3987533</v>
      </c>
      <c r="Q29" s="44">
        <v>6715785</v>
      </c>
      <c r="R29" s="61">
        <v>-148730</v>
      </c>
      <c r="S29" s="20" t="s">
        <v>271</v>
      </c>
      <c r="T29" s="28">
        <v>7026621</v>
      </c>
      <c r="U29" s="28">
        <v>459566</v>
      </c>
      <c r="V29" s="20" t="s">
        <v>271</v>
      </c>
      <c r="W29" s="20" t="s">
        <v>271</v>
      </c>
      <c r="X29" s="20">
        <f>IFERROR(VLOOKUP(B29,'DSOAT-T1.2025'!$B$11:$BH$76,64,0),0)</f>
        <v>0</v>
      </c>
      <c r="Y29" s="178">
        <f>IFERROR(VLOOKUP(B29,'DSOAT-T1.2025'!$B$11:$AQ$76,53,0),0)</f>
        <v>0</v>
      </c>
      <c r="Z29" s="28">
        <f t="shared" si="0"/>
        <v>-467376</v>
      </c>
      <c r="AA29" s="178">
        <f>IFERROR(VLOOKUP(B29,'DSOAT-T1.2025'!$B$11:$AS$76,55,0),0)</f>
        <v>0</v>
      </c>
      <c r="AB29" s="28">
        <f t="shared" si="1"/>
        <v>-67634</v>
      </c>
    </row>
    <row r="30" spans="1:28" ht="18" customHeight="1">
      <c r="A30" s="15" t="s">
        <v>178</v>
      </c>
      <c r="B30" s="45" t="s">
        <v>212</v>
      </c>
      <c r="C30" s="46">
        <v>21</v>
      </c>
      <c r="D30" s="47" t="s">
        <v>213</v>
      </c>
      <c r="E30" s="48">
        <v>418</v>
      </c>
      <c r="F30" s="49">
        <v>1.1399999999999999</v>
      </c>
      <c r="G30" s="50">
        <v>27.5</v>
      </c>
      <c r="H30" s="16">
        <v>3900225</v>
      </c>
      <c r="I30" s="16">
        <v>2036601</v>
      </c>
      <c r="J30" s="16">
        <v>0</v>
      </c>
      <c r="K30" s="16">
        <v>5936826</v>
      </c>
      <c r="L30" s="16">
        <v>2000000</v>
      </c>
      <c r="M30" s="16">
        <v>467376</v>
      </c>
      <c r="N30" s="16">
        <v>44512</v>
      </c>
      <c r="O30" s="16">
        <v>615230</v>
      </c>
      <c r="P30" s="16">
        <v>2809708</v>
      </c>
      <c r="Q30" s="44">
        <v>7152859</v>
      </c>
      <c r="R30" s="61">
        <v>-1216033</v>
      </c>
      <c r="S30" s="20" t="s">
        <v>212</v>
      </c>
      <c r="T30" s="28">
        <v>17662404</v>
      </c>
      <c r="U30" s="28">
        <v>11725578</v>
      </c>
      <c r="V30" s="20" t="s">
        <v>212</v>
      </c>
      <c r="W30" s="20" t="s">
        <v>212</v>
      </c>
      <c r="X30" s="20">
        <f>IFERROR(VLOOKUP(B30,'DSOAT-T1.2025'!$B$11:$BH$76,64,0),0)</f>
        <v>0</v>
      </c>
      <c r="Y30" s="178">
        <f>IFERROR(VLOOKUP(B30,'DSOAT-T1.2025'!$B$11:$AQ$76,53,0),0)</f>
        <v>0</v>
      </c>
      <c r="Z30" s="28">
        <f t="shared" si="0"/>
        <v>-467376</v>
      </c>
      <c r="AA30" s="178">
        <f>IFERROR(VLOOKUP(B30,'DSOAT-T1.2025'!$B$11:$AS$76,55,0),0)</f>
        <v>0</v>
      </c>
      <c r="AB30" s="28">
        <f t="shared" si="1"/>
        <v>-615230</v>
      </c>
    </row>
    <row r="31" spans="1:28" ht="18" customHeight="1">
      <c r="A31" s="15" t="s">
        <v>178</v>
      </c>
      <c r="B31" s="45" t="s">
        <v>217</v>
      </c>
      <c r="C31" s="46">
        <v>22</v>
      </c>
      <c r="D31" s="47" t="s">
        <v>216</v>
      </c>
      <c r="E31" s="48">
        <v>418</v>
      </c>
      <c r="F31" s="49">
        <v>1.1399999999999999</v>
      </c>
      <c r="G31" s="50">
        <v>28</v>
      </c>
      <c r="H31" s="16">
        <v>3900225</v>
      </c>
      <c r="I31" s="16">
        <v>2922594</v>
      </c>
      <c r="J31" s="16">
        <v>0</v>
      </c>
      <c r="K31" s="16">
        <v>6822819</v>
      </c>
      <c r="L31" s="16">
        <v>2000000</v>
      </c>
      <c r="M31" s="16">
        <v>467376</v>
      </c>
      <c r="N31" s="16">
        <v>44512</v>
      </c>
      <c r="O31" s="16">
        <v>718559</v>
      </c>
      <c r="P31" s="16">
        <v>3592372</v>
      </c>
      <c r="Q31" s="44">
        <v>7395154</v>
      </c>
      <c r="R31" s="61">
        <v>-572335</v>
      </c>
      <c r="S31" s="20" t="s">
        <v>217</v>
      </c>
      <c r="T31" s="28">
        <v>17662404</v>
      </c>
      <c r="U31" s="28">
        <v>10839585</v>
      </c>
      <c r="V31" s="20" t="s">
        <v>217</v>
      </c>
      <c r="W31" s="20" t="s">
        <v>217</v>
      </c>
      <c r="X31" s="20">
        <f>IFERROR(VLOOKUP(B31,'DSOAT-T1.2025'!$B$11:$BH$76,64,0),0)</f>
        <v>0</v>
      </c>
      <c r="Y31" s="178">
        <f>IFERROR(VLOOKUP(B31,'DSOAT-T1.2025'!$B$11:$AQ$76,53,0),0)</f>
        <v>0</v>
      </c>
      <c r="Z31" s="28">
        <f t="shared" si="0"/>
        <v>-467376</v>
      </c>
      <c r="AA31" s="178">
        <f>IFERROR(VLOOKUP(B31,'DSOAT-T1.2025'!$B$11:$AS$76,55,0),0)</f>
        <v>0</v>
      </c>
      <c r="AB31" s="28">
        <f t="shared" si="1"/>
        <v>-718559</v>
      </c>
    </row>
    <row r="32" spans="1:28" ht="18" customHeight="1">
      <c r="A32" s="15" t="s">
        <v>178</v>
      </c>
      <c r="B32" s="45" t="s">
        <v>263</v>
      </c>
      <c r="C32" s="46">
        <v>23</v>
      </c>
      <c r="D32" s="47" t="s">
        <v>262</v>
      </c>
      <c r="E32" s="48">
        <v>418</v>
      </c>
      <c r="F32" s="49">
        <v>1.08</v>
      </c>
      <c r="G32" s="50">
        <v>24.5</v>
      </c>
      <c r="H32" s="16">
        <v>3694950</v>
      </c>
      <c r="I32" s="16">
        <v>3455241</v>
      </c>
      <c r="J32" s="16">
        <v>0</v>
      </c>
      <c r="K32" s="16">
        <v>7150191</v>
      </c>
      <c r="L32" s="16">
        <v>2000000</v>
      </c>
      <c r="M32" s="16">
        <v>467376</v>
      </c>
      <c r="N32" s="16">
        <v>44512</v>
      </c>
      <c r="O32" s="16">
        <v>474582</v>
      </c>
      <c r="P32" s="16">
        <v>4163721</v>
      </c>
      <c r="Q32" s="44">
        <v>7094127</v>
      </c>
      <c r="R32" s="61">
        <v>56064</v>
      </c>
      <c r="S32" s="20" t="s">
        <v>263</v>
      </c>
      <c r="T32" s="28">
        <v>17662404</v>
      </c>
      <c r="U32" s="28">
        <v>10512213</v>
      </c>
      <c r="V32" s="20" t="s">
        <v>263</v>
      </c>
      <c r="W32" s="20" t="s">
        <v>263</v>
      </c>
      <c r="X32" s="20">
        <f>IFERROR(VLOOKUP(B32,'DSOAT-T1.2025'!$B$11:$BH$76,64,0),0)</f>
        <v>0</v>
      </c>
      <c r="Y32" s="178">
        <f>IFERROR(VLOOKUP(B32,'DSOAT-T1.2025'!$B$11:$AQ$76,53,0),0)</f>
        <v>0</v>
      </c>
      <c r="Z32" s="28">
        <f t="shared" si="0"/>
        <v>-467376</v>
      </c>
      <c r="AA32" s="178">
        <f>IFERROR(VLOOKUP(B32,'DSOAT-T1.2025'!$B$11:$AS$76,55,0),0)</f>
        <v>0</v>
      </c>
      <c r="AB32" s="28">
        <f t="shared" si="1"/>
        <v>-474582</v>
      </c>
    </row>
    <row r="33" spans="1:28" ht="18" customHeight="1">
      <c r="A33" s="15" t="s">
        <v>178</v>
      </c>
      <c r="B33" s="45" t="s">
        <v>294</v>
      </c>
      <c r="C33" s="46">
        <v>24</v>
      </c>
      <c r="D33" s="47" t="s">
        <v>295</v>
      </c>
      <c r="E33" s="48">
        <v>355</v>
      </c>
      <c r="F33" s="49">
        <v>1.05</v>
      </c>
      <c r="G33" s="50">
        <v>26</v>
      </c>
      <c r="H33" s="16">
        <v>3050887</v>
      </c>
      <c r="I33" s="16">
        <v>4251259</v>
      </c>
      <c r="J33" s="16">
        <v>0</v>
      </c>
      <c r="K33" s="16">
        <v>7302146</v>
      </c>
      <c r="L33" s="16">
        <v>2000000</v>
      </c>
      <c r="M33" s="16">
        <v>467376</v>
      </c>
      <c r="N33" s="16">
        <v>44512</v>
      </c>
      <c r="O33" s="16">
        <v>0</v>
      </c>
      <c r="P33" s="16">
        <v>4790258</v>
      </c>
      <c r="Q33" s="44">
        <v>2245069</v>
      </c>
      <c r="R33" s="61">
        <v>5057077</v>
      </c>
      <c r="S33" s="20" t="s">
        <v>294</v>
      </c>
      <c r="T33" s="28"/>
      <c r="U33" s="28">
        <v>-7302146</v>
      </c>
      <c r="V33" s="20">
        <v>0</v>
      </c>
      <c r="W33" s="20" t="s">
        <v>294</v>
      </c>
      <c r="X33" s="20">
        <f>IFERROR(VLOOKUP(B33,'DSOAT-T1.2025'!$B$11:$BH$76,64,0),0)</f>
        <v>0</v>
      </c>
      <c r="Y33" s="178">
        <f>IFERROR(VLOOKUP(B33,'DSOAT-T1.2025'!$B$11:$AQ$76,53,0),0)</f>
        <v>0</v>
      </c>
      <c r="Z33" s="28">
        <f t="shared" si="0"/>
        <v>-467376</v>
      </c>
      <c r="AA33" s="178">
        <f>IFERROR(VLOOKUP(B33,'DSOAT-T1.2025'!$B$11:$AS$76,55,0),0)</f>
        <v>0</v>
      </c>
      <c r="AB33" s="28">
        <f t="shared" si="1"/>
        <v>0</v>
      </c>
    </row>
    <row r="34" spans="1:28" ht="18" customHeight="1">
      <c r="A34" s="15" t="s">
        <v>179</v>
      </c>
      <c r="B34" s="45" t="s">
        <v>59</v>
      </c>
      <c r="C34" s="46">
        <v>25</v>
      </c>
      <c r="D34" s="47" t="s">
        <v>60</v>
      </c>
      <c r="E34" s="48">
        <v>478</v>
      </c>
      <c r="F34" s="49">
        <v>1.1100000000000001</v>
      </c>
      <c r="G34" s="50">
        <v>23.5</v>
      </c>
      <c r="H34" s="16">
        <v>4355803</v>
      </c>
      <c r="I34" s="16">
        <v>5143187</v>
      </c>
      <c r="J34" s="16">
        <v>0</v>
      </c>
      <c r="K34" s="16">
        <v>9498990</v>
      </c>
      <c r="L34" s="16">
        <v>2000000</v>
      </c>
      <c r="M34" s="16">
        <v>408954</v>
      </c>
      <c r="N34" s="16">
        <v>38948</v>
      </c>
      <c r="O34" s="16">
        <v>432404</v>
      </c>
      <c r="P34" s="16">
        <v>6618684</v>
      </c>
      <c r="Q34" s="44">
        <v>9417997</v>
      </c>
      <c r="R34" s="61">
        <v>80993</v>
      </c>
      <c r="S34" s="20" t="s">
        <v>59</v>
      </c>
      <c r="T34" s="28">
        <v>13008787</v>
      </c>
      <c r="U34" s="28">
        <v>3509797</v>
      </c>
      <c r="V34" s="20" t="s">
        <v>59</v>
      </c>
      <c r="W34" s="20" t="s">
        <v>59</v>
      </c>
      <c r="X34" s="20">
        <f>IFERROR(VLOOKUP(B34,'DSOAT-T1.2025'!$B$11:$BH$76,64,0),0)</f>
        <v>0</v>
      </c>
      <c r="Y34" s="178">
        <f>IFERROR(VLOOKUP(B34,'DSOAT-T1.2025'!$B$11:$AQ$76,53,0),0)</f>
        <v>0</v>
      </c>
      <c r="Z34" s="28">
        <f t="shared" si="0"/>
        <v>-408954</v>
      </c>
      <c r="AA34" s="178">
        <f>IFERROR(VLOOKUP(B34,'DSOAT-T1.2025'!$B$11:$AS$76,55,0),0)</f>
        <v>0</v>
      </c>
      <c r="AB34" s="28">
        <f t="shared" si="1"/>
        <v>-432404</v>
      </c>
    </row>
    <row r="35" spans="1:28" ht="18" customHeight="1">
      <c r="A35" s="15" t="s">
        <v>179</v>
      </c>
      <c r="B35" s="45" t="s">
        <v>40</v>
      </c>
      <c r="C35" s="46">
        <v>26</v>
      </c>
      <c r="D35" s="47" t="s">
        <v>41</v>
      </c>
      <c r="E35" s="48">
        <v>543</v>
      </c>
      <c r="F35" s="49">
        <v>1</v>
      </c>
      <c r="G35" s="50">
        <v>23.5</v>
      </c>
      <c r="H35" s="16">
        <v>11906191</v>
      </c>
      <c r="I35" s="16">
        <v>306974</v>
      </c>
      <c r="J35" s="16">
        <v>0</v>
      </c>
      <c r="K35" s="16">
        <v>12213165</v>
      </c>
      <c r="L35" s="16">
        <v>2000000</v>
      </c>
      <c r="M35" s="16">
        <v>408954</v>
      </c>
      <c r="N35" s="16">
        <v>38948</v>
      </c>
      <c r="O35" s="16">
        <v>1172864</v>
      </c>
      <c r="P35" s="16">
        <v>8592399</v>
      </c>
      <c r="Q35" s="44">
        <v>12135432</v>
      </c>
      <c r="R35" s="61">
        <v>77733</v>
      </c>
      <c r="S35" s="20" t="s">
        <v>40</v>
      </c>
      <c r="T35" s="28">
        <v>8458432</v>
      </c>
      <c r="U35" s="28">
        <v>-3754733</v>
      </c>
      <c r="V35" s="20" t="s">
        <v>40</v>
      </c>
      <c r="W35" s="20">
        <v>0</v>
      </c>
      <c r="X35" s="20">
        <f>IFERROR(VLOOKUP(B35,'DSOAT-T1.2025'!$B$11:$BH$76,64,0),0)</f>
        <v>0</v>
      </c>
      <c r="Y35" s="178">
        <f>IFERROR(VLOOKUP(B35,'DSOAT-T1.2025'!$B$11:$AQ$76,53,0),0)</f>
        <v>0</v>
      </c>
      <c r="Z35" s="28">
        <f t="shared" si="0"/>
        <v>-408954</v>
      </c>
      <c r="AA35" s="178">
        <f>IFERROR(VLOOKUP(B35,'DSOAT-T1.2025'!$B$11:$AS$76,55,0),0)</f>
        <v>0</v>
      </c>
      <c r="AB35" s="28">
        <f t="shared" si="1"/>
        <v>-1172864</v>
      </c>
    </row>
    <row r="36" spans="1:28" ht="18" customHeight="1">
      <c r="A36" s="15" t="s">
        <v>179</v>
      </c>
      <c r="B36" s="45" t="s">
        <v>53</v>
      </c>
      <c r="C36" s="46">
        <v>27</v>
      </c>
      <c r="D36" s="47" t="s">
        <v>138</v>
      </c>
      <c r="E36" s="48">
        <v>418</v>
      </c>
      <c r="F36" s="49">
        <v>1.07</v>
      </c>
      <c r="G36" s="50">
        <v>23.5</v>
      </c>
      <c r="H36" s="16">
        <v>9806930</v>
      </c>
      <c r="I36" s="16">
        <v>5703807</v>
      </c>
      <c r="J36" s="16">
        <v>0</v>
      </c>
      <c r="K36" s="16">
        <v>15510737</v>
      </c>
      <c r="L36" s="16">
        <v>2000000</v>
      </c>
      <c r="M36" s="16">
        <v>408954</v>
      </c>
      <c r="N36" s="16">
        <v>38948</v>
      </c>
      <c r="O36" s="16">
        <v>1957648</v>
      </c>
      <c r="P36" s="16">
        <v>11105187</v>
      </c>
      <c r="Q36" s="44">
        <v>14835814</v>
      </c>
      <c r="R36" s="61">
        <v>674923</v>
      </c>
      <c r="S36" s="20" t="s">
        <v>53</v>
      </c>
      <c r="T36" s="28">
        <v>6381832</v>
      </c>
      <c r="U36" s="28">
        <v>-9128905</v>
      </c>
      <c r="V36" s="20" t="s">
        <v>53</v>
      </c>
      <c r="W36" s="20" t="s">
        <v>53</v>
      </c>
      <c r="X36" s="20">
        <f>IFERROR(VLOOKUP(B36,'DSOAT-T1.2025'!$B$11:$BH$76,64,0),0)</f>
        <v>0</v>
      </c>
      <c r="Y36" s="178">
        <f>IFERROR(VLOOKUP(B36,'DSOAT-T1.2025'!$B$11:$AQ$76,53,0),0)</f>
        <v>0</v>
      </c>
      <c r="Z36" s="28">
        <f t="shared" si="0"/>
        <v>-408954</v>
      </c>
      <c r="AA36" s="178">
        <f>IFERROR(VLOOKUP(B36,'DSOAT-T1.2025'!$B$11:$AS$76,55,0),0)</f>
        <v>0</v>
      </c>
      <c r="AB36" s="28">
        <f t="shared" si="1"/>
        <v>-1957648</v>
      </c>
    </row>
    <row r="37" spans="1:28" ht="18" customHeight="1">
      <c r="A37" s="15" t="s">
        <v>179</v>
      </c>
      <c r="B37" s="45" t="s">
        <v>43</v>
      </c>
      <c r="C37" s="46">
        <v>28</v>
      </c>
      <c r="D37" s="47" t="s">
        <v>44</v>
      </c>
      <c r="E37" s="48">
        <v>394</v>
      </c>
      <c r="F37" s="49">
        <v>1.05</v>
      </c>
      <c r="G37" s="50">
        <v>23.5</v>
      </c>
      <c r="H37" s="16">
        <v>9071070</v>
      </c>
      <c r="I37" s="16">
        <v>3145300</v>
      </c>
      <c r="J37" s="16">
        <v>0</v>
      </c>
      <c r="K37" s="16">
        <v>12216370</v>
      </c>
      <c r="L37" s="16">
        <v>2000000</v>
      </c>
      <c r="M37" s="16">
        <v>408954</v>
      </c>
      <c r="N37" s="16">
        <v>38948</v>
      </c>
      <c r="O37" s="16">
        <v>1398482</v>
      </c>
      <c r="P37" s="16">
        <v>8369986</v>
      </c>
      <c r="Q37" s="44">
        <v>12503853</v>
      </c>
      <c r="R37" s="61">
        <v>-287483</v>
      </c>
      <c r="S37" s="20" t="s">
        <v>43</v>
      </c>
      <c r="T37" s="28">
        <v>6498925</v>
      </c>
      <c r="U37" s="28">
        <v>-5717445</v>
      </c>
      <c r="V37" s="20" t="s">
        <v>43</v>
      </c>
      <c r="W37" s="20" t="s">
        <v>43</v>
      </c>
      <c r="X37" s="20">
        <f>IFERROR(VLOOKUP(B37,'DSOAT-T1.2025'!$B$11:$BH$76,64,0),0)</f>
        <v>0</v>
      </c>
      <c r="Y37" s="178">
        <f>IFERROR(VLOOKUP(B37,'DSOAT-T1.2025'!$B$11:$AQ$76,53,0),0)</f>
        <v>0</v>
      </c>
      <c r="Z37" s="28">
        <f t="shared" si="0"/>
        <v>-408954</v>
      </c>
      <c r="AA37" s="178">
        <f>IFERROR(VLOOKUP(B37,'DSOAT-T1.2025'!$B$11:$AS$76,55,0),0)</f>
        <v>0</v>
      </c>
      <c r="AB37" s="28">
        <f t="shared" si="1"/>
        <v>-1398482</v>
      </c>
    </row>
    <row r="38" spans="1:28" ht="18" customHeight="1">
      <c r="A38" s="15" t="s">
        <v>179</v>
      </c>
      <c r="B38" s="45" t="s">
        <v>45</v>
      </c>
      <c r="C38" s="46">
        <v>29</v>
      </c>
      <c r="D38" s="47" t="s">
        <v>46</v>
      </c>
      <c r="E38" s="48">
        <v>418</v>
      </c>
      <c r="F38" s="49">
        <v>0.95</v>
      </c>
      <c r="G38" s="50">
        <v>23.5</v>
      </c>
      <c r="H38" s="16">
        <v>3261200</v>
      </c>
      <c r="I38" s="16">
        <v>2513725</v>
      </c>
      <c r="J38" s="16">
        <v>0</v>
      </c>
      <c r="K38" s="16">
        <v>5774925</v>
      </c>
      <c r="L38" s="16">
        <v>2000000</v>
      </c>
      <c r="M38" s="16">
        <v>408954</v>
      </c>
      <c r="N38" s="16">
        <v>38948</v>
      </c>
      <c r="O38" s="16">
        <v>443643</v>
      </c>
      <c r="P38" s="16">
        <v>2883380</v>
      </c>
      <c r="Q38" s="44">
        <v>5479515</v>
      </c>
      <c r="R38" s="61">
        <v>295410</v>
      </c>
      <c r="S38" s="20" t="s">
        <v>45</v>
      </c>
      <c r="T38" s="28">
        <v>3226397</v>
      </c>
      <c r="U38" s="28">
        <v>-2548528</v>
      </c>
      <c r="V38" s="20" t="s">
        <v>45</v>
      </c>
      <c r="W38" s="20" t="s">
        <v>45</v>
      </c>
      <c r="X38" s="20">
        <f>IFERROR(VLOOKUP(B38,'DSOAT-T1.2025'!$B$11:$BH$76,64,0),0)</f>
        <v>0</v>
      </c>
      <c r="Y38" s="178">
        <f>IFERROR(VLOOKUP(B38,'DSOAT-T1.2025'!$B$11:$AQ$76,53,0),0)</f>
        <v>0</v>
      </c>
      <c r="Z38" s="28">
        <f t="shared" si="0"/>
        <v>-408954</v>
      </c>
      <c r="AA38" s="178">
        <f>IFERROR(VLOOKUP(B38,'DSOAT-T1.2025'!$B$11:$AS$76,55,0),0)</f>
        <v>0</v>
      </c>
      <c r="AB38" s="28">
        <f t="shared" si="1"/>
        <v>-443643</v>
      </c>
    </row>
    <row r="39" spans="1:28" ht="18" customHeight="1">
      <c r="A39" s="15" t="s">
        <v>179</v>
      </c>
      <c r="B39" s="45" t="s">
        <v>47</v>
      </c>
      <c r="C39" s="46">
        <v>30</v>
      </c>
      <c r="D39" s="47" t="s">
        <v>48</v>
      </c>
      <c r="E39" s="48">
        <v>431</v>
      </c>
      <c r="F39" s="49">
        <v>0.98</v>
      </c>
      <c r="G39" s="50">
        <v>23.5</v>
      </c>
      <c r="H39" s="16">
        <v>3468813</v>
      </c>
      <c r="I39" s="16">
        <v>4403029</v>
      </c>
      <c r="J39" s="16">
        <v>0</v>
      </c>
      <c r="K39" s="16">
        <v>7871842</v>
      </c>
      <c r="L39" s="16">
        <v>2000000</v>
      </c>
      <c r="M39" s="16">
        <v>408954</v>
      </c>
      <c r="N39" s="16">
        <v>38948</v>
      </c>
      <c r="O39" s="16">
        <v>702739</v>
      </c>
      <c r="P39" s="16">
        <v>4721201</v>
      </c>
      <c r="Q39" s="44">
        <v>8114207</v>
      </c>
      <c r="R39" s="61">
        <v>-242365</v>
      </c>
      <c r="S39" s="20" t="s">
        <v>47</v>
      </c>
      <c r="T39" s="28">
        <v>9531308</v>
      </c>
      <c r="U39" s="28">
        <v>1659466</v>
      </c>
      <c r="V39" s="20" t="s">
        <v>47</v>
      </c>
      <c r="W39" s="20" t="s">
        <v>47</v>
      </c>
      <c r="X39" s="20">
        <f>IFERROR(VLOOKUP(B39,'DSOAT-T1.2025'!$B$11:$BH$76,64,0),0)</f>
        <v>0</v>
      </c>
      <c r="Y39" s="178">
        <f>IFERROR(VLOOKUP(B39,'DSOAT-T1.2025'!$B$11:$AQ$76,53,0),0)</f>
        <v>0</v>
      </c>
      <c r="Z39" s="28">
        <f t="shared" si="0"/>
        <v>-408954</v>
      </c>
      <c r="AA39" s="178">
        <f>IFERROR(VLOOKUP(B39,'DSOAT-T1.2025'!$B$11:$AS$76,55,0),0)</f>
        <v>0</v>
      </c>
      <c r="AB39" s="28">
        <f t="shared" si="1"/>
        <v>-702739</v>
      </c>
    </row>
    <row r="40" spans="1:28" ht="18" customHeight="1">
      <c r="A40" s="15" t="s">
        <v>179</v>
      </c>
      <c r="B40" s="45" t="s">
        <v>55</v>
      </c>
      <c r="C40" s="46">
        <v>31</v>
      </c>
      <c r="D40" s="47" t="s">
        <v>56</v>
      </c>
      <c r="E40" s="48">
        <v>478</v>
      </c>
      <c r="F40" s="49">
        <v>1.42</v>
      </c>
      <c r="G40" s="50">
        <v>23.5</v>
      </c>
      <c r="H40" s="16">
        <v>5574344</v>
      </c>
      <c r="I40" s="16">
        <v>6655799</v>
      </c>
      <c r="J40" s="16">
        <v>0</v>
      </c>
      <c r="K40" s="16">
        <v>12230143</v>
      </c>
      <c r="L40" s="16">
        <v>2000000</v>
      </c>
      <c r="M40" s="16">
        <v>408954</v>
      </c>
      <c r="N40" s="16">
        <v>38948</v>
      </c>
      <c r="O40" s="16">
        <v>1072588</v>
      </c>
      <c r="P40" s="16">
        <v>8709653</v>
      </c>
      <c r="Q40" s="44">
        <v>8538637</v>
      </c>
      <c r="R40" s="61">
        <v>3691506</v>
      </c>
      <c r="S40" s="20" t="s">
        <v>55</v>
      </c>
      <c r="T40" s="28">
        <v>9212350</v>
      </c>
      <c r="U40" s="28">
        <v>-3017793</v>
      </c>
      <c r="V40" s="20" t="s">
        <v>55</v>
      </c>
      <c r="W40" s="20" t="s">
        <v>55</v>
      </c>
      <c r="X40" s="20">
        <f>IFERROR(VLOOKUP(B40,'DSOAT-T1.2025'!$B$11:$BH$76,64,0),0)</f>
        <v>0</v>
      </c>
      <c r="Y40" s="178">
        <f>IFERROR(VLOOKUP(B40,'DSOAT-T1.2025'!$B$11:$AQ$76,53,0),0)</f>
        <v>0</v>
      </c>
      <c r="Z40" s="28">
        <f t="shared" si="0"/>
        <v>-408954</v>
      </c>
      <c r="AA40" s="178">
        <f>IFERROR(VLOOKUP(B40,'DSOAT-T1.2025'!$B$11:$AS$76,55,0),0)</f>
        <v>0</v>
      </c>
      <c r="AB40" s="28">
        <f t="shared" si="1"/>
        <v>-1072588</v>
      </c>
    </row>
    <row r="41" spans="1:28" ht="18" customHeight="1">
      <c r="A41" s="15" t="s">
        <v>179</v>
      </c>
      <c r="B41" s="45" t="s">
        <v>49</v>
      </c>
      <c r="C41" s="46">
        <v>32</v>
      </c>
      <c r="D41" s="47" t="s">
        <v>50</v>
      </c>
      <c r="E41" s="48">
        <v>478</v>
      </c>
      <c r="F41" s="49">
        <v>1.07</v>
      </c>
      <c r="G41" s="50">
        <v>23.5</v>
      </c>
      <c r="H41" s="16">
        <v>4200386</v>
      </c>
      <c r="I41" s="16">
        <v>6226450</v>
      </c>
      <c r="J41" s="16">
        <v>0</v>
      </c>
      <c r="K41" s="16">
        <v>10426836</v>
      </c>
      <c r="L41" s="16">
        <v>2000000</v>
      </c>
      <c r="M41" s="16">
        <v>408954</v>
      </c>
      <c r="N41" s="16">
        <v>38948</v>
      </c>
      <c r="O41" s="16">
        <v>1172398</v>
      </c>
      <c r="P41" s="16">
        <v>6806536</v>
      </c>
      <c r="Q41" s="44">
        <v>6476746</v>
      </c>
      <c r="R41" s="61">
        <v>3950090</v>
      </c>
      <c r="S41" s="20" t="s">
        <v>49</v>
      </c>
      <c r="T41" s="28">
        <v>13514883</v>
      </c>
      <c r="U41" s="28">
        <v>3088047</v>
      </c>
      <c r="V41" s="20" t="s">
        <v>49</v>
      </c>
      <c r="W41" s="20" t="s">
        <v>49</v>
      </c>
      <c r="X41" s="20">
        <f>IFERROR(VLOOKUP(B41,'DSOAT-T1.2025'!$B$11:$BH$76,64,0),0)</f>
        <v>0</v>
      </c>
      <c r="Y41" s="178">
        <f>IFERROR(VLOOKUP(B41,'DSOAT-T1.2025'!$B$11:$AQ$76,53,0),0)</f>
        <v>0</v>
      </c>
      <c r="Z41" s="28">
        <f t="shared" si="0"/>
        <v>-408954</v>
      </c>
      <c r="AA41" s="178">
        <f>IFERROR(VLOOKUP(B41,'DSOAT-T1.2025'!$B$11:$AS$76,55,0),0)</f>
        <v>0</v>
      </c>
      <c r="AB41" s="28">
        <f t="shared" si="1"/>
        <v>-1172398</v>
      </c>
    </row>
    <row r="42" spans="1:28" ht="18" customHeight="1">
      <c r="A42" s="15" t="s">
        <v>179</v>
      </c>
      <c r="B42" s="45" t="s">
        <v>51</v>
      </c>
      <c r="C42" s="46">
        <v>33</v>
      </c>
      <c r="D42" s="47" t="s">
        <v>52</v>
      </c>
      <c r="E42" s="48">
        <v>418</v>
      </c>
      <c r="F42" s="49">
        <v>1.08</v>
      </c>
      <c r="G42" s="50">
        <v>23.5</v>
      </c>
      <c r="H42" s="16">
        <v>3707469</v>
      </c>
      <c r="I42" s="16">
        <v>1567319</v>
      </c>
      <c r="J42" s="16">
        <v>0</v>
      </c>
      <c r="K42" s="16">
        <v>5274788</v>
      </c>
      <c r="L42" s="16">
        <v>2000000</v>
      </c>
      <c r="M42" s="16">
        <v>408954</v>
      </c>
      <c r="N42" s="16">
        <v>38948</v>
      </c>
      <c r="O42" s="16">
        <v>419654</v>
      </c>
      <c r="P42" s="16">
        <v>2407232</v>
      </c>
      <c r="Q42" s="44">
        <v>5345801</v>
      </c>
      <c r="R42" s="61">
        <v>-71013</v>
      </c>
      <c r="S42" s="20" t="s">
        <v>51</v>
      </c>
      <c r="T42" s="28">
        <v>8724927</v>
      </c>
      <c r="U42" s="28">
        <v>3450139</v>
      </c>
      <c r="V42" s="20" t="s">
        <v>51</v>
      </c>
      <c r="W42" s="20" t="s">
        <v>51</v>
      </c>
      <c r="X42" s="20">
        <f>IFERROR(VLOOKUP(B42,'DSOAT-T1.2025'!$B$11:$BH$76,64,0),0)</f>
        <v>0</v>
      </c>
      <c r="Y42" s="178">
        <f>IFERROR(VLOOKUP(B42,'DSOAT-T1.2025'!$B$11:$AQ$76,53,0),0)</f>
        <v>0</v>
      </c>
      <c r="Z42" s="28">
        <f t="shared" si="0"/>
        <v>-408954</v>
      </c>
      <c r="AA42" s="178">
        <f>IFERROR(VLOOKUP(B42,'DSOAT-T1.2025'!$B$11:$AS$76,55,0),0)</f>
        <v>0</v>
      </c>
      <c r="AB42" s="28">
        <f t="shared" si="1"/>
        <v>-419654</v>
      </c>
    </row>
    <row r="43" spans="1:28" ht="18" customHeight="1">
      <c r="A43" s="15" t="s">
        <v>179</v>
      </c>
      <c r="B43" s="45" t="s">
        <v>158</v>
      </c>
      <c r="C43" s="46">
        <v>34</v>
      </c>
      <c r="D43" s="47" t="s">
        <v>146</v>
      </c>
      <c r="E43" s="48">
        <v>431</v>
      </c>
      <c r="F43" s="49">
        <v>0.87</v>
      </c>
      <c r="G43" s="50">
        <v>23.5</v>
      </c>
      <c r="H43" s="16">
        <v>3072450</v>
      </c>
      <c r="I43" s="16">
        <v>7693946</v>
      </c>
      <c r="J43" s="16">
        <v>0</v>
      </c>
      <c r="K43" s="16">
        <v>10766396</v>
      </c>
      <c r="L43" s="16">
        <v>2000000</v>
      </c>
      <c r="M43" s="16">
        <v>408954</v>
      </c>
      <c r="N43" s="16">
        <v>38948</v>
      </c>
      <c r="O43" s="16">
        <v>1593966</v>
      </c>
      <c r="P43" s="16">
        <v>6724528</v>
      </c>
      <c r="Q43" s="44">
        <v>12407477</v>
      </c>
      <c r="R43" s="61">
        <v>-1641081</v>
      </c>
      <c r="S43" s="20" t="s">
        <v>158</v>
      </c>
      <c r="T43" s="28">
        <v>14059604</v>
      </c>
      <c r="U43" s="28">
        <v>3293208</v>
      </c>
      <c r="V43" s="20" t="s">
        <v>158</v>
      </c>
      <c r="W43" s="20" t="s">
        <v>158</v>
      </c>
      <c r="X43" s="20">
        <f>IFERROR(VLOOKUP(B43,'DSOAT-T1.2025'!$B$11:$BH$76,64,0),0)</f>
        <v>0</v>
      </c>
      <c r="Y43" s="178">
        <f>IFERROR(VLOOKUP(B43,'DSOAT-T1.2025'!$B$11:$AQ$76,53,0),0)</f>
        <v>0</v>
      </c>
      <c r="Z43" s="28">
        <f t="shared" si="0"/>
        <v>-408954</v>
      </c>
      <c r="AA43" s="178">
        <f>IFERROR(VLOOKUP(B43,'DSOAT-T1.2025'!$B$11:$AS$76,55,0),0)</f>
        <v>0</v>
      </c>
      <c r="AB43" s="28">
        <f t="shared" si="1"/>
        <v>-1593966</v>
      </c>
    </row>
    <row r="44" spans="1:28" ht="18" customHeight="1">
      <c r="A44" s="15" t="s">
        <v>179</v>
      </c>
      <c r="B44" s="45" t="s">
        <v>159</v>
      </c>
      <c r="C44" s="46">
        <v>35</v>
      </c>
      <c r="D44" s="47" t="s">
        <v>147</v>
      </c>
      <c r="E44" s="48">
        <v>431</v>
      </c>
      <c r="F44" s="49">
        <v>1</v>
      </c>
      <c r="G44" s="50">
        <v>23.5</v>
      </c>
      <c r="H44" s="16">
        <v>3524449</v>
      </c>
      <c r="I44" s="16">
        <v>4483108</v>
      </c>
      <c r="J44" s="16">
        <v>0</v>
      </c>
      <c r="K44" s="16">
        <v>8007557</v>
      </c>
      <c r="L44" s="16">
        <v>2000000</v>
      </c>
      <c r="M44" s="16">
        <v>408954</v>
      </c>
      <c r="N44" s="16">
        <v>38948</v>
      </c>
      <c r="O44" s="16">
        <v>48930</v>
      </c>
      <c r="P44" s="16">
        <v>5510725</v>
      </c>
      <c r="Q44" s="44">
        <v>9909618</v>
      </c>
      <c r="R44" s="61">
        <v>-1902061</v>
      </c>
      <c r="S44" s="20" t="s">
        <v>159</v>
      </c>
      <c r="T44" s="28">
        <v>28925404</v>
      </c>
      <c r="U44" s="28">
        <v>20917847</v>
      </c>
      <c r="V44" s="20" t="s">
        <v>159</v>
      </c>
      <c r="W44" s="20" t="s">
        <v>159</v>
      </c>
      <c r="X44" s="20">
        <f>IFERROR(VLOOKUP(B44,'DSOAT-T1.2025'!$B$11:$BH$76,64,0),0)</f>
        <v>0</v>
      </c>
      <c r="Y44" s="178">
        <f>IFERROR(VLOOKUP(B44,'DSOAT-T1.2025'!$B$11:$AQ$76,53,0),0)</f>
        <v>0</v>
      </c>
      <c r="Z44" s="28">
        <f t="shared" si="0"/>
        <v>-408954</v>
      </c>
      <c r="AA44" s="178">
        <f>IFERROR(VLOOKUP(B44,'DSOAT-T1.2025'!$B$11:$AS$76,55,0),0)</f>
        <v>0</v>
      </c>
      <c r="AB44" s="28">
        <f t="shared" si="1"/>
        <v>-48930</v>
      </c>
    </row>
    <row r="45" spans="1:28" ht="18" customHeight="1">
      <c r="A45" s="15" t="s">
        <v>179</v>
      </c>
      <c r="B45" s="45" t="s">
        <v>214</v>
      </c>
      <c r="C45" s="46">
        <v>36</v>
      </c>
      <c r="D45" s="47" t="s">
        <v>215</v>
      </c>
      <c r="E45" s="48">
        <v>524</v>
      </c>
      <c r="F45" s="49">
        <v>1.1599999999999999</v>
      </c>
      <c r="G45" s="50">
        <v>23.5</v>
      </c>
      <c r="H45" s="16">
        <v>4991911</v>
      </c>
      <c r="I45" s="16">
        <v>5439468</v>
      </c>
      <c r="J45" s="16">
        <v>0</v>
      </c>
      <c r="K45" s="16">
        <v>10431379</v>
      </c>
      <c r="L45" s="16">
        <v>2000000</v>
      </c>
      <c r="M45" s="16">
        <v>408954</v>
      </c>
      <c r="N45" s="16">
        <v>38948</v>
      </c>
      <c r="O45" s="16">
        <v>4586965</v>
      </c>
      <c r="P45" s="16">
        <v>3396512</v>
      </c>
      <c r="Q45" s="44">
        <v>11214528</v>
      </c>
      <c r="R45" s="61">
        <v>-783149</v>
      </c>
      <c r="S45" s="20" t="s">
        <v>214</v>
      </c>
      <c r="T45" s="28">
        <v>28925404</v>
      </c>
      <c r="U45" s="28">
        <v>18494025</v>
      </c>
      <c r="V45" s="20" t="s">
        <v>214</v>
      </c>
      <c r="W45" s="20" t="s">
        <v>214</v>
      </c>
      <c r="X45" s="20">
        <f>IFERROR(VLOOKUP(B45,'DSOAT-T1.2025'!$B$11:$BH$76,64,0),0)</f>
        <v>0</v>
      </c>
      <c r="Y45" s="178">
        <f>IFERROR(VLOOKUP(B45,'DSOAT-T1.2025'!$B$11:$AQ$76,53,0),0)</f>
        <v>0</v>
      </c>
      <c r="Z45" s="28">
        <f t="shared" si="0"/>
        <v>-408954</v>
      </c>
      <c r="AA45" s="178">
        <f>IFERROR(VLOOKUP(B45,'DSOAT-T1.2025'!$B$11:$AS$76,55,0),0)</f>
        <v>0</v>
      </c>
      <c r="AB45" s="28">
        <f t="shared" si="1"/>
        <v>-4586965</v>
      </c>
    </row>
    <row r="46" spans="1:28" ht="18" customHeight="1">
      <c r="A46" s="15" t="s">
        <v>179</v>
      </c>
      <c r="B46" s="45" t="s">
        <v>283</v>
      </c>
      <c r="C46" s="46">
        <v>37</v>
      </c>
      <c r="D46" s="47" t="s">
        <v>281</v>
      </c>
      <c r="E46" s="48">
        <v>355</v>
      </c>
      <c r="F46" s="49">
        <v>1.05</v>
      </c>
      <c r="G46" s="50">
        <v>23.5</v>
      </c>
      <c r="H46" s="16">
        <v>8173172</v>
      </c>
      <c r="I46" s="16">
        <v>428567</v>
      </c>
      <c r="J46" s="16">
        <v>0</v>
      </c>
      <c r="K46" s="16">
        <v>8601739</v>
      </c>
      <c r="L46" s="16">
        <v>2000000</v>
      </c>
      <c r="M46" s="16">
        <v>408954</v>
      </c>
      <c r="N46" s="16">
        <v>38948</v>
      </c>
      <c r="O46" s="16">
        <v>109639</v>
      </c>
      <c r="P46" s="16">
        <v>6044198</v>
      </c>
      <c r="Q46" s="44">
        <v>8161540</v>
      </c>
      <c r="R46" s="61">
        <v>440199</v>
      </c>
      <c r="S46" s="20" t="s">
        <v>283</v>
      </c>
      <c r="T46" s="28">
        <v>28925404</v>
      </c>
      <c r="U46" s="28">
        <v>20323665</v>
      </c>
      <c r="V46" s="20" t="s">
        <v>283</v>
      </c>
      <c r="W46" s="20" t="s">
        <v>283</v>
      </c>
      <c r="X46" s="20">
        <f>IFERROR(VLOOKUP(B46,'DSOAT-T1.2025'!$B$11:$BH$76,64,0),0)</f>
        <v>0</v>
      </c>
      <c r="Y46" s="178">
        <f>IFERROR(VLOOKUP(B46,'DSOAT-T1.2025'!$B$11:$AQ$76,53,0),0)</f>
        <v>0</v>
      </c>
      <c r="Z46" s="28">
        <f t="shared" si="0"/>
        <v>-408954</v>
      </c>
      <c r="AA46" s="178">
        <f>IFERROR(VLOOKUP(B46,'DSOAT-T1.2025'!$B$11:$AS$76,55,0),0)</f>
        <v>0</v>
      </c>
      <c r="AB46" s="28">
        <f t="shared" si="1"/>
        <v>-109639</v>
      </c>
    </row>
    <row r="47" spans="1:28" ht="18" customHeight="1">
      <c r="A47" s="15" t="s">
        <v>180</v>
      </c>
      <c r="B47" s="45" t="s">
        <v>66</v>
      </c>
      <c r="C47" s="46">
        <v>38</v>
      </c>
      <c r="D47" s="47" t="s">
        <v>67</v>
      </c>
      <c r="E47" s="48">
        <v>335</v>
      </c>
      <c r="F47" s="49">
        <v>1.04</v>
      </c>
      <c r="G47" s="50">
        <v>23.5</v>
      </c>
      <c r="H47" s="16">
        <v>7644296</v>
      </c>
      <c r="I47" s="16">
        <v>1312480</v>
      </c>
      <c r="J47" s="16">
        <v>0</v>
      </c>
      <c r="K47" s="16">
        <v>8956776</v>
      </c>
      <c r="L47" s="16">
        <v>2000000</v>
      </c>
      <c r="M47" s="16">
        <v>365138</v>
      </c>
      <c r="N47" s="16">
        <v>34775</v>
      </c>
      <c r="O47" s="16">
        <v>2968622</v>
      </c>
      <c r="P47" s="16">
        <v>3588241</v>
      </c>
      <c r="Q47" s="44">
        <v>8910522</v>
      </c>
      <c r="R47" s="61">
        <v>46254</v>
      </c>
      <c r="S47" s="20" t="s">
        <v>66</v>
      </c>
      <c r="T47" s="28">
        <v>28925404</v>
      </c>
      <c r="U47" s="28">
        <v>19968628</v>
      </c>
      <c r="V47" s="20" t="s">
        <v>66</v>
      </c>
      <c r="W47" s="20" t="s">
        <v>66</v>
      </c>
      <c r="X47" s="20">
        <f>IFERROR(VLOOKUP(B47,'DSOAT-T1.2025'!$B$11:$BH$76,64,0),0)</f>
        <v>0</v>
      </c>
      <c r="Y47" s="178">
        <f>IFERROR(VLOOKUP(B47,'DSOAT-T1.2025'!$B$11:$AQ$76,53,0),0)</f>
        <v>0</v>
      </c>
      <c r="Z47" s="28">
        <f t="shared" si="0"/>
        <v>-365138</v>
      </c>
      <c r="AA47" s="178">
        <f>IFERROR(VLOOKUP(B47,'DSOAT-T1.2025'!$B$11:$AS$76,55,0),0)</f>
        <v>0</v>
      </c>
      <c r="AB47" s="28">
        <f t="shared" si="1"/>
        <v>-2968622</v>
      </c>
    </row>
    <row r="48" spans="1:28" ht="18" customHeight="1">
      <c r="A48" s="15" t="s">
        <v>180</v>
      </c>
      <c r="B48" s="45" t="s">
        <v>171</v>
      </c>
      <c r="C48" s="46">
        <v>39</v>
      </c>
      <c r="D48" s="47" t="s">
        <v>168</v>
      </c>
      <c r="E48" s="48">
        <v>478</v>
      </c>
      <c r="F48" s="49">
        <v>0.69</v>
      </c>
      <c r="G48" s="50">
        <v>23.5</v>
      </c>
      <c r="H48" s="16">
        <v>2710447</v>
      </c>
      <c r="I48" s="16">
        <v>3856447</v>
      </c>
      <c r="J48" s="16">
        <v>0</v>
      </c>
      <c r="K48" s="16">
        <v>6566894</v>
      </c>
      <c r="L48" s="16">
        <v>2000000</v>
      </c>
      <c r="M48" s="16">
        <v>365138</v>
      </c>
      <c r="N48" s="16">
        <v>34775</v>
      </c>
      <c r="O48" s="16">
        <v>1166777</v>
      </c>
      <c r="P48" s="16">
        <v>3000204</v>
      </c>
      <c r="Q48" s="44">
        <v>7442433</v>
      </c>
      <c r="R48" s="61">
        <v>-875539</v>
      </c>
      <c r="S48" s="20" t="s">
        <v>171</v>
      </c>
      <c r="T48" s="28">
        <v>18458037</v>
      </c>
      <c r="U48" s="28">
        <v>11891143</v>
      </c>
      <c r="V48" s="20" t="s">
        <v>171</v>
      </c>
      <c r="W48" s="20" t="s">
        <v>171</v>
      </c>
      <c r="X48" s="20">
        <f>IFERROR(VLOOKUP(B48,'DSOAT-T1.2025'!$B$11:$BH$76,64,0),0)</f>
        <v>0</v>
      </c>
      <c r="Y48" s="178">
        <f>IFERROR(VLOOKUP(B48,'DSOAT-T1.2025'!$B$11:$AQ$76,53,0),0)</f>
        <v>0</v>
      </c>
      <c r="Z48" s="28">
        <f t="shared" si="0"/>
        <v>-365138</v>
      </c>
      <c r="AA48" s="178">
        <f>IFERROR(VLOOKUP(B48,'DSOAT-T1.2025'!$B$11:$AS$76,55,0),0)</f>
        <v>0</v>
      </c>
      <c r="AB48" s="28">
        <f t="shared" si="1"/>
        <v>-1166777</v>
      </c>
    </row>
    <row r="49" spans="1:28" ht="18" customHeight="1">
      <c r="A49" s="15" t="s">
        <v>180</v>
      </c>
      <c r="B49" s="45" t="s">
        <v>64</v>
      </c>
      <c r="C49" s="46">
        <v>40</v>
      </c>
      <c r="D49" s="47" t="s">
        <v>65</v>
      </c>
      <c r="E49" s="48">
        <v>418</v>
      </c>
      <c r="F49" s="49">
        <v>0.88</v>
      </c>
      <c r="G49" s="50">
        <v>26</v>
      </c>
      <c r="H49" s="16">
        <v>3022893</v>
      </c>
      <c r="I49" s="16">
        <v>2507042</v>
      </c>
      <c r="J49" s="16">
        <v>0</v>
      </c>
      <c r="K49" s="16">
        <v>5529935</v>
      </c>
      <c r="L49" s="16">
        <v>2000000</v>
      </c>
      <c r="M49" s="16">
        <v>365138</v>
      </c>
      <c r="N49" s="16">
        <v>34775</v>
      </c>
      <c r="O49" s="16">
        <v>819636</v>
      </c>
      <c r="P49" s="16">
        <v>2310386</v>
      </c>
      <c r="Q49" s="44">
        <v>5227442</v>
      </c>
      <c r="R49" s="61">
        <v>302493</v>
      </c>
      <c r="S49" s="20" t="s">
        <v>64</v>
      </c>
      <c r="T49" s="28">
        <v>6187990</v>
      </c>
      <c r="U49" s="28">
        <v>658055</v>
      </c>
      <c r="V49" s="20" t="s">
        <v>64</v>
      </c>
      <c r="W49" s="20" t="s">
        <v>64</v>
      </c>
      <c r="X49" s="20">
        <f>IFERROR(VLOOKUP(B49,'DSOAT-T1.2025'!$B$11:$BH$76,64,0),0)</f>
        <v>0</v>
      </c>
      <c r="Y49" s="178">
        <f>IFERROR(VLOOKUP(B49,'DSOAT-T1.2025'!$B$11:$AQ$76,53,0),0)</f>
        <v>0</v>
      </c>
      <c r="Z49" s="28">
        <f t="shared" si="0"/>
        <v>-365138</v>
      </c>
      <c r="AA49" s="178">
        <f>IFERROR(VLOOKUP(B49,'DSOAT-T1.2025'!$B$11:$AS$76,55,0),0)</f>
        <v>0</v>
      </c>
      <c r="AB49" s="28">
        <f t="shared" si="1"/>
        <v>-819636</v>
      </c>
    </row>
    <row r="50" spans="1:28" ht="18" customHeight="1">
      <c r="A50" s="15" t="s">
        <v>180</v>
      </c>
      <c r="B50" s="45" t="s">
        <v>160</v>
      </c>
      <c r="C50" s="46">
        <v>41</v>
      </c>
      <c r="D50" s="47" t="s">
        <v>148</v>
      </c>
      <c r="E50" s="48">
        <v>431</v>
      </c>
      <c r="F50" s="49">
        <v>0.94</v>
      </c>
      <c r="G50" s="50">
        <v>23.5</v>
      </c>
      <c r="H50" s="16">
        <v>3317656</v>
      </c>
      <c r="I50" s="16">
        <v>15155726</v>
      </c>
      <c r="J50" s="16">
        <v>0</v>
      </c>
      <c r="K50" s="16">
        <v>18473382</v>
      </c>
      <c r="L50" s="16">
        <v>2000000</v>
      </c>
      <c r="M50" s="16">
        <v>365138</v>
      </c>
      <c r="N50" s="16">
        <v>34775</v>
      </c>
      <c r="O50" s="16">
        <v>2547649</v>
      </c>
      <c r="P50" s="16">
        <v>13525820</v>
      </c>
      <c r="Q50" s="44">
        <v>22321393</v>
      </c>
      <c r="R50" s="61">
        <v>-3848011</v>
      </c>
      <c r="S50" s="20" t="s">
        <v>160</v>
      </c>
      <c r="T50" s="28">
        <v>24005944</v>
      </c>
      <c r="U50" s="28">
        <v>5532562</v>
      </c>
      <c r="V50" s="20" t="s">
        <v>160</v>
      </c>
      <c r="W50" s="20" t="s">
        <v>160</v>
      </c>
      <c r="X50" s="20">
        <f>IFERROR(VLOOKUP(B50,'DSOAT-T1.2025'!$B$11:$BH$76,64,0),0)</f>
        <v>0</v>
      </c>
      <c r="Y50" s="178">
        <f>IFERROR(VLOOKUP(B50,'DSOAT-T1.2025'!$B$11:$AQ$76,53,0),0)</f>
        <v>0</v>
      </c>
      <c r="Z50" s="28">
        <f t="shared" si="0"/>
        <v>-365138</v>
      </c>
      <c r="AA50" s="178">
        <f>IFERROR(VLOOKUP(B50,'DSOAT-T1.2025'!$B$11:$AS$76,55,0),0)</f>
        <v>0</v>
      </c>
      <c r="AB50" s="28">
        <f t="shared" si="1"/>
        <v>-2547649</v>
      </c>
    </row>
    <row r="51" spans="1:28" ht="18" customHeight="1">
      <c r="A51" s="15" t="s">
        <v>180</v>
      </c>
      <c r="B51" s="45" t="s">
        <v>284</v>
      </c>
      <c r="C51" s="46">
        <v>42</v>
      </c>
      <c r="D51" s="47" t="s">
        <v>282</v>
      </c>
      <c r="E51" s="48">
        <v>472</v>
      </c>
      <c r="F51" s="49">
        <v>0.9</v>
      </c>
      <c r="G51" s="50">
        <v>23.5</v>
      </c>
      <c r="H51" s="16">
        <v>3490988</v>
      </c>
      <c r="I51" s="16">
        <v>5114102</v>
      </c>
      <c r="J51" s="16">
        <v>0</v>
      </c>
      <c r="K51" s="16">
        <v>8605090</v>
      </c>
      <c r="L51" s="16">
        <v>2000000</v>
      </c>
      <c r="M51" s="16">
        <v>365138</v>
      </c>
      <c r="N51" s="16">
        <v>34775</v>
      </c>
      <c r="O51" s="16">
        <v>2219906</v>
      </c>
      <c r="P51" s="16">
        <v>3985271</v>
      </c>
      <c r="Q51" s="44">
        <v>4970496</v>
      </c>
      <c r="R51" s="61">
        <v>3634594</v>
      </c>
      <c r="S51" s="20" t="s">
        <v>284</v>
      </c>
      <c r="T51" s="28">
        <v>24005944</v>
      </c>
      <c r="U51" s="28">
        <v>15400854</v>
      </c>
      <c r="V51" s="20" t="s">
        <v>284</v>
      </c>
      <c r="W51" s="20" t="s">
        <v>284</v>
      </c>
      <c r="X51" s="20">
        <f>IFERROR(VLOOKUP(B51,'DSOAT-T1.2025'!$B$11:$BH$76,64,0),0)</f>
        <v>0</v>
      </c>
      <c r="Y51" s="178">
        <f>IFERROR(VLOOKUP(B51,'DSOAT-T1.2025'!$B$11:$AQ$76,53,0),0)</f>
        <v>0</v>
      </c>
      <c r="Z51" s="28">
        <f t="shared" si="0"/>
        <v>-365138</v>
      </c>
      <c r="AA51" s="178">
        <f>IFERROR(VLOOKUP(B51,'DSOAT-T1.2025'!$B$11:$AS$76,55,0),0)</f>
        <v>0</v>
      </c>
      <c r="AB51" s="28">
        <f t="shared" si="1"/>
        <v>-2219906</v>
      </c>
    </row>
    <row r="52" spans="1:28" ht="18" customHeight="1">
      <c r="A52" s="15" t="s">
        <v>180</v>
      </c>
      <c r="B52" s="45" t="s">
        <v>290</v>
      </c>
      <c r="C52" s="46">
        <v>43</v>
      </c>
      <c r="D52" s="47" t="s">
        <v>289</v>
      </c>
      <c r="E52" s="48">
        <v>355</v>
      </c>
      <c r="F52" s="49">
        <v>0.8</v>
      </c>
      <c r="G52" s="50">
        <v>26</v>
      </c>
      <c r="H52" s="16">
        <v>2333900</v>
      </c>
      <c r="I52" s="16">
        <v>814166</v>
      </c>
      <c r="J52" s="16">
        <v>0</v>
      </c>
      <c r="K52" s="16">
        <v>3148066</v>
      </c>
      <c r="L52" s="16">
        <v>2000000</v>
      </c>
      <c r="M52" s="16">
        <v>365138</v>
      </c>
      <c r="N52" s="16">
        <v>34775</v>
      </c>
      <c r="O52" s="16">
        <v>367948</v>
      </c>
      <c r="P52" s="16">
        <v>380205</v>
      </c>
      <c r="Q52" s="44">
        <v>3660073</v>
      </c>
      <c r="R52" s="61">
        <v>-512007</v>
      </c>
      <c r="S52" s="20" t="s">
        <v>290</v>
      </c>
      <c r="T52" s="28">
        <v>24005944</v>
      </c>
      <c r="U52" s="28">
        <v>20857878</v>
      </c>
      <c r="V52" s="20" t="s">
        <v>290</v>
      </c>
      <c r="W52" s="20" t="s">
        <v>290</v>
      </c>
      <c r="X52" s="20">
        <f>IFERROR(VLOOKUP(B52,'DSOAT-T1.2025'!$B$11:$BH$76,64,0),0)</f>
        <v>0</v>
      </c>
      <c r="Y52" s="178">
        <f>IFERROR(VLOOKUP(B52,'DSOAT-T1.2025'!$B$11:$AQ$76,53,0),0)</f>
        <v>0</v>
      </c>
      <c r="Z52" s="28">
        <f t="shared" si="0"/>
        <v>-365138</v>
      </c>
      <c r="AA52" s="178">
        <f>IFERROR(VLOOKUP(B52,'DSOAT-T1.2025'!$B$11:$AS$76,55,0),0)</f>
        <v>0</v>
      </c>
      <c r="AB52" s="28">
        <f t="shared" si="1"/>
        <v>-367948</v>
      </c>
    </row>
    <row r="53" spans="1:28" ht="18" customHeight="1">
      <c r="A53" s="15" t="s">
        <v>181</v>
      </c>
      <c r="B53" s="45" t="s">
        <v>68</v>
      </c>
      <c r="C53" s="46">
        <v>44</v>
      </c>
      <c r="D53" s="47" t="s">
        <v>69</v>
      </c>
      <c r="E53" s="48">
        <v>335</v>
      </c>
      <c r="F53" s="49">
        <v>0</v>
      </c>
      <c r="G53" s="50">
        <v>0</v>
      </c>
      <c r="H53" s="16">
        <v>0</v>
      </c>
      <c r="I53" s="16">
        <v>0</v>
      </c>
      <c r="J53" s="16">
        <v>0</v>
      </c>
      <c r="K53" s="16">
        <v>0</v>
      </c>
      <c r="L53" s="16">
        <v>0</v>
      </c>
      <c r="M53" s="16">
        <v>0</v>
      </c>
      <c r="N53" s="16">
        <v>0</v>
      </c>
      <c r="O53" s="16">
        <v>50000</v>
      </c>
      <c r="P53" s="16">
        <v>-50000</v>
      </c>
      <c r="Q53" s="44">
        <v>0</v>
      </c>
      <c r="R53" s="61">
        <v>0</v>
      </c>
      <c r="S53" s="20" t="s">
        <v>68</v>
      </c>
      <c r="T53" s="28">
        <v>24005944</v>
      </c>
      <c r="U53" s="28">
        <v>24005944</v>
      </c>
      <c r="V53" s="20" t="s">
        <v>68</v>
      </c>
      <c r="W53" s="20" t="s">
        <v>68</v>
      </c>
      <c r="X53" s="20">
        <f>IFERROR(VLOOKUP(B53,'DSOAT-T1.2025'!$B$11:$BH$76,64,0),0)</f>
        <v>0</v>
      </c>
      <c r="Y53" s="178">
        <f>IFERROR(VLOOKUP(B53,'DSOAT-T1.2025'!$B$11:$AQ$76,53,0),0)</f>
        <v>0</v>
      </c>
      <c r="Z53" s="28">
        <f t="shared" si="0"/>
        <v>0</v>
      </c>
      <c r="AA53" s="178">
        <f>IFERROR(VLOOKUP(B53,'DSOAT-T1.2025'!$B$11:$AS$76,55,0),0)</f>
        <v>0</v>
      </c>
      <c r="AB53" s="28">
        <f t="shared" si="1"/>
        <v>-50000</v>
      </c>
    </row>
    <row r="54" spans="1:28" ht="18" customHeight="1">
      <c r="A54" s="15" t="s">
        <v>181</v>
      </c>
      <c r="B54" s="45" t="s">
        <v>71</v>
      </c>
      <c r="C54" s="46">
        <v>45</v>
      </c>
      <c r="D54" s="47" t="s">
        <v>72</v>
      </c>
      <c r="E54" s="48">
        <v>418</v>
      </c>
      <c r="F54" s="49">
        <v>1.23</v>
      </c>
      <c r="G54" s="50">
        <v>23.5</v>
      </c>
      <c r="H54" s="16">
        <v>4217619</v>
      </c>
      <c r="I54" s="16">
        <v>6603554</v>
      </c>
      <c r="J54" s="16">
        <v>0</v>
      </c>
      <c r="K54" s="16">
        <v>10821173</v>
      </c>
      <c r="L54" s="16">
        <v>2000000</v>
      </c>
      <c r="M54" s="16">
        <v>365138</v>
      </c>
      <c r="N54" s="16">
        <v>34775</v>
      </c>
      <c r="O54" s="16">
        <v>2319750</v>
      </c>
      <c r="P54" s="16">
        <v>6101510</v>
      </c>
      <c r="Q54" s="44">
        <v>12037561</v>
      </c>
      <c r="R54" s="61">
        <v>-1216388</v>
      </c>
      <c r="S54" s="20" t="s">
        <v>71</v>
      </c>
      <c r="T54" s="28">
        <v>9363634</v>
      </c>
      <c r="U54" s="28">
        <v>-1457539</v>
      </c>
      <c r="V54" s="20" t="s">
        <v>71</v>
      </c>
      <c r="W54" s="20" t="s">
        <v>71</v>
      </c>
      <c r="X54" s="20">
        <f>IFERROR(VLOOKUP(B54,'DSOAT-T1.2025'!$B$11:$BH$76,64,0),0)</f>
        <v>0</v>
      </c>
      <c r="Y54" s="178">
        <f>IFERROR(VLOOKUP(B54,'DSOAT-T1.2025'!$B$11:$AQ$76,53,0),0)</f>
        <v>0</v>
      </c>
      <c r="Z54" s="28">
        <f t="shared" si="0"/>
        <v>-365138</v>
      </c>
      <c r="AA54" s="178">
        <f>IFERROR(VLOOKUP(B54,'DSOAT-T1.2025'!$B$11:$AS$76,55,0),0)</f>
        <v>0</v>
      </c>
      <c r="AB54" s="28">
        <f t="shared" si="1"/>
        <v>-2319750</v>
      </c>
    </row>
    <row r="55" spans="1:28" ht="18" customHeight="1">
      <c r="A55" s="15" t="s">
        <v>181</v>
      </c>
      <c r="B55" s="45" t="s">
        <v>73</v>
      </c>
      <c r="C55" s="46">
        <v>46</v>
      </c>
      <c r="D55" s="47" t="s">
        <v>182</v>
      </c>
      <c r="E55" s="48">
        <v>431</v>
      </c>
      <c r="F55" s="49">
        <v>1.01</v>
      </c>
      <c r="G55" s="50">
        <v>23.5</v>
      </c>
      <c r="H55" s="16">
        <v>3569020</v>
      </c>
      <c r="I55" s="16">
        <v>4610722</v>
      </c>
      <c r="J55" s="16">
        <v>0</v>
      </c>
      <c r="K55" s="16">
        <v>8179742</v>
      </c>
      <c r="L55" s="16">
        <v>2000000</v>
      </c>
      <c r="M55" s="16">
        <v>365138</v>
      </c>
      <c r="N55" s="16">
        <v>34775</v>
      </c>
      <c r="O55" s="16">
        <v>7900440</v>
      </c>
      <c r="P55" s="16">
        <v>-2120611</v>
      </c>
      <c r="Q55" s="44">
        <v>8172087</v>
      </c>
      <c r="R55" s="61">
        <v>7655</v>
      </c>
      <c r="S55" s="20" t="s">
        <v>73</v>
      </c>
      <c r="T55" s="28">
        <v>9654509</v>
      </c>
      <c r="U55" s="28">
        <v>1474767</v>
      </c>
      <c r="V55" s="20" t="s">
        <v>73</v>
      </c>
      <c r="W55" s="20" t="s">
        <v>73</v>
      </c>
      <c r="X55" s="20">
        <f>IFERROR(VLOOKUP(B55,'DSOAT-T1.2025'!$B$11:$BH$76,64,0),0)</f>
        <v>0</v>
      </c>
      <c r="Y55" s="178">
        <f>IFERROR(VLOOKUP(B55,'DSOAT-T1.2025'!$B$11:$AQ$76,53,0),0)</f>
        <v>0</v>
      </c>
      <c r="Z55" s="28">
        <f t="shared" si="0"/>
        <v>-365138</v>
      </c>
      <c r="AA55" s="178">
        <f>IFERROR(VLOOKUP(B55,'DSOAT-T1.2025'!$B$11:$AS$76,55,0),0)</f>
        <v>0</v>
      </c>
      <c r="AB55" s="28">
        <f t="shared" si="1"/>
        <v>-7900440</v>
      </c>
    </row>
    <row r="56" spans="1:28" ht="18" customHeight="1">
      <c r="A56" s="15" t="s">
        <v>181</v>
      </c>
      <c r="B56" s="45" t="s">
        <v>75</v>
      </c>
      <c r="C56" s="46">
        <v>47</v>
      </c>
      <c r="D56" s="47" t="s">
        <v>76</v>
      </c>
      <c r="E56" s="48">
        <v>418</v>
      </c>
      <c r="F56" s="49">
        <v>1.2</v>
      </c>
      <c r="G56" s="50">
        <v>23.5</v>
      </c>
      <c r="H56" s="16">
        <v>4114750</v>
      </c>
      <c r="I56" s="16">
        <v>1466168</v>
      </c>
      <c r="J56" s="16">
        <v>0</v>
      </c>
      <c r="K56" s="16">
        <v>5580918</v>
      </c>
      <c r="L56" s="16">
        <v>2000000</v>
      </c>
      <c r="M56" s="16">
        <v>365138</v>
      </c>
      <c r="N56" s="16">
        <v>34775</v>
      </c>
      <c r="O56" s="16">
        <v>3509352</v>
      </c>
      <c r="P56" s="16">
        <v>-328347</v>
      </c>
      <c r="Q56" s="44">
        <v>5299529</v>
      </c>
      <c r="R56" s="61">
        <v>281389</v>
      </c>
      <c r="S56" s="20" t="s">
        <v>75</v>
      </c>
      <c r="T56" s="28">
        <v>9075874</v>
      </c>
      <c r="U56" s="28">
        <v>3494956</v>
      </c>
      <c r="V56" s="20" t="s">
        <v>75</v>
      </c>
      <c r="W56" s="20" t="s">
        <v>75</v>
      </c>
      <c r="X56" s="20">
        <f>IFERROR(VLOOKUP(B56,'DSOAT-T1.2025'!$B$11:$BH$76,64,0),0)</f>
        <v>0</v>
      </c>
      <c r="Y56" s="178">
        <f>IFERROR(VLOOKUP(B56,'DSOAT-T1.2025'!$B$11:$AQ$76,53,0),0)</f>
        <v>0</v>
      </c>
      <c r="Z56" s="28">
        <f t="shared" si="0"/>
        <v>-365138</v>
      </c>
      <c r="AA56" s="178">
        <f>IFERROR(VLOOKUP(B56,'DSOAT-T1.2025'!$B$11:$AS$76,55,0),0)</f>
        <v>0</v>
      </c>
      <c r="AB56" s="28">
        <f t="shared" si="1"/>
        <v>-3509352</v>
      </c>
    </row>
    <row r="57" spans="1:28" ht="18" customHeight="1">
      <c r="A57" s="15" t="s">
        <v>181</v>
      </c>
      <c r="B57" s="45" t="s">
        <v>162</v>
      </c>
      <c r="C57" s="46">
        <v>48</v>
      </c>
      <c r="D57" s="47" t="s">
        <v>150</v>
      </c>
      <c r="E57" s="48">
        <v>431</v>
      </c>
      <c r="F57" s="49">
        <v>1.05</v>
      </c>
      <c r="G57" s="50">
        <v>23.5</v>
      </c>
      <c r="H57" s="16">
        <v>3708875</v>
      </c>
      <c r="I57" s="16">
        <v>6082020</v>
      </c>
      <c r="J57" s="16">
        <v>0</v>
      </c>
      <c r="K57" s="16">
        <v>9790895</v>
      </c>
      <c r="L57" s="16">
        <v>2000000</v>
      </c>
      <c r="M57" s="16">
        <v>365138</v>
      </c>
      <c r="N57" s="16">
        <v>34775</v>
      </c>
      <c r="O57" s="16">
        <v>3948231</v>
      </c>
      <c r="P57" s="16">
        <v>3442751</v>
      </c>
      <c r="Q57" s="44">
        <v>8906015</v>
      </c>
      <c r="R57" s="61">
        <v>884880</v>
      </c>
      <c r="S57" s="20" t="s">
        <v>162</v>
      </c>
      <c r="T57" s="28">
        <v>11229313</v>
      </c>
      <c r="U57" s="28">
        <v>1438418</v>
      </c>
      <c r="V57" s="20" t="s">
        <v>162</v>
      </c>
      <c r="W57" s="20" t="s">
        <v>162</v>
      </c>
      <c r="X57" s="20">
        <f>IFERROR(VLOOKUP(B57,'DSOAT-T1.2025'!$B$11:$BH$76,64,0),0)</f>
        <v>0</v>
      </c>
      <c r="Y57" s="178">
        <f>IFERROR(VLOOKUP(B57,'DSOAT-T1.2025'!$B$11:$AQ$76,53,0),0)</f>
        <v>0</v>
      </c>
      <c r="Z57" s="28">
        <f t="shared" si="0"/>
        <v>-365138</v>
      </c>
      <c r="AA57" s="178">
        <f>IFERROR(VLOOKUP(B57,'DSOAT-T1.2025'!$B$11:$AS$76,55,0),0)</f>
        <v>0</v>
      </c>
      <c r="AB57" s="28">
        <f t="shared" si="1"/>
        <v>-3948231</v>
      </c>
    </row>
    <row r="58" spans="1:28" ht="18" customHeight="1">
      <c r="A58" s="15" t="s">
        <v>181</v>
      </c>
      <c r="B58" s="45" t="s">
        <v>166</v>
      </c>
      <c r="C58" s="46">
        <v>49</v>
      </c>
      <c r="D58" s="47" t="s">
        <v>149</v>
      </c>
      <c r="E58" s="48">
        <v>431</v>
      </c>
      <c r="F58" s="49">
        <v>1.24</v>
      </c>
      <c r="G58" s="50">
        <v>23.5</v>
      </c>
      <c r="H58" s="16">
        <v>4387051</v>
      </c>
      <c r="I58" s="16">
        <v>6460764</v>
      </c>
      <c r="J58" s="16">
        <v>0</v>
      </c>
      <c r="K58" s="16">
        <v>10847815</v>
      </c>
      <c r="L58" s="16">
        <v>2000000</v>
      </c>
      <c r="M58" s="16">
        <v>365138</v>
      </c>
      <c r="N58" s="16">
        <v>34775</v>
      </c>
      <c r="O58" s="16">
        <v>2884415</v>
      </c>
      <c r="P58" s="16">
        <v>5563487</v>
      </c>
      <c r="Q58" s="44">
        <v>10292764</v>
      </c>
      <c r="R58" s="61">
        <v>555051</v>
      </c>
      <c r="S58" s="20" t="s">
        <v>166</v>
      </c>
      <c r="T58" s="28">
        <v>11956714</v>
      </c>
      <c r="U58" s="28">
        <v>1108899</v>
      </c>
      <c r="V58" s="20" t="s">
        <v>166</v>
      </c>
      <c r="W58" s="20" t="s">
        <v>166</v>
      </c>
      <c r="X58" s="20">
        <f>IFERROR(VLOOKUP(B58,'DSOAT-T1.2025'!$B$11:$BH$76,64,0),0)</f>
        <v>0</v>
      </c>
      <c r="Y58" s="178">
        <f>IFERROR(VLOOKUP(B58,'DSOAT-T1.2025'!$B$11:$AQ$76,53,0),0)</f>
        <v>0</v>
      </c>
      <c r="Z58" s="28">
        <f t="shared" si="0"/>
        <v>-365138</v>
      </c>
      <c r="AA58" s="178">
        <f>IFERROR(VLOOKUP(B58,'DSOAT-T1.2025'!$B$11:$AS$76,55,0),0)</f>
        <v>0</v>
      </c>
      <c r="AB58" s="28">
        <f t="shared" si="1"/>
        <v>-2884415</v>
      </c>
    </row>
    <row r="59" spans="1:28" ht="18" customHeight="1">
      <c r="A59" s="15" t="s">
        <v>179</v>
      </c>
      <c r="B59" s="45" t="s">
        <v>165</v>
      </c>
      <c r="C59" s="46">
        <v>50</v>
      </c>
      <c r="D59" s="47" t="s">
        <v>151</v>
      </c>
      <c r="E59" s="48">
        <v>431</v>
      </c>
      <c r="F59" s="49">
        <v>1.35</v>
      </c>
      <c r="G59" s="50">
        <v>21</v>
      </c>
      <c r="H59" s="16">
        <v>4270119</v>
      </c>
      <c r="I59" s="16">
        <v>4880064</v>
      </c>
      <c r="J59" s="16">
        <v>0</v>
      </c>
      <c r="K59" s="16">
        <v>9150183</v>
      </c>
      <c r="L59" s="16">
        <v>2000000</v>
      </c>
      <c r="M59" s="16">
        <v>408954</v>
      </c>
      <c r="N59" s="16">
        <v>38948</v>
      </c>
      <c r="O59" s="16">
        <v>6548216</v>
      </c>
      <c r="P59" s="16">
        <v>154065</v>
      </c>
      <c r="Q59" s="44">
        <v>9273539</v>
      </c>
      <c r="R59" s="61">
        <v>-123356</v>
      </c>
      <c r="S59" s="20" t="s">
        <v>165</v>
      </c>
      <c r="T59" s="28">
        <v>16496660</v>
      </c>
      <c r="U59" s="28">
        <v>7346477</v>
      </c>
      <c r="V59" s="20" t="s">
        <v>165</v>
      </c>
      <c r="W59" s="20" t="s">
        <v>165</v>
      </c>
      <c r="X59" s="20">
        <f>IFERROR(VLOOKUP(B59,'DSOAT-T1.2025'!$B$11:$BH$76,64,0),0)</f>
        <v>0</v>
      </c>
      <c r="Y59" s="178">
        <f>IFERROR(VLOOKUP(B59,'DSOAT-T1.2025'!$B$11:$AQ$76,53,0),0)</f>
        <v>0</v>
      </c>
      <c r="Z59" s="28">
        <f t="shared" si="0"/>
        <v>-408954</v>
      </c>
      <c r="AA59" s="178">
        <f>IFERROR(VLOOKUP(B59,'DSOAT-T1.2025'!$B$11:$AS$76,55,0),0)</f>
        <v>0</v>
      </c>
      <c r="AB59" s="28">
        <f t="shared" si="1"/>
        <v>-6548216</v>
      </c>
    </row>
    <row r="60" spans="1:28" ht="18" customHeight="1">
      <c r="A60" s="15" t="s">
        <v>183</v>
      </c>
      <c r="B60" s="45" t="s">
        <v>84</v>
      </c>
      <c r="C60" s="46">
        <v>51</v>
      </c>
      <c r="D60" s="47" t="s">
        <v>139</v>
      </c>
      <c r="E60" s="48">
        <v>341</v>
      </c>
      <c r="F60" s="49">
        <v>1.01</v>
      </c>
      <c r="G60" s="50">
        <v>24.5</v>
      </c>
      <c r="H60" s="16">
        <v>7533072</v>
      </c>
      <c r="I60" s="16">
        <v>0</v>
      </c>
      <c r="J60" s="16">
        <v>0</v>
      </c>
      <c r="K60" s="16">
        <v>7533072</v>
      </c>
      <c r="L60" s="16">
        <v>2000000</v>
      </c>
      <c r="M60" s="16">
        <v>467376</v>
      </c>
      <c r="N60" s="16">
        <v>44512</v>
      </c>
      <c r="O60" s="16">
        <v>812502</v>
      </c>
      <c r="P60" s="16">
        <v>4208682</v>
      </c>
      <c r="Q60" s="44">
        <v>7489516</v>
      </c>
      <c r="R60" s="61">
        <v>43556</v>
      </c>
      <c r="S60" s="20" t="s">
        <v>84</v>
      </c>
      <c r="T60" s="28">
        <v>5022351</v>
      </c>
      <c r="U60" s="28">
        <v>-2510721</v>
      </c>
      <c r="V60" s="20" t="s">
        <v>84</v>
      </c>
      <c r="W60" s="20">
        <v>0</v>
      </c>
      <c r="X60" s="20">
        <f>IFERROR(VLOOKUP(B60,'DSOAT-T1.2025'!$B$11:$BH$76,64,0),0)</f>
        <v>0</v>
      </c>
      <c r="Y60" s="178">
        <f>IFERROR(VLOOKUP(B60,'DSOAT-T1.2025'!$B$11:$AQ$76,53,0),0)</f>
        <v>0</v>
      </c>
      <c r="Z60" s="28">
        <f t="shared" si="0"/>
        <v>-467376</v>
      </c>
      <c r="AA60" s="178">
        <f>IFERROR(VLOOKUP(B60,'DSOAT-T1.2025'!$B$11:$AS$76,55,0),0)</f>
        <v>0</v>
      </c>
      <c r="AB60" s="28">
        <f t="shared" si="1"/>
        <v>-812502</v>
      </c>
    </row>
    <row r="61" spans="1:28" ht="18" customHeight="1">
      <c r="A61" s="15" t="s">
        <v>183</v>
      </c>
      <c r="B61" s="45" t="s">
        <v>57</v>
      </c>
      <c r="C61" s="46">
        <v>52</v>
      </c>
      <c r="D61" s="47" t="s">
        <v>58</v>
      </c>
      <c r="E61" s="48">
        <v>415</v>
      </c>
      <c r="F61" s="49">
        <v>1</v>
      </c>
      <c r="G61" s="50">
        <v>23.5</v>
      </c>
      <c r="H61" s="16">
        <v>9077045</v>
      </c>
      <c r="I61" s="16">
        <v>0</v>
      </c>
      <c r="J61" s="16">
        <v>0</v>
      </c>
      <c r="K61" s="16">
        <v>9077045</v>
      </c>
      <c r="L61" s="16">
        <v>2000000</v>
      </c>
      <c r="M61" s="16">
        <v>467376</v>
      </c>
      <c r="N61" s="16">
        <v>44512</v>
      </c>
      <c r="O61" s="16">
        <v>710967</v>
      </c>
      <c r="P61" s="16">
        <v>5854190</v>
      </c>
      <c r="Q61" s="44">
        <v>8751426</v>
      </c>
      <c r="R61" s="61">
        <v>325619</v>
      </c>
      <c r="S61" s="20" t="s">
        <v>57</v>
      </c>
      <c r="T61" s="28">
        <v>0</v>
      </c>
      <c r="U61" s="28">
        <v>-9077045</v>
      </c>
      <c r="V61" s="20" t="s">
        <v>57</v>
      </c>
      <c r="W61" s="20">
        <v>0</v>
      </c>
      <c r="X61" s="20">
        <f>IFERROR(VLOOKUP(B61,'DSOAT-T1.2025'!$B$11:$BH$76,64,0),0)</f>
        <v>0</v>
      </c>
      <c r="Y61" s="178">
        <f>IFERROR(VLOOKUP(B61,'DSOAT-T1.2025'!$B$11:$AQ$76,53,0),0)</f>
        <v>0</v>
      </c>
      <c r="Z61" s="28">
        <f t="shared" si="0"/>
        <v>-467376</v>
      </c>
      <c r="AA61" s="178">
        <f>IFERROR(VLOOKUP(B61,'DSOAT-T1.2025'!$B$11:$AS$76,55,0),0)</f>
        <v>0</v>
      </c>
      <c r="AB61" s="28">
        <f t="shared" si="1"/>
        <v>-710967</v>
      </c>
    </row>
    <row r="62" spans="1:28" ht="18" customHeight="1">
      <c r="A62" s="15" t="s">
        <v>183</v>
      </c>
      <c r="B62" s="45" t="s">
        <v>77</v>
      </c>
      <c r="C62" s="46">
        <v>53</v>
      </c>
      <c r="D62" s="47" t="s">
        <v>78</v>
      </c>
      <c r="E62" s="48">
        <v>524</v>
      </c>
      <c r="F62" s="49">
        <v>1.1499999999999999</v>
      </c>
      <c r="G62" s="50">
        <v>24.5</v>
      </c>
      <c r="H62" s="16">
        <v>4936624</v>
      </c>
      <c r="I62" s="16">
        <v>5006105</v>
      </c>
      <c r="J62" s="16">
        <v>0</v>
      </c>
      <c r="K62" s="16">
        <v>9942729</v>
      </c>
      <c r="L62" s="16">
        <v>2000000</v>
      </c>
      <c r="M62" s="16">
        <v>467376</v>
      </c>
      <c r="N62" s="16">
        <v>44512</v>
      </c>
      <c r="O62" s="16">
        <v>5623559</v>
      </c>
      <c r="P62" s="16">
        <v>1807282</v>
      </c>
      <c r="Q62" s="44">
        <v>9684281</v>
      </c>
      <c r="R62" s="61">
        <v>258448</v>
      </c>
      <c r="S62" s="20" t="s">
        <v>77</v>
      </c>
      <c r="T62" s="28">
        <v>8828967</v>
      </c>
      <c r="U62" s="28">
        <v>-1113762</v>
      </c>
      <c r="V62" s="20" t="s">
        <v>77</v>
      </c>
      <c r="W62" s="20" t="s">
        <v>77</v>
      </c>
      <c r="X62" s="20">
        <f>IFERROR(VLOOKUP(B62,'DSOAT-T1.2025'!$B$11:$BH$76,64,0),0)</f>
        <v>0</v>
      </c>
      <c r="Y62" s="178">
        <f>IFERROR(VLOOKUP(B62,'DSOAT-T1.2025'!$B$11:$AQ$76,53,0),0)</f>
        <v>0</v>
      </c>
      <c r="Z62" s="28">
        <f t="shared" si="0"/>
        <v>-467376</v>
      </c>
      <c r="AA62" s="178">
        <f>IFERROR(VLOOKUP(B62,'DSOAT-T1.2025'!$B$11:$AS$76,55,0),0)</f>
        <v>0</v>
      </c>
      <c r="AB62" s="28">
        <f t="shared" si="1"/>
        <v>-5623559</v>
      </c>
    </row>
    <row r="63" spans="1:28" ht="18" customHeight="1">
      <c r="A63" s="15" t="s">
        <v>183</v>
      </c>
      <c r="B63" s="45" t="s">
        <v>80</v>
      </c>
      <c r="C63" s="46">
        <v>54</v>
      </c>
      <c r="D63" s="47" t="s">
        <v>81</v>
      </c>
      <c r="E63" s="48">
        <v>418</v>
      </c>
      <c r="F63" s="49">
        <v>1.3</v>
      </c>
      <c r="G63" s="50">
        <v>28.5</v>
      </c>
      <c r="H63" s="16">
        <v>4451645</v>
      </c>
      <c r="I63" s="16">
        <v>3040334</v>
      </c>
      <c r="J63" s="16">
        <v>0</v>
      </c>
      <c r="K63" s="16">
        <v>7491979</v>
      </c>
      <c r="L63" s="16">
        <v>2000000</v>
      </c>
      <c r="M63" s="16">
        <v>467376</v>
      </c>
      <c r="N63" s="16">
        <v>44512</v>
      </c>
      <c r="O63" s="16">
        <v>678636</v>
      </c>
      <c r="P63" s="16">
        <v>4301455</v>
      </c>
      <c r="Q63" s="44">
        <v>8061840</v>
      </c>
      <c r="R63" s="61">
        <v>-569861</v>
      </c>
      <c r="S63" s="20" t="s">
        <v>80</v>
      </c>
      <c r="T63" s="28">
        <v>8830256</v>
      </c>
      <c r="U63" s="28">
        <v>1338277</v>
      </c>
      <c r="V63" s="20" t="s">
        <v>80</v>
      </c>
      <c r="W63" s="20" t="s">
        <v>80</v>
      </c>
      <c r="X63" s="20">
        <f>IFERROR(VLOOKUP(B63,'DSOAT-T1.2025'!$B$11:$BH$76,64,0),0)</f>
        <v>0</v>
      </c>
      <c r="Y63" s="178">
        <f>IFERROR(VLOOKUP(B63,'DSOAT-T1.2025'!$B$11:$AQ$76,53,0),0)</f>
        <v>0</v>
      </c>
      <c r="Z63" s="28">
        <f t="shared" si="0"/>
        <v>-467376</v>
      </c>
      <c r="AA63" s="178">
        <f>IFERROR(VLOOKUP(B63,'DSOAT-T1.2025'!$B$11:$AS$76,55,0),0)</f>
        <v>0</v>
      </c>
      <c r="AB63" s="28">
        <f t="shared" si="1"/>
        <v>-678636</v>
      </c>
    </row>
    <row r="64" spans="1:28" ht="18" customHeight="1">
      <c r="A64" s="15" t="s">
        <v>183</v>
      </c>
      <c r="B64" s="45" t="s">
        <v>220</v>
      </c>
      <c r="C64" s="46">
        <v>55</v>
      </c>
      <c r="D64" s="47" t="s">
        <v>221</v>
      </c>
      <c r="E64" s="48">
        <v>418</v>
      </c>
      <c r="F64" s="49">
        <v>1.1200000000000001</v>
      </c>
      <c r="G64" s="50">
        <v>28.5</v>
      </c>
      <c r="H64" s="16">
        <v>3835263</v>
      </c>
      <c r="I64" s="16">
        <v>1557420</v>
      </c>
      <c r="J64" s="16">
        <v>0</v>
      </c>
      <c r="K64" s="16">
        <v>5392683</v>
      </c>
      <c r="L64" s="16">
        <v>2000000</v>
      </c>
      <c r="M64" s="16">
        <v>467376</v>
      </c>
      <c r="N64" s="16">
        <v>44512</v>
      </c>
      <c r="O64" s="16">
        <v>387531</v>
      </c>
      <c r="P64" s="16">
        <v>2493264</v>
      </c>
      <c r="Q64" s="44">
        <v>5075523</v>
      </c>
      <c r="R64" s="61">
        <v>317160</v>
      </c>
      <c r="S64" s="20" t="s">
        <v>220</v>
      </c>
      <c r="T64" s="28">
        <v>8830256</v>
      </c>
      <c r="U64" s="28">
        <v>3437573</v>
      </c>
      <c r="V64" s="20" t="s">
        <v>220</v>
      </c>
      <c r="W64" s="20" t="s">
        <v>220</v>
      </c>
      <c r="X64" s="20">
        <f>IFERROR(VLOOKUP(B64,'DSOAT-T1.2025'!$B$11:$BH$76,64,0),0)</f>
        <v>0</v>
      </c>
      <c r="Y64" s="178">
        <f>IFERROR(VLOOKUP(B64,'DSOAT-T1.2025'!$B$11:$AQ$76,53,0),0)</f>
        <v>0</v>
      </c>
      <c r="Z64" s="28">
        <f t="shared" si="0"/>
        <v>-467376</v>
      </c>
      <c r="AA64" s="178">
        <f>IFERROR(VLOOKUP(B64,'DSOAT-T1.2025'!$B$11:$AS$76,55,0),0)</f>
        <v>0</v>
      </c>
      <c r="AB64" s="28">
        <f t="shared" si="1"/>
        <v>-387531</v>
      </c>
    </row>
    <row r="65" spans="1:28" ht="18" customHeight="1">
      <c r="A65" s="15" t="s">
        <v>183</v>
      </c>
      <c r="B65" s="15" t="s">
        <v>141</v>
      </c>
      <c r="C65" s="46">
        <v>56</v>
      </c>
      <c r="D65" s="47" t="s">
        <v>187</v>
      </c>
      <c r="E65" s="48">
        <v>478</v>
      </c>
      <c r="F65" s="49">
        <v>1.22</v>
      </c>
      <c r="G65" s="50">
        <v>24.5</v>
      </c>
      <c r="H65" s="16">
        <v>4777367</v>
      </c>
      <c r="I65" s="16">
        <v>6634559</v>
      </c>
      <c r="J65" s="16">
        <v>0</v>
      </c>
      <c r="K65" s="16">
        <v>11411926</v>
      </c>
      <c r="L65" s="16">
        <v>2000000</v>
      </c>
      <c r="M65" s="16">
        <v>467376</v>
      </c>
      <c r="N65" s="16">
        <v>44512</v>
      </c>
      <c r="O65" s="16">
        <v>1811633</v>
      </c>
      <c r="P65" s="16">
        <v>7088405</v>
      </c>
      <c r="Q65" s="44">
        <v>12723866</v>
      </c>
      <c r="R65" s="61">
        <v>-1311940</v>
      </c>
      <c r="S65" s="20" t="s">
        <v>141</v>
      </c>
      <c r="T65" s="28">
        <v>9087627</v>
      </c>
      <c r="U65" s="28">
        <v>-2324299</v>
      </c>
      <c r="V65" s="20" t="s">
        <v>141</v>
      </c>
      <c r="W65" s="20" t="s">
        <v>141</v>
      </c>
      <c r="X65" s="20">
        <f>IFERROR(VLOOKUP(B65,'DSOAT-T1.2025'!$B$11:$BH$76,64,0),0)</f>
        <v>0</v>
      </c>
      <c r="Y65" s="178">
        <f>IFERROR(VLOOKUP(B65,'DSOAT-T1.2025'!$B$11:$AQ$76,53,0),0)</f>
        <v>0</v>
      </c>
      <c r="Z65" s="28">
        <f t="shared" si="0"/>
        <v>-467376</v>
      </c>
      <c r="AA65" s="178">
        <f>IFERROR(VLOOKUP(B65,'DSOAT-T1.2025'!$B$11:$AS$76,55,0),0)</f>
        <v>0</v>
      </c>
      <c r="AB65" s="28">
        <f t="shared" si="1"/>
        <v>-1811633</v>
      </c>
    </row>
    <row r="66" spans="1:28" ht="18" customHeight="1">
      <c r="A66" s="15" t="s">
        <v>183</v>
      </c>
      <c r="B66" s="45" t="s">
        <v>161</v>
      </c>
      <c r="C66" s="46">
        <v>57</v>
      </c>
      <c r="D66" s="47" t="s">
        <v>152</v>
      </c>
      <c r="E66" s="48">
        <v>478</v>
      </c>
      <c r="F66" s="49">
        <v>1.39</v>
      </c>
      <c r="G66" s="50">
        <v>25</v>
      </c>
      <c r="H66" s="16">
        <v>5443066</v>
      </c>
      <c r="I66" s="16">
        <v>8322478</v>
      </c>
      <c r="J66" s="16">
        <v>0</v>
      </c>
      <c r="K66" s="16">
        <v>13765544</v>
      </c>
      <c r="L66" s="16">
        <v>2000000</v>
      </c>
      <c r="M66" s="16">
        <v>467376</v>
      </c>
      <c r="N66" s="16">
        <v>44512</v>
      </c>
      <c r="O66" s="16">
        <v>1675977</v>
      </c>
      <c r="P66" s="16">
        <v>9577679</v>
      </c>
      <c r="Q66" s="44">
        <v>10708663</v>
      </c>
      <c r="R66" s="61">
        <v>3056881</v>
      </c>
      <c r="S66" s="20" t="s">
        <v>161</v>
      </c>
      <c r="T66" s="28">
        <v>17344084</v>
      </c>
      <c r="U66" s="28">
        <v>3578540</v>
      </c>
      <c r="V66" s="20" t="s">
        <v>161</v>
      </c>
      <c r="W66" s="20" t="s">
        <v>161</v>
      </c>
      <c r="X66" s="20">
        <f>IFERROR(VLOOKUP(B66,'DSOAT-T1.2025'!$B$11:$BH$76,64,0),0)</f>
        <v>0</v>
      </c>
      <c r="Y66" s="178">
        <f>IFERROR(VLOOKUP(B66,'DSOAT-T1.2025'!$B$11:$AQ$76,53,0),0)</f>
        <v>0</v>
      </c>
      <c r="Z66" s="28">
        <f t="shared" si="0"/>
        <v>-467376</v>
      </c>
      <c r="AA66" s="178">
        <f>IFERROR(VLOOKUP(B66,'DSOAT-T1.2025'!$B$11:$AS$76,55,0),0)</f>
        <v>0</v>
      </c>
      <c r="AB66" s="28">
        <f t="shared" si="1"/>
        <v>-1675977</v>
      </c>
    </row>
    <row r="67" spans="1:28" ht="18" customHeight="1">
      <c r="A67" s="15" t="s">
        <v>183</v>
      </c>
      <c r="B67" s="45" t="s">
        <v>204</v>
      </c>
      <c r="C67" s="46">
        <v>58</v>
      </c>
      <c r="D67" s="47" t="s">
        <v>205</v>
      </c>
      <c r="E67" s="48">
        <v>431</v>
      </c>
      <c r="F67" s="49">
        <v>1.03</v>
      </c>
      <c r="G67" s="50">
        <v>24.5</v>
      </c>
      <c r="H67" s="16">
        <v>3642254</v>
      </c>
      <c r="I67" s="16">
        <v>8404093</v>
      </c>
      <c r="J67" s="16">
        <v>0</v>
      </c>
      <c r="K67" s="16">
        <v>12046347</v>
      </c>
      <c r="L67" s="16">
        <v>2000000</v>
      </c>
      <c r="M67" s="16">
        <v>467376</v>
      </c>
      <c r="N67" s="16">
        <v>44512</v>
      </c>
      <c r="O67" s="16">
        <v>1482746</v>
      </c>
      <c r="P67" s="16">
        <v>8051713</v>
      </c>
      <c r="Q67" s="44">
        <v>15993039</v>
      </c>
      <c r="R67" s="61">
        <v>-3946692</v>
      </c>
      <c r="S67" s="20" t="s">
        <v>204</v>
      </c>
      <c r="T67" s="28">
        <v>17344084</v>
      </c>
      <c r="U67" s="28">
        <v>5297737</v>
      </c>
      <c r="V67" s="20" t="s">
        <v>204</v>
      </c>
      <c r="W67" s="20" t="s">
        <v>204</v>
      </c>
      <c r="X67" s="20">
        <f>IFERROR(VLOOKUP(B67,'DSOAT-T1.2025'!$B$11:$BH$76,64,0),0)</f>
        <v>0</v>
      </c>
      <c r="Y67" s="178">
        <f>IFERROR(VLOOKUP(B67,'DSOAT-T1.2025'!$B$11:$AQ$76,53,0),0)</f>
        <v>0</v>
      </c>
      <c r="Z67" s="28">
        <f t="shared" si="0"/>
        <v>-467376</v>
      </c>
      <c r="AA67" s="178">
        <f>IFERROR(VLOOKUP(B67,'DSOAT-T1.2025'!$B$11:$AS$76,55,0),0)</f>
        <v>0</v>
      </c>
      <c r="AB67" s="28">
        <f t="shared" si="1"/>
        <v>-1482746</v>
      </c>
    </row>
    <row r="68" spans="1:28" ht="18" customHeight="1">
      <c r="A68" s="15" t="s">
        <v>184</v>
      </c>
      <c r="B68" s="45" t="s">
        <v>88</v>
      </c>
      <c r="C68" s="46">
        <v>59</v>
      </c>
      <c r="D68" s="47" t="s">
        <v>89</v>
      </c>
      <c r="E68" s="48">
        <v>524</v>
      </c>
      <c r="F68" s="49">
        <v>1.1299999999999999</v>
      </c>
      <c r="G68" s="50">
        <v>23</v>
      </c>
      <c r="H68" s="16">
        <v>4744146</v>
      </c>
      <c r="I68" s="16">
        <v>15921543</v>
      </c>
      <c r="J68" s="16">
        <v>0</v>
      </c>
      <c r="K68" s="16">
        <v>20665689</v>
      </c>
      <c r="L68" s="16">
        <v>2000000</v>
      </c>
      <c r="M68" s="16">
        <v>365138</v>
      </c>
      <c r="N68" s="16">
        <v>34775</v>
      </c>
      <c r="O68" s="16">
        <v>6067743</v>
      </c>
      <c r="P68" s="16">
        <v>12198033</v>
      </c>
      <c r="Q68" s="44">
        <v>8573322</v>
      </c>
      <c r="R68" s="61">
        <v>12092367</v>
      </c>
      <c r="S68" s="20" t="s">
        <v>88</v>
      </c>
      <c r="T68" s="28">
        <v>9975362</v>
      </c>
      <c r="U68" s="28">
        <v>-10690327</v>
      </c>
      <c r="V68" s="20" t="s">
        <v>88</v>
      </c>
      <c r="W68" s="20" t="s">
        <v>88</v>
      </c>
      <c r="X68" s="20">
        <f>IFERROR(VLOOKUP(B68,'DSOAT-T1.2025'!$B$11:$BH$76,64,0),0)</f>
        <v>0</v>
      </c>
      <c r="Y68" s="178">
        <f>IFERROR(VLOOKUP(B68,'DSOAT-T1.2025'!$B$11:$AQ$76,53,0),0)</f>
        <v>0</v>
      </c>
      <c r="Z68" s="28">
        <f t="shared" si="0"/>
        <v>-365138</v>
      </c>
      <c r="AA68" s="178">
        <f>IFERROR(VLOOKUP(B68,'DSOAT-T1.2025'!$B$11:$AS$76,55,0),0)</f>
        <v>0</v>
      </c>
      <c r="AB68" s="28">
        <f t="shared" si="1"/>
        <v>-6067743</v>
      </c>
    </row>
    <row r="69" spans="1:28" ht="18" customHeight="1">
      <c r="A69" s="15" t="s">
        <v>184</v>
      </c>
      <c r="B69" s="45" t="s">
        <v>82</v>
      </c>
      <c r="C69" s="46">
        <v>60</v>
      </c>
      <c r="D69" s="47" t="s">
        <v>83</v>
      </c>
      <c r="E69" s="48">
        <v>418</v>
      </c>
      <c r="F69" s="49">
        <v>1.1299999999999999</v>
      </c>
      <c r="G69" s="50">
        <v>26</v>
      </c>
      <c r="H69" s="16">
        <v>3866723</v>
      </c>
      <c r="I69" s="16">
        <v>2196371</v>
      </c>
      <c r="J69" s="16">
        <v>0</v>
      </c>
      <c r="K69" s="16">
        <v>6063094</v>
      </c>
      <c r="L69" s="16">
        <v>2000000</v>
      </c>
      <c r="M69" s="16">
        <v>365138</v>
      </c>
      <c r="N69" s="16">
        <v>34775</v>
      </c>
      <c r="O69" s="16">
        <v>518868</v>
      </c>
      <c r="P69" s="16">
        <v>3144313</v>
      </c>
      <c r="Q69" s="44">
        <v>7505983</v>
      </c>
      <c r="R69" s="61">
        <v>-1442889</v>
      </c>
      <c r="S69" s="20" t="s">
        <v>82</v>
      </c>
      <c r="T69" s="28">
        <v>9087627</v>
      </c>
      <c r="U69" s="28">
        <v>3024533</v>
      </c>
      <c r="V69" s="20" t="s">
        <v>82</v>
      </c>
      <c r="W69" s="20" t="s">
        <v>82</v>
      </c>
      <c r="X69" s="20">
        <f>IFERROR(VLOOKUP(B69,'DSOAT-T1.2025'!$B$11:$BH$76,64,0),0)</f>
        <v>0</v>
      </c>
      <c r="Y69" s="178">
        <f>IFERROR(VLOOKUP(B69,'DSOAT-T1.2025'!$B$11:$AQ$76,53,0),0)</f>
        <v>0</v>
      </c>
      <c r="Z69" s="28">
        <f t="shared" si="0"/>
        <v>-365138</v>
      </c>
      <c r="AA69" s="178">
        <f>IFERROR(VLOOKUP(B69,'DSOAT-T1.2025'!$B$11:$AS$76,55,0),0)</f>
        <v>0</v>
      </c>
      <c r="AB69" s="28">
        <f t="shared" si="1"/>
        <v>-518868</v>
      </c>
    </row>
    <row r="70" spans="1:28" ht="18" customHeight="1">
      <c r="A70" s="15" t="s">
        <v>185</v>
      </c>
      <c r="B70" s="45" t="s">
        <v>85</v>
      </c>
      <c r="C70" s="46">
        <v>61</v>
      </c>
      <c r="D70" s="47" t="s">
        <v>86</v>
      </c>
      <c r="E70" s="48">
        <v>418</v>
      </c>
      <c r="F70" s="49">
        <v>1.1499999999999999</v>
      </c>
      <c r="G70" s="50">
        <v>23.5</v>
      </c>
      <c r="H70" s="16">
        <v>3946691</v>
      </c>
      <c r="I70" s="16">
        <v>6221585</v>
      </c>
      <c r="J70" s="16">
        <v>0</v>
      </c>
      <c r="K70" s="16">
        <v>10168276</v>
      </c>
      <c r="L70" s="16">
        <v>2000000</v>
      </c>
      <c r="M70" s="16">
        <v>408954</v>
      </c>
      <c r="N70" s="16">
        <v>38948</v>
      </c>
      <c r="O70" s="16">
        <v>1247163</v>
      </c>
      <c r="P70" s="16">
        <v>6473211</v>
      </c>
      <c r="Q70" s="44">
        <v>7520519</v>
      </c>
      <c r="R70" s="61">
        <v>2647757</v>
      </c>
      <c r="S70" s="20" t="s">
        <v>85</v>
      </c>
      <c r="T70" s="28">
        <v>7949728</v>
      </c>
      <c r="U70" s="28">
        <v>-2218548</v>
      </c>
      <c r="V70" s="20" t="s">
        <v>85</v>
      </c>
      <c r="W70" s="20" t="s">
        <v>85</v>
      </c>
      <c r="X70" s="20">
        <f>IFERROR(VLOOKUP(B70,'DSOAT-T1.2025'!$B$11:$BH$76,64,0),0)</f>
        <v>0</v>
      </c>
      <c r="Y70" s="178">
        <f>IFERROR(VLOOKUP(B70,'DSOAT-T1.2025'!$B$11:$AQ$76,53,0),0)</f>
        <v>0</v>
      </c>
      <c r="Z70" s="28">
        <f t="shared" si="0"/>
        <v>-408954</v>
      </c>
      <c r="AA70" s="178">
        <f>IFERROR(VLOOKUP(B70,'DSOAT-T1.2025'!$B$11:$AS$76,55,0),0)</f>
        <v>0</v>
      </c>
      <c r="AB70" s="28">
        <f t="shared" si="1"/>
        <v>-1247163</v>
      </c>
    </row>
    <row r="71" spans="1:28" ht="18" customHeight="1">
      <c r="A71" s="15" t="s">
        <v>184</v>
      </c>
      <c r="B71" s="45" t="s">
        <v>90</v>
      </c>
      <c r="C71" s="46">
        <v>62</v>
      </c>
      <c r="D71" s="47" t="s">
        <v>91</v>
      </c>
      <c r="E71" s="48">
        <v>418</v>
      </c>
      <c r="F71" s="49">
        <v>1.37</v>
      </c>
      <c r="G71" s="50">
        <v>26</v>
      </c>
      <c r="H71" s="16">
        <v>4687974</v>
      </c>
      <c r="I71" s="16">
        <v>4707016</v>
      </c>
      <c r="J71" s="16">
        <v>0</v>
      </c>
      <c r="K71" s="16">
        <v>9394990</v>
      </c>
      <c r="L71" s="16">
        <v>2000000</v>
      </c>
      <c r="M71" s="16">
        <v>365138</v>
      </c>
      <c r="N71" s="16">
        <v>34775</v>
      </c>
      <c r="O71" s="16">
        <v>1389653</v>
      </c>
      <c r="P71" s="16">
        <v>5605424</v>
      </c>
      <c r="Q71" s="44">
        <v>10827144</v>
      </c>
      <c r="R71" s="61">
        <v>-1432154</v>
      </c>
      <c r="S71" s="20" t="s">
        <v>90</v>
      </c>
      <c r="T71" s="28">
        <v>14462279</v>
      </c>
      <c r="U71" s="28">
        <v>5067289</v>
      </c>
      <c r="V71" s="20" t="s">
        <v>90</v>
      </c>
      <c r="W71" s="20" t="s">
        <v>90</v>
      </c>
      <c r="X71" s="20">
        <f>IFERROR(VLOOKUP(B71,'DSOAT-T1.2025'!$B$11:$BH$76,64,0),0)</f>
        <v>0</v>
      </c>
      <c r="Y71" s="178">
        <f>IFERROR(VLOOKUP(B71,'DSOAT-T1.2025'!$B$11:$AQ$76,53,0),0)</f>
        <v>0</v>
      </c>
      <c r="Z71" s="28">
        <f t="shared" si="0"/>
        <v>-365138</v>
      </c>
      <c r="AA71" s="178">
        <f>IFERROR(VLOOKUP(B71,'DSOAT-T1.2025'!$B$11:$AS$76,55,0),0)</f>
        <v>0</v>
      </c>
      <c r="AB71" s="28">
        <f t="shared" si="1"/>
        <v>-1389653</v>
      </c>
    </row>
    <row r="72" spans="1:28" ht="18" customHeight="1">
      <c r="A72" s="15" t="s">
        <v>185</v>
      </c>
      <c r="B72" s="45" t="s">
        <v>93</v>
      </c>
      <c r="C72" s="46">
        <v>63</v>
      </c>
      <c r="D72" s="47" t="s">
        <v>94</v>
      </c>
      <c r="E72" s="48">
        <v>524</v>
      </c>
      <c r="F72" s="49">
        <v>0.85</v>
      </c>
      <c r="G72" s="50">
        <v>23.5</v>
      </c>
      <c r="H72" s="16">
        <v>3656867</v>
      </c>
      <c r="I72" s="16">
        <v>3864903</v>
      </c>
      <c r="J72" s="16">
        <v>0</v>
      </c>
      <c r="K72" s="16">
        <v>7521770</v>
      </c>
      <c r="L72" s="16">
        <v>2000000</v>
      </c>
      <c r="M72" s="16">
        <v>408954</v>
      </c>
      <c r="N72" s="16">
        <v>38948</v>
      </c>
      <c r="O72" s="16">
        <v>1928477</v>
      </c>
      <c r="P72" s="16">
        <v>3145391</v>
      </c>
      <c r="Q72" s="44">
        <v>7912322</v>
      </c>
      <c r="R72" s="61">
        <v>-390552</v>
      </c>
      <c r="S72" s="20" t="s">
        <v>93</v>
      </c>
      <c r="T72" s="28">
        <v>11289420</v>
      </c>
      <c r="U72" s="28">
        <v>3767650</v>
      </c>
      <c r="V72" s="20" t="s">
        <v>93</v>
      </c>
      <c r="W72" s="20" t="s">
        <v>93</v>
      </c>
      <c r="X72" s="20">
        <f>IFERROR(VLOOKUP(B72,'DSOAT-T1.2025'!$B$11:$BH$76,64,0),0)</f>
        <v>0</v>
      </c>
      <c r="Y72" s="178">
        <f>IFERROR(VLOOKUP(B72,'DSOAT-T1.2025'!$B$11:$AQ$76,53,0),0)</f>
        <v>0</v>
      </c>
      <c r="Z72" s="28">
        <f t="shared" si="0"/>
        <v>-408954</v>
      </c>
      <c r="AA72" s="178">
        <f>IFERROR(VLOOKUP(B72,'DSOAT-T1.2025'!$B$11:$AS$76,55,0),0)</f>
        <v>0</v>
      </c>
      <c r="AB72" s="28">
        <f t="shared" si="1"/>
        <v>-1928477</v>
      </c>
    </row>
    <row r="73" spans="1:28" ht="18" customHeight="1">
      <c r="A73" s="15" t="s">
        <v>185</v>
      </c>
      <c r="B73" s="45" t="s">
        <v>164</v>
      </c>
      <c r="C73" s="46">
        <v>64</v>
      </c>
      <c r="D73" s="47" t="s">
        <v>153</v>
      </c>
      <c r="E73" s="48">
        <v>431</v>
      </c>
      <c r="F73" s="49">
        <v>0.87</v>
      </c>
      <c r="G73" s="50">
        <v>23.5</v>
      </c>
      <c r="H73" s="16">
        <v>3075849</v>
      </c>
      <c r="I73" s="16">
        <v>4516352</v>
      </c>
      <c r="J73" s="16">
        <v>0</v>
      </c>
      <c r="K73" s="16">
        <v>7592201</v>
      </c>
      <c r="L73" s="16">
        <v>2000000</v>
      </c>
      <c r="M73" s="16">
        <v>408954</v>
      </c>
      <c r="N73" s="16">
        <v>38948</v>
      </c>
      <c r="O73" s="16">
        <v>698325</v>
      </c>
      <c r="P73" s="16">
        <v>4445974</v>
      </c>
      <c r="Q73" s="44">
        <v>7790923</v>
      </c>
      <c r="R73" s="61">
        <v>-198722</v>
      </c>
      <c r="S73" s="20" t="s">
        <v>164</v>
      </c>
      <c r="T73" s="28">
        <v>14018006</v>
      </c>
      <c r="U73" s="28">
        <v>6425805</v>
      </c>
      <c r="V73" s="20" t="s">
        <v>164</v>
      </c>
      <c r="W73" s="20" t="s">
        <v>164</v>
      </c>
      <c r="X73" s="20">
        <f>IFERROR(VLOOKUP(B73,'DSOAT-T1.2025'!$B$11:$BH$76,64,0),0)</f>
        <v>0</v>
      </c>
      <c r="Y73" s="178">
        <f>IFERROR(VLOOKUP(B73,'DSOAT-T1.2025'!$B$11:$AQ$76,53,0),0)</f>
        <v>0</v>
      </c>
      <c r="Z73" s="28">
        <f t="shared" si="0"/>
        <v>-408954</v>
      </c>
      <c r="AA73" s="178">
        <f>IFERROR(VLOOKUP(B73,'DSOAT-T1.2025'!$B$11:$AS$76,55,0),0)</f>
        <v>0</v>
      </c>
      <c r="AB73" s="28">
        <f t="shared" si="1"/>
        <v>-698325</v>
      </c>
    </row>
    <row r="74" spans="1:28" ht="18" customHeight="1">
      <c r="A74" s="15" t="s">
        <v>185</v>
      </c>
      <c r="B74" s="45" t="s">
        <v>170</v>
      </c>
      <c r="C74" s="46">
        <v>65</v>
      </c>
      <c r="D74" s="47" t="s">
        <v>169</v>
      </c>
      <c r="E74" s="48">
        <v>431</v>
      </c>
      <c r="F74" s="49">
        <v>0.89</v>
      </c>
      <c r="G74" s="50">
        <v>23.5</v>
      </c>
      <c r="H74" s="16">
        <v>3141817</v>
      </c>
      <c r="I74" s="16">
        <v>6149494</v>
      </c>
      <c r="J74" s="16">
        <v>0</v>
      </c>
      <c r="K74" s="16">
        <v>9291311</v>
      </c>
      <c r="L74" s="16">
        <v>2000000</v>
      </c>
      <c r="M74" s="16">
        <v>408954</v>
      </c>
      <c r="N74" s="16">
        <v>38948</v>
      </c>
      <c r="O74" s="16">
        <v>1207854</v>
      </c>
      <c r="P74" s="16">
        <v>5635555</v>
      </c>
      <c r="Q74" s="44">
        <v>11213230</v>
      </c>
      <c r="R74" s="61">
        <v>-1921919</v>
      </c>
      <c r="S74" s="20" t="s">
        <v>170</v>
      </c>
      <c r="T74" s="28">
        <v>7452989</v>
      </c>
      <c r="U74" s="28">
        <v>-1838322</v>
      </c>
      <c r="V74" s="20" t="s">
        <v>170</v>
      </c>
      <c r="W74" s="20" t="s">
        <v>170</v>
      </c>
      <c r="X74" s="20">
        <f>IFERROR(VLOOKUP(B74,'DSOAT-T1.2025'!$B$11:$BH$76,64,0),0)</f>
        <v>0</v>
      </c>
      <c r="Y74" s="178">
        <f>IFERROR(VLOOKUP(B74,'DSOAT-T1.2025'!$B$11:$AQ$76,53,0),0)</f>
        <v>0</v>
      </c>
      <c r="Z74" s="28">
        <f t="shared" si="0"/>
        <v>-408954</v>
      </c>
      <c r="AA74" s="178">
        <f>IFERROR(VLOOKUP(B74,'DSOAT-T1.2025'!$B$11:$AS$76,55,0),0)</f>
        <v>0</v>
      </c>
      <c r="AB74" s="28">
        <f t="shared" si="1"/>
        <v>-1207854</v>
      </c>
    </row>
    <row r="75" spans="1:28" ht="18" customHeight="1">
      <c r="A75" s="15" t="s">
        <v>185</v>
      </c>
      <c r="B75" s="45" t="s">
        <v>206</v>
      </c>
      <c r="C75" s="46">
        <v>66</v>
      </c>
      <c r="D75" s="47" t="s">
        <v>207</v>
      </c>
      <c r="E75" s="48">
        <v>431</v>
      </c>
      <c r="F75" s="49">
        <v>0.99</v>
      </c>
      <c r="G75" s="50">
        <v>23.5</v>
      </c>
      <c r="H75" s="16">
        <v>3502565</v>
      </c>
      <c r="I75" s="16">
        <v>3205593</v>
      </c>
      <c r="J75" s="16">
        <v>0</v>
      </c>
      <c r="K75" s="16">
        <v>6708158</v>
      </c>
      <c r="L75" s="16">
        <v>2000000</v>
      </c>
      <c r="M75" s="16">
        <v>408954</v>
      </c>
      <c r="N75" s="16">
        <v>38948</v>
      </c>
      <c r="O75" s="16">
        <v>714120</v>
      </c>
      <c r="P75" s="16">
        <v>3546136</v>
      </c>
      <c r="Q75" s="44">
        <v>8132623</v>
      </c>
      <c r="R75" s="61">
        <v>-1424465</v>
      </c>
      <c r="S75" s="20" t="s">
        <v>206</v>
      </c>
      <c r="T75" s="28">
        <v>7452989</v>
      </c>
      <c r="U75" s="28">
        <v>744831</v>
      </c>
      <c r="V75" s="20" t="s">
        <v>206</v>
      </c>
      <c r="W75" s="20" t="s">
        <v>206</v>
      </c>
      <c r="X75" s="20">
        <f>IFERROR(VLOOKUP(B75,'DSOAT-T1.2025'!$B$11:$BH$76,64,0),0)</f>
        <v>0</v>
      </c>
      <c r="Y75" s="178">
        <f>IFERROR(VLOOKUP(B75,'DSOAT-T1.2025'!$B$11:$AQ$76,53,0),0)</f>
        <v>0</v>
      </c>
      <c r="Z75" s="28">
        <f t="shared" ref="Z75:Z84" si="2">Y75-M75</f>
        <v>-408954</v>
      </c>
      <c r="AA75" s="178">
        <f>IFERROR(VLOOKUP(B75,'DSOAT-T1.2025'!$B$11:$AS$76,55,0),0)</f>
        <v>0</v>
      </c>
      <c r="AB75" s="28">
        <f t="shared" ref="AB75:AB84" si="3">AA75-O75</f>
        <v>-714120</v>
      </c>
    </row>
    <row r="76" spans="1:28" ht="18" customHeight="1">
      <c r="A76" s="15" t="s">
        <v>186</v>
      </c>
      <c r="B76" s="45" t="s">
        <v>287</v>
      </c>
      <c r="C76" s="46">
        <v>67</v>
      </c>
      <c r="D76" s="47" t="s">
        <v>288</v>
      </c>
      <c r="E76" s="48">
        <v>394</v>
      </c>
      <c r="F76" s="49">
        <v>1.07</v>
      </c>
      <c r="G76" s="50">
        <v>23.5</v>
      </c>
      <c r="H76" s="16">
        <v>9274760</v>
      </c>
      <c r="I76" s="16">
        <v>0</v>
      </c>
      <c r="J76" s="16">
        <v>0</v>
      </c>
      <c r="K76" s="16">
        <v>9274760</v>
      </c>
      <c r="L76" s="16">
        <v>2000000</v>
      </c>
      <c r="M76" s="16">
        <v>0</v>
      </c>
      <c r="N76" s="16">
        <v>38948</v>
      </c>
      <c r="O76" s="16">
        <v>155607</v>
      </c>
      <c r="P76" s="16">
        <v>7080205</v>
      </c>
      <c r="Q76" s="44">
        <v>8754680</v>
      </c>
      <c r="R76" s="61">
        <v>520080</v>
      </c>
      <c r="S76" s="20" t="s">
        <v>287</v>
      </c>
      <c r="T76" s="28">
        <v>7452989</v>
      </c>
      <c r="U76" s="28">
        <v>-1821771</v>
      </c>
      <c r="V76" s="20" t="s">
        <v>287</v>
      </c>
      <c r="W76" s="20" t="s">
        <v>287</v>
      </c>
      <c r="X76" s="20">
        <f>IFERROR(VLOOKUP(B76,'DSOAT-T1.2025'!$B$11:$BH$76,64,0),0)</f>
        <v>0</v>
      </c>
      <c r="Y76" s="178">
        <f>IFERROR(VLOOKUP(B76,'DSOAT-T1.2025'!$B$11:$AQ$76,53,0),0)</f>
        <v>0</v>
      </c>
      <c r="Z76" s="28">
        <f t="shared" si="2"/>
        <v>0</v>
      </c>
      <c r="AA76" s="178">
        <f>IFERROR(VLOOKUP(B76,'DSOAT-T1.2025'!$B$11:$AS$76,55,0),0)</f>
        <v>0</v>
      </c>
      <c r="AB76" s="28">
        <f t="shared" si="3"/>
        <v>-155607</v>
      </c>
    </row>
    <row r="77" spans="1:28" ht="18" customHeight="1">
      <c r="A77" s="15" t="s">
        <v>186</v>
      </c>
      <c r="B77" s="45" t="s">
        <v>101</v>
      </c>
      <c r="C77" s="46">
        <v>68</v>
      </c>
      <c r="D77" s="47" t="s">
        <v>102</v>
      </c>
      <c r="E77" s="48">
        <v>355</v>
      </c>
      <c r="F77" s="49">
        <v>1.05</v>
      </c>
      <c r="G77" s="50">
        <v>23.5</v>
      </c>
      <c r="H77" s="16">
        <v>8200500</v>
      </c>
      <c r="I77" s="16">
        <v>17045</v>
      </c>
      <c r="J77" s="16">
        <v>0</v>
      </c>
      <c r="K77" s="16">
        <v>8217545</v>
      </c>
      <c r="L77" s="16">
        <v>2000000</v>
      </c>
      <c r="M77" s="16">
        <v>408954</v>
      </c>
      <c r="N77" s="16">
        <v>38948</v>
      </c>
      <c r="O77" s="16">
        <v>630859</v>
      </c>
      <c r="P77" s="16">
        <v>5138784</v>
      </c>
      <c r="Q77" s="44">
        <v>7862067</v>
      </c>
      <c r="R77" s="61">
        <v>355478</v>
      </c>
      <c r="S77" s="20" t="s">
        <v>101</v>
      </c>
      <c r="T77" s="28">
        <v>8010000</v>
      </c>
      <c r="U77" s="28">
        <v>-207545</v>
      </c>
      <c r="V77" s="20" t="s">
        <v>101</v>
      </c>
      <c r="W77" s="20" t="s">
        <v>101</v>
      </c>
      <c r="X77" s="20">
        <f>IFERROR(VLOOKUP(B77,'DSOAT-T1.2025'!$B$11:$BH$76,64,0),0)</f>
        <v>0</v>
      </c>
      <c r="Y77" s="178">
        <f>IFERROR(VLOOKUP(B77,'DSOAT-T1.2025'!$B$11:$AQ$76,53,0),0)</f>
        <v>0</v>
      </c>
      <c r="Z77" s="28">
        <f t="shared" si="2"/>
        <v>-408954</v>
      </c>
      <c r="AA77" s="178">
        <f>IFERROR(VLOOKUP(B77,'DSOAT-T1.2025'!$B$11:$AS$76,55,0),0)</f>
        <v>0</v>
      </c>
      <c r="AB77" s="28">
        <f t="shared" si="3"/>
        <v>-630859</v>
      </c>
    </row>
    <row r="78" spans="1:28" ht="18" customHeight="1">
      <c r="A78" s="15" t="s">
        <v>186</v>
      </c>
      <c r="B78" s="45" t="s">
        <v>95</v>
      </c>
      <c r="C78" s="46">
        <v>69</v>
      </c>
      <c r="D78" s="47" t="s">
        <v>96</v>
      </c>
      <c r="E78" s="48">
        <v>431</v>
      </c>
      <c r="F78" s="49">
        <v>0.92</v>
      </c>
      <c r="G78" s="50">
        <v>23.5</v>
      </c>
      <c r="H78" s="16">
        <v>3267325</v>
      </c>
      <c r="I78" s="16">
        <v>4321799</v>
      </c>
      <c r="J78" s="16">
        <v>0</v>
      </c>
      <c r="K78" s="16">
        <v>7589124</v>
      </c>
      <c r="L78" s="16">
        <v>2000000</v>
      </c>
      <c r="M78" s="16">
        <v>408954</v>
      </c>
      <c r="N78" s="16">
        <v>38948</v>
      </c>
      <c r="O78" s="16">
        <v>699717</v>
      </c>
      <c r="P78" s="16">
        <v>4441505</v>
      </c>
      <c r="Q78" s="44">
        <v>7958649</v>
      </c>
      <c r="R78" s="61">
        <v>-369525</v>
      </c>
      <c r="S78" s="20" t="s">
        <v>95</v>
      </c>
      <c r="T78" s="28">
        <v>10866560</v>
      </c>
      <c r="U78" s="28">
        <v>3277436</v>
      </c>
      <c r="V78" s="20" t="s">
        <v>95</v>
      </c>
      <c r="W78" s="20" t="s">
        <v>95</v>
      </c>
      <c r="X78" s="20">
        <f>IFERROR(VLOOKUP(B78,'DSOAT-T1.2025'!$B$11:$BH$76,64,0),0)</f>
        <v>0</v>
      </c>
      <c r="Y78" s="178">
        <f>IFERROR(VLOOKUP(B78,'DSOAT-T1.2025'!$B$11:$AQ$76,53,0),0)</f>
        <v>0</v>
      </c>
      <c r="Z78" s="28">
        <f t="shared" si="2"/>
        <v>-408954</v>
      </c>
      <c r="AA78" s="178">
        <f>IFERROR(VLOOKUP(B78,'DSOAT-T1.2025'!$B$11:$AS$76,55,0),0)</f>
        <v>0</v>
      </c>
      <c r="AB78" s="28">
        <f t="shared" si="3"/>
        <v>-699717</v>
      </c>
    </row>
    <row r="79" spans="1:28" ht="18" customHeight="1">
      <c r="A79" s="15" t="s">
        <v>186</v>
      </c>
      <c r="B79" s="45" t="s">
        <v>97</v>
      </c>
      <c r="C79" s="46">
        <v>70</v>
      </c>
      <c r="D79" s="47" t="s">
        <v>98</v>
      </c>
      <c r="E79" s="48">
        <v>418</v>
      </c>
      <c r="F79" s="49">
        <v>1.01</v>
      </c>
      <c r="G79" s="50">
        <v>27</v>
      </c>
      <c r="H79" s="16">
        <v>3478763</v>
      </c>
      <c r="I79" s="16">
        <v>2409166</v>
      </c>
      <c r="J79" s="16">
        <v>0</v>
      </c>
      <c r="K79" s="16">
        <v>5887929</v>
      </c>
      <c r="L79" s="16">
        <v>2000000</v>
      </c>
      <c r="M79" s="16">
        <v>408954</v>
      </c>
      <c r="N79" s="16">
        <v>38948</v>
      </c>
      <c r="O79" s="16">
        <v>453648</v>
      </c>
      <c r="P79" s="16">
        <v>2986379</v>
      </c>
      <c r="Q79" s="44">
        <v>7578325</v>
      </c>
      <c r="R79" s="61">
        <v>-1690396</v>
      </c>
      <c r="S79" s="20" t="s">
        <v>97</v>
      </c>
      <c r="T79" s="28">
        <v>13611560</v>
      </c>
      <c r="U79" s="28">
        <v>7723631</v>
      </c>
      <c r="V79" s="20" t="s">
        <v>97</v>
      </c>
      <c r="W79" s="20" t="s">
        <v>97</v>
      </c>
      <c r="X79" s="20">
        <f>IFERROR(VLOOKUP(B79,'DSOAT-T1.2025'!$B$11:$BH$76,64,0),0)</f>
        <v>0</v>
      </c>
      <c r="Y79" s="178">
        <f>IFERROR(VLOOKUP(B79,'DSOAT-T1.2025'!$B$11:$AQ$76,53,0),0)</f>
        <v>0</v>
      </c>
      <c r="Z79" s="28">
        <f t="shared" si="2"/>
        <v>-408954</v>
      </c>
      <c r="AA79" s="178">
        <f>IFERROR(VLOOKUP(B79,'DSOAT-T1.2025'!$B$11:$AS$76,55,0),0)</f>
        <v>0</v>
      </c>
      <c r="AB79" s="28">
        <f t="shared" si="3"/>
        <v>-453648</v>
      </c>
    </row>
    <row r="80" spans="1:28" ht="18" customHeight="1">
      <c r="A80" s="15" t="s">
        <v>186</v>
      </c>
      <c r="B80" s="45" t="s">
        <v>99</v>
      </c>
      <c r="C80" s="46">
        <v>71</v>
      </c>
      <c r="D80" s="47" t="s">
        <v>100</v>
      </c>
      <c r="E80" s="48">
        <v>431</v>
      </c>
      <c r="F80" s="49">
        <v>0.85</v>
      </c>
      <c r="G80" s="50">
        <v>23.5</v>
      </c>
      <c r="H80" s="16">
        <v>3018724</v>
      </c>
      <c r="I80" s="16">
        <v>5392325</v>
      </c>
      <c r="J80" s="16">
        <v>0</v>
      </c>
      <c r="K80" s="16">
        <v>8411049</v>
      </c>
      <c r="L80" s="16">
        <v>2000000</v>
      </c>
      <c r="M80" s="16">
        <v>408954</v>
      </c>
      <c r="N80" s="16">
        <v>38948</v>
      </c>
      <c r="O80" s="16">
        <v>702210</v>
      </c>
      <c r="P80" s="16">
        <v>5260937</v>
      </c>
      <c r="Q80" s="44">
        <v>9432729</v>
      </c>
      <c r="R80" s="61">
        <v>-1021680</v>
      </c>
      <c r="S80" s="20" t="s">
        <v>99</v>
      </c>
      <c r="T80" s="28">
        <v>9002050</v>
      </c>
      <c r="U80" s="28">
        <v>591001</v>
      </c>
      <c r="V80" s="20" t="s">
        <v>99</v>
      </c>
      <c r="W80" s="20" t="s">
        <v>99</v>
      </c>
      <c r="X80" s="20">
        <f>IFERROR(VLOOKUP(B80,'DSOAT-T1.2025'!$B$11:$BH$76,64,0),0)</f>
        <v>0</v>
      </c>
      <c r="Y80" s="178">
        <f>IFERROR(VLOOKUP(B80,'DSOAT-T1.2025'!$B$11:$AQ$76,53,0),0)</f>
        <v>0</v>
      </c>
      <c r="Z80" s="28">
        <f t="shared" si="2"/>
        <v>-408954</v>
      </c>
      <c r="AA80" s="178">
        <f>IFERROR(VLOOKUP(B80,'DSOAT-T1.2025'!$B$11:$AS$76,55,0),0)</f>
        <v>0</v>
      </c>
      <c r="AB80" s="28">
        <f t="shared" si="3"/>
        <v>-702210</v>
      </c>
    </row>
    <row r="81" spans="1:28" ht="18" customHeight="1">
      <c r="A81" s="15" t="s">
        <v>186</v>
      </c>
      <c r="B81" s="45" t="s">
        <v>105</v>
      </c>
      <c r="C81" s="46">
        <v>72</v>
      </c>
      <c r="D81" s="47" t="s">
        <v>106</v>
      </c>
      <c r="E81" s="48">
        <v>431</v>
      </c>
      <c r="F81" s="49">
        <v>0.97</v>
      </c>
      <c r="G81" s="50">
        <v>23.5</v>
      </c>
      <c r="H81" s="16">
        <v>3444897</v>
      </c>
      <c r="I81" s="16">
        <v>5225656</v>
      </c>
      <c r="J81" s="16">
        <v>0</v>
      </c>
      <c r="K81" s="16">
        <v>8670553</v>
      </c>
      <c r="L81" s="16">
        <v>2000000</v>
      </c>
      <c r="M81" s="16">
        <v>408954</v>
      </c>
      <c r="N81" s="16">
        <v>38948</v>
      </c>
      <c r="O81" s="16">
        <v>737860</v>
      </c>
      <c r="P81" s="16">
        <v>5484791</v>
      </c>
      <c r="Q81" s="44">
        <v>8923704</v>
      </c>
      <c r="R81" s="61">
        <v>-253151</v>
      </c>
      <c r="S81" s="20" t="s">
        <v>105</v>
      </c>
      <c r="T81" s="28">
        <v>10262440</v>
      </c>
      <c r="U81" s="28">
        <v>1591887</v>
      </c>
      <c r="V81" s="20" t="s">
        <v>105</v>
      </c>
      <c r="W81" s="20" t="s">
        <v>105</v>
      </c>
      <c r="X81" s="20">
        <f>IFERROR(VLOOKUP(B81,'DSOAT-T1.2025'!$B$11:$BH$76,64,0),0)</f>
        <v>0</v>
      </c>
      <c r="Y81" s="178">
        <f>IFERROR(VLOOKUP(B81,'DSOAT-T1.2025'!$B$11:$AQ$76,53,0),0)</f>
        <v>0</v>
      </c>
      <c r="Z81" s="28">
        <f t="shared" si="2"/>
        <v>-408954</v>
      </c>
      <c r="AA81" s="178">
        <f>IFERROR(VLOOKUP(B81,'DSOAT-T1.2025'!$B$11:$AS$76,55,0),0)</f>
        <v>0</v>
      </c>
      <c r="AB81" s="28">
        <f t="shared" si="3"/>
        <v>-737860</v>
      </c>
    </row>
    <row r="82" spans="1:28" ht="18" customHeight="1">
      <c r="A82" s="15" t="s">
        <v>186</v>
      </c>
      <c r="B82" s="51" t="s">
        <v>18</v>
      </c>
      <c r="C82" s="46">
        <v>73</v>
      </c>
      <c r="D82" s="47" t="s">
        <v>19</v>
      </c>
      <c r="E82" s="48">
        <v>418</v>
      </c>
      <c r="F82" s="49">
        <v>0.95</v>
      </c>
      <c r="G82" s="50">
        <v>22</v>
      </c>
      <c r="H82" s="16">
        <v>3063246</v>
      </c>
      <c r="I82" s="16">
        <v>1684600</v>
      </c>
      <c r="J82" s="16">
        <v>0</v>
      </c>
      <c r="K82" s="16">
        <v>4747846</v>
      </c>
      <c r="L82" s="16">
        <v>2000000</v>
      </c>
      <c r="M82" s="16">
        <v>408954</v>
      </c>
      <c r="N82" s="16">
        <v>38948</v>
      </c>
      <c r="O82" s="16">
        <v>392818</v>
      </c>
      <c r="P82" s="16">
        <v>1907126</v>
      </c>
      <c r="Q82" s="44">
        <v>5280828</v>
      </c>
      <c r="R82" s="61">
        <v>-532982</v>
      </c>
      <c r="S82" s="20" t="s">
        <v>18</v>
      </c>
      <c r="T82" s="28">
        <v>7512480</v>
      </c>
      <c r="U82" s="28">
        <v>2764634</v>
      </c>
      <c r="V82" s="20" t="s">
        <v>18</v>
      </c>
      <c r="W82" s="20" t="s">
        <v>18</v>
      </c>
      <c r="X82" s="20">
        <f>IFERROR(VLOOKUP(B82,'DSOAT-T1.2025'!$B$11:$BH$76,64,0),0)</f>
        <v>0</v>
      </c>
      <c r="Y82" s="178">
        <f>IFERROR(VLOOKUP(B82,'DSOAT-T1.2025'!$B$11:$AQ$76,53,0),0)</f>
        <v>0</v>
      </c>
      <c r="Z82" s="28">
        <f t="shared" si="2"/>
        <v>-408954</v>
      </c>
      <c r="AA82" s="178">
        <f>IFERROR(VLOOKUP(B82,'DSOAT-T1.2025'!$B$11:$AS$76,55,0),0)</f>
        <v>0</v>
      </c>
      <c r="AB82" s="28">
        <f t="shared" si="3"/>
        <v>-392818</v>
      </c>
    </row>
    <row r="83" spans="1:28" ht="18" customHeight="1">
      <c r="A83" s="15" t="s">
        <v>186</v>
      </c>
      <c r="B83" s="52" t="s">
        <v>209</v>
      </c>
      <c r="C83" s="46">
        <v>74</v>
      </c>
      <c r="D83" s="47" t="s">
        <v>210</v>
      </c>
      <c r="E83" s="48">
        <v>431</v>
      </c>
      <c r="F83" s="49">
        <v>1.22</v>
      </c>
      <c r="G83" s="50">
        <v>23.5</v>
      </c>
      <c r="H83" s="16">
        <v>4332757</v>
      </c>
      <c r="I83" s="16">
        <v>11342274</v>
      </c>
      <c r="J83" s="16">
        <v>0</v>
      </c>
      <c r="K83" s="16">
        <v>15675031</v>
      </c>
      <c r="L83" s="16">
        <v>2000000</v>
      </c>
      <c r="M83" s="16">
        <v>408954</v>
      </c>
      <c r="N83" s="16">
        <v>38948</v>
      </c>
      <c r="O83" s="16">
        <v>1970805</v>
      </c>
      <c r="P83" s="16">
        <v>11256324</v>
      </c>
      <c r="Q83" s="44">
        <v>14371087</v>
      </c>
      <c r="R83" s="61">
        <v>1303944</v>
      </c>
      <c r="S83" s="20" t="s">
        <v>209</v>
      </c>
      <c r="T83" s="28">
        <v>7512480</v>
      </c>
      <c r="U83" s="28">
        <v>-8162551</v>
      </c>
      <c r="V83" s="20" t="s">
        <v>209</v>
      </c>
      <c r="W83" s="20" t="s">
        <v>209</v>
      </c>
      <c r="X83" s="20">
        <f>IFERROR(VLOOKUP(B83,'DSOAT-T1.2025'!$B$11:$BH$76,64,0),0)</f>
        <v>0</v>
      </c>
      <c r="Y83" s="178">
        <f>IFERROR(VLOOKUP(B83,'DSOAT-T1.2025'!$B$11:$AQ$76,53,0),0)</f>
        <v>0</v>
      </c>
      <c r="Z83" s="28">
        <f t="shared" si="2"/>
        <v>-408954</v>
      </c>
      <c r="AA83" s="178">
        <f>IFERROR(VLOOKUP(B83,'DSOAT-T1.2025'!$B$11:$AS$76,55,0),0)</f>
        <v>0</v>
      </c>
      <c r="AB83" s="28">
        <f t="shared" si="3"/>
        <v>-1970805</v>
      </c>
    </row>
    <row r="84" spans="1:28" ht="18" customHeight="1">
      <c r="A84" s="15" t="s">
        <v>186</v>
      </c>
      <c r="B84" s="52" t="s">
        <v>163</v>
      </c>
      <c r="C84" s="46">
        <v>75</v>
      </c>
      <c r="D84" s="47" t="s">
        <v>154</v>
      </c>
      <c r="E84" s="48">
        <v>478</v>
      </c>
      <c r="F84" s="49">
        <v>1.36</v>
      </c>
      <c r="G84" s="50">
        <v>23.5</v>
      </c>
      <c r="H84" s="16">
        <v>5356659</v>
      </c>
      <c r="I84" s="16">
        <v>7850859</v>
      </c>
      <c r="J84" s="16">
        <v>0</v>
      </c>
      <c r="K84" s="16">
        <v>13207518</v>
      </c>
      <c r="L84" s="16">
        <v>2000000</v>
      </c>
      <c r="M84" s="16">
        <v>408954</v>
      </c>
      <c r="N84" s="16">
        <v>38948</v>
      </c>
      <c r="O84" s="16">
        <v>1478390</v>
      </c>
      <c r="P84" s="16">
        <v>9281226</v>
      </c>
      <c r="Q84" s="44">
        <v>10266602</v>
      </c>
      <c r="R84" s="61">
        <v>2940916</v>
      </c>
      <c r="S84" s="20" t="s">
        <v>163</v>
      </c>
      <c r="T84" s="28">
        <v>12343820</v>
      </c>
      <c r="U84" s="28">
        <v>-863698</v>
      </c>
      <c r="V84" s="20" t="s">
        <v>163</v>
      </c>
      <c r="W84" s="20" t="s">
        <v>163</v>
      </c>
      <c r="X84" s="20">
        <f>IFERROR(VLOOKUP(B84,'DSOAT-T1.2025'!$B$11:$BH$76,64,0),0)</f>
        <v>0</v>
      </c>
      <c r="Y84" s="178">
        <f>IFERROR(VLOOKUP(B84,'DSOAT-T1.2025'!$B$11:$AQ$76,53,0),0)</f>
        <v>0</v>
      </c>
      <c r="Z84" s="28">
        <f t="shared" si="2"/>
        <v>-408954</v>
      </c>
      <c r="AA84" s="178">
        <f>IFERROR(VLOOKUP(B84,'DSOAT-T1.2025'!$B$11:$AS$76,55,0),0)</f>
        <v>0</v>
      </c>
      <c r="AB84" s="28">
        <f t="shared" si="3"/>
        <v>-1478390</v>
      </c>
    </row>
    <row r="85" spans="1:28" ht="21.75" customHeight="1">
      <c r="A85" s="15"/>
      <c r="B85" s="17"/>
      <c r="C85" s="1493" t="s">
        <v>132</v>
      </c>
      <c r="D85" s="1494"/>
      <c r="E85" s="18"/>
      <c r="F85" s="18"/>
      <c r="G85" s="18"/>
      <c r="H85" s="19">
        <f t="shared" ref="H85:AB85" si="4">SUM(H10:H84)</f>
        <v>395589977</v>
      </c>
      <c r="I85" s="19">
        <f t="shared" si="4"/>
        <v>287379776</v>
      </c>
      <c r="J85" s="19">
        <f t="shared" si="4"/>
        <v>0</v>
      </c>
      <c r="K85" s="19">
        <f t="shared" si="4"/>
        <v>682969753</v>
      </c>
      <c r="L85" s="19">
        <f t="shared" si="4"/>
        <v>148000000</v>
      </c>
      <c r="M85" s="26">
        <f t="shared" si="4"/>
        <v>31109722</v>
      </c>
      <c r="N85" s="19">
        <f t="shared" si="4"/>
        <v>3001778</v>
      </c>
      <c r="O85" s="19">
        <f t="shared" si="4"/>
        <v>105208689</v>
      </c>
      <c r="P85" s="19">
        <f t="shared" si="4"/>
        <v>395649564</v>
      </c>
      <c r="Q85" s="19">
        <f t="shared" si="4"/>
        <v>664302010</v>
      </c>
      <c r="R85" s="19">
        <f t="shared" si="4"/>
        <v>18667743</v>
      </c>
      <c r="S85" s="19">
        <f t="shared" si="4"/>
        <v>0</v>
      </c>
      <c r="T85" s="19">
        <f t="shared" si="4"/>
        <v>855710676</v>
      </c>
      <c r="U85" s="19">
        <f t="shared" si="4"/>
        <v>172740923</v>
      </c>
      <c r="V85" s="19">
        <f t="shared" si="4"/>
        <v>0</v>
      </c>
      <c r="W85" s="19">
        <f t="shared" si="4"/>
        <v>0</v>
      </c>
      <c r="X85" s="19">
        <f t="shared" si="4"/>
        <v>0</v>
      </c>
      <c r="Y85" s="19">
        <f t="shared" si="4"/>
        <v>0</v>
      </c>
      <c r="Z85" s="19">
        <f t="shared" si="4"/>
        <v>-31109722</v>
      </c>
      <c r="AA85" s="19">
        <f t="shared" si="4"/>
        <v>0</v>
      </c>
      <c r="AB85" s="19">
        <f t="shared" si="4"/>
        <v>-105208689</v>
      </c>
    </row>
    <row r="86" spans="1:28">
      <c r="A86" s="15"/>
      <c r="M86" s="178">
        <v>31109715</v>
      </c>
      <c r="N86" s="28">
        <f>'DSOAT-T1.2025'!AR89</f>
        <v>3316251</v>
      </c>
    </row>
    <row r="87" spans="1:28">
      <c r="A87" s="15"/>
      <c r="D87" s="1488" t="s">
        <v>134</v>
      </c>
      <c r="E87" s="1488"/>
      <c r="I87" s="1488" t="s">
        <v>135</v>
      </c>
      <c r="J87" s="1488"/>
      <c r="K87" s="1488"/>
      <c r="O87" s="1488" t="s">
        <v>133</v>
      </c>
      <c r="P87" s="1488"/>
      <c r="Q87" s="126"/>
    </row>
    <row r="88" spans="1:28">
      <c r="A88" s="15"/>
      <c r="M88" s="28">
        <f>M85-M86</f>
        <v>7</v>
      </c>
    </row>
    <row r="89" spans="1:28">
      <c r="A89" s="15"/>
    </row>
    <row r="90" spans="1:28">
      <c r="A90" s="15"/>
    </row>
    <row r="91" spans="1:28">
      <c r="A91" s="15"/>
    </row>
    <row r="92" spans="1:28">
      <c r="A92" s="15"/>
    </row>
    <row r="93" spans="1:28" ht="16.5">
      <c r="A93" s="15"/>
      <c r="D93" s="1490" t="s">
        <v>136</v>
      </c>
      <c r="E93" s="1490"/>
      <c r="I93" s="1490" t="s">
        <v>137</v>
      </c>
      <c r="J93" s="1490"/>
      <c r="K93" s="1490"/>
    </row>
  </sheetData>
  <mergeCells count="14">
    <mergeCell ref="D93:E93"/>
    <mergeCell ref="I93:K93"/>
    <mergeCell ref="E6:M6"/>
    <mergeCell ref="E7:M7"/>
    <mergeCell ref="C85:D85"/>
    <mergeCell ref="D87:E87"/>
    <mergeCell ref="I87:K87"/>
    <mergeCell ref="O87:P87"/>
    <mergeCell ref="C1:E1"/>
    <mergeCell ref="I1:O1"/>
    <mergeCell ref="C2:E2"/>
    <mergeCell ref="I2:O2"/>
    <mergeCell ref="C3:E3"/>
    <mergeCell ref="C4:E4"/>
  </mergeCells>
  <pageMargins left="0.2" right="0.2"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AB94"/>
  <sheetViews>
    <sheetView topLeftCell="B1" workbookViewId="0">
      <selection activeCell="G54" sqref="G54"/>
    </sheetView>
  </sheetViews>
  <sheetFormatPr defaultColWidth="11.42578125" defaultRowHeight="15.75"/>
  <cols>
    <col min="1" max="1" width="14" style="20" hidden="1" customWidth="1"/>
    <col min="2" max="2" width="12.42578125" style="20" customWidth="1"/>
    <col min="3" max="3" width="5.140625" style="20" customWidth="1"/>
    <col min="4" max="4" width="23" style="20" customWidth="1"/>
    <col min="5" max="7" width="7.140625" style="20" customWidth="1"/>
    <col min="8" max="8" width="13.28515625" style="20" hidden="1" customWidth="1"/>
    <col min="9" max="9" width="14" style="20" hidden="1" customWidth="1"/>
    <col min="10" max="10" width="11.85546875" style="20" hidden="1" customWidth="1"/>
    <col min="11" max="11" width="13.7109375" style="20" hidden="1" customWidth="1"/>
    <col min="12" max="12" width="13.28515625" style="20" hidden="1" customWidth="1"/>
    <col min="13" max="13" width="12.140625" style="20" customWidth="1"/>
    <col min="14" max="14" width="11.42578125" style="20" customWidth="1"/>
    <col min="15" max="15" width="11.85546875" style="20" customWidth="1"/>
    <col min="16" max="16" width="13.28515625" style="20" customWidth="1"/>
    <col min="17" max="17" width="13.5703125" style="20" hidden="1" customWidth="1"/>
    <col min="18" max="18" width="16.140625" style="59" hidden="1" customWidth="1"/>
    <col min="19" max="19" width="11.42578125" style="20" hidden="1" customWidth="1"/>
    <col min="20" max="20" width="13.28515625" style="20" hidden="1" customWidth="1"/>
    <col min="21" max="21" width="16.85546875" style="20" hidden="1" customWidth="1"/>
    <col min="22" max="22" width="17.28515625" style="20" hidden="1" customWidth="1"/>
    <col min="23" max="23" width="0" style="20" hidden="1" customWidth="1"/>
    <col min="24" max="24" width="6.85546875" style="20" customWidth="1"/>
    <col min="25" max="25" width="13.28515625" style="20" bestFit="1" customWidth="1"/>
    <col min="26" max="16384" width="11.42578125" style="20"/>
  </cols>
  <sheetData>
    <row r="1" spans="1:28">
      <c r="C1" s="1488" t="s">
        <v>111</v>
      </c>
      <c r="D1" s="1488"/>
      <c r="E1" s="1488"/>
      <c r="I1" s="1489" t="s">
        <v>112</v>
      </c>
      <c r="J1" s="1489"/>
      <c r="K1" s="1489"/>
      <c r="L1" s="1489"/>
      <c r="M1" s="1489"/>
      <c r="N1" s="1489"/>
      <c r="O1" s="1489"/>
    </row>
    <row r="2" spans="1:28" ht="16.5">
      <c r="C2" s="1488" t="s">
        <v>113</v>
      </c>
      <c r="D2" s="1488"/>
      <c r="E2" s="1488"/>
      <c r="I2" s="1490" t="s">
        <v>114</v>
      </c>
      <c r="J2" s="1490"/>
      <c r="K2" s="1490"/>
      <c r="L2" s="1490"/>
      <c r="M2" s="1490"/>
      <c r="N2" s="1490"/>
      <c r="O2" s="1490"/>
    </row>
    <row r="3" spans="1:28" ht="16.5">
      <c r="C3" s="1490" t="s">
        <v>115</v>
      </c>
      <c r="D3" s="1490"/>
      <c r="E3" s="1490"/>
    </row>
    <row r="4" spans="1:28" ht="16.5">
      <c r="C4" s="1490" t="s">
        <v>116</v>
      </c>
      <c r="D4" s="1490"/>
      <c r="E4" s="1490"/>
    </row>
    <row r="5" spans="1:28" ht="16.5">
      <c r="C5" s="123"/>
      <c r="D5" s="123"/>
      <c r="E5" s="123"/>
    </row>
    <row r="6" spans="1:28" ht="25.5" customHeight="1">
      <c r="E6" s="1491" t="s">
        <v>117</v>
      </c>
      <c r="F6" s="1491"/>
      <c r="G6" s="1491"/>
      <c r="H6" s="1491"/>
      <c r="I6" s="1491"/>
      <c r="J6" s="1491"/>
      <c r="K6" s="1491"/>
      <c r="L6" s="1491"/>
      <c r="M6" s="1491"/>
      <c r="N6" s="124"/>
    </row>
    <row r="7" spans="1:28" ht="18.75">
      <c r="E7" s="1492" t="s">
        <v>431</v>
      </c>
      <c r="F7" s="1492"/>
      <c r="G7" s="1492"/>
      <c r="H7" s="1492"/>
      <c r="I7" s="1492"/>
      <c r="J7" s="1492"/>
      <c r="K7" s="1492"/>
      <c r="L7" s="1492"/>
      <c r="M7" s="1492"/>
      <c r="N7" s="125"/>
    </row>
    <row r="9" spans="1:28" ht="31.5">
      <c r="A9" s="40" t="s">
        <v>118</v>
      </c>
      <c r="B9" s="40" t="s">
        <v>119</v>
      </c>
      <c r="C9" s="41" t="s">
        <v>120</v>
      </c>
      <c r="D9" s="41" t="s">
        <v>121</v>
      </c>
      <c r="E9" s="41" t="s">
        <v>122</v>
      </c>
      <c r="F9" s="41" t="s">
        <v>123</v>
      </c>
      <c r="G9" s="42" t="s">
        <v>124</v>
      </c>
      <c r="H9" s="42" t="s">
        <v>125</v>
      </c>
      <c r="I9" s="42" t="s">
        <v>126</v>
      </c>
      <c r="J9" s="42" t="s">
        <v>208</v>
      </c>
      <c r="K9" s="42" t="s">
        <v>127</v>
      </c>
      <c r="L9" s="42" t="s">
        <v>128</v>
      </c>
      <c r="M9" s="42" t="s">
        <v>129</v>
      </c>
      <c r="N9" s="42" t="s">
        <v>130</v>
      </c>
      <c r="O9" s="42" t="s">
        <v>140</v>
      </c>
      <c r="P9" s="42" t="s">
        <v>131</v>
      </c>
      <c r="Q9" s="43" t="s">
        <v>172</v>
      </c>
      <c r="R9" s="60" t="s">
        <v>173</v>
      </c>
      <c r="U9" s="28">
        <f>SUM(U10:U85)</f>
        <v>142243816</v>
      </c>
      <c r="Y9" s="20" t="s">
        <v>433</v>
      </c>
    </row>
    <row r="10" spans="1:28" ht="18" hidden="1" customHeight="1">
      <c r="A10" s="15" t="s">
        <v>174</v>
      </c>
      <c r="B10" s="45" t="s">
        <v>167</v>
      </c>
      <c r="C10" s="46">
        <v>1</v>
      </c>
      <c r="D10" s="47" t="s">
        <v>145</v>
      </c>
      <c r="E10" s="48">
        <v>196</v>
      </c>
      <c r="F10" s="49">
        <v>1</v>
      </c>
      <c r="G10" s="50">
        <v>24</v>
      </c>
      <c r="H10" s="16">
        <v>4246525</v>
      </c>
      <c r="I10" s="16">
        <v>0</v>
      </c>
      <c r="J10" s="16">
        <v>0</v>
      </c>
      <c r="K10" s="16">
        <v>4246525</v>
      </c>
      <c r="L10" s="16">
        <v>2000000</v>
      </c>
      <c r="M10" s="16">
        <v>467376</v>
      </c>
      <c r="N10" s="16">
        <v>44512</v>
      </c>
      <c r="O10" s="16">
        <v>0</v>
      </c>
      <c r="P10" s="16">
        <v>1734637</v>
      </c>
      <c r="Q10" s="44">
        <v>4293579</v>
      </c>
      <c r="R10" s="61">
        <v>-47054</v>
      </c>
      <c r="S10" s="20" t="s">
        <v>167</v>
      </c>
      <c r="T10" s="28">
        <v>3988188</v>
      </c>
      <c r="U10" s="28">
        <v>-258337</v>
      </c>
      <c r="V10" s="20" t="s">
        <v>167</v>
      </c>
      <c r="W10" s="20" t="s">
        <v>167</v>
      </c>
      <c r="X10" s="20">
        <f>IFERROR(VLOOKUP(B10,'DSOAT-T1.2025'!$B$11:$BH$76,66,0),0)</f>
        <v>0</v>
      </c>
      <c r="Y10" s="178">
        <f>IFERROR(VLOOKUP(B10,'DSOAT-T1.2025'!$B$11:$AS$76,57,0),0)</f>
        <v>0</v>
      </c>
      <c r="Z10" s="28">
        <f>Y10-O10</f>
        <v>0</v>
      </c>
      <c r="AA10" s="20">
        <f>IFERROR(VLOOKUP(B10,'DSOAT-T1.2025'!$B$11:$AQ$76,55,0),0)</f>
        <v>0</v>
      </c>
      <c r="AB10" s="28">
        <f>AA10-M10</f>
        <v>-467376</v>
      </c>
    </row>
    <row r="11" spans="1:28" ht="18" hidden="1" customHeight="1">
      <c r="A11" s="15" t="s">
        <v>175</v>
      </c>
      <c r="B11" s="45" t="s">
        <v>13</v>
      </c>
      <c r="C11" s="46">
        <v>2</v>
      </c>
      <c r="D11" s="47" t="s">
        <v>14</v>
      </c>
      <c r="E11" s="48">
        <v>489</v>
      </c>
      <c r="F11" s="49">
        <v>0.96</v>
      </c>
      <c r="G11" s="50">
        <v>24</v>
      </c>
      <c r="H11" s="16">
        <v>10170860</v>
      </c>
      <c r="I11" s="16">
        <v>0</v>
      </c>
      <c r="J11" s="16">
        <v>0</v>
      </c>
      <c r="K11" s="16">
        <v>10170860</v>
      </c>
      <c r="L11" s="16">
        <v>2000000</v>
      </c>
      <c r="M11" s="16">
        <v>467376</v>
      </c>
      <c r="N11" s="16">
        <v>44512</v>
      </c>
      <c r="O11" s="16">
        <v>0</v>
      </c>
      <c r="P11" s="16">
        <v>7658972</v>
      </c>
      <c r="Q11" s="44">
        <v>10283559</v>
      </c>
      <c r="R11" s="61">
        <v>-112699</v>
      </c>
      <c r="S11" s="20" t="s">
        <v>13</v>
      </c>
      <c r="T11" s="28">
        <v>8372993</v>
      </c>
      <c r="U11" s="28">
        <v>-1797867</v>
      </c>
      <c r="V11" s="20" t="s">
        <v>13</v>
      </c>
      <c r="W11" s="20" t="s">
        <v>13</v>
      </c>
      <c r="X11" s="20">
        <f>IFERROR(VLOOKUP(B11,'DSOAT-T1.2025'!$B$11:$BH$76,66,0),0)</f>
        <v>0</v>
      </c>
      <c r="Y11" s="178">
        <f>IFERROR(VLOOKUP(B11,'DSOAT-T1.2025'!$B$11:$AS$76,57,0),0)</f>
        <v>0</v>
      </c>
      <c r="Z11" s="28">
        <f t="shared" ref="Z11:Z74" si="0">Y11-O11</f>
        <v>0</v>
      </c>
      <c r="AA11" s="20">
        <f>IFERROR(VLOOKUP(B11,'DSOAT-T1.2025'!$B$11:$AQ$76,55,0),0)</f>
        <v>0</v>
      </c>
      <c r="AB11" s="28">
        <f t="shared" ref="AB11:AB74" si="1">AA11-M11</f>
        <v>-467376</v>
      </c>
    </row>
    <row r="12" spans="1:28" ht="18" hidden="1" customHeight="1">
      <c r="A12" s="15" t="s">
        <v>183</v>
      </c>
      <c r="B12" s="45" t="s">
        <v>103</v>
      </c>
      <c r="C12" s="46">
        <v>3</v>
      </c>
      <c r="D12" s="47" t="s">
        <v>104</v>
      </c>
      <c r="E12" s="48">
        <v>570</v>
      </c>
      <c r="F12" s="49">
        <v>1.01</v>
      </c>
      <c r="G12" s="50">
        <v>24</v>
      </c>
      <c r="H12" s="16">
        <v>12114779</v>
      </c>
      <c r="I12" s="16">
        <v>0</v>
      </c>
      <c r="J12" s="16">
        <v>0</v>
      </c>
      <c r="K12" s="16">
        <v>12114779</v>
      </c>
      <c r="L12" s="16">
        <v>2000000</v>
      </c>
      <c r="M12" s="16">
        <v>467376</v>
      </c>
      <c r="N12" s="16">
        <v>44512</v>
      </c>
      <c r="O12" s="16">
        <v>32370</v>
      </c>
      <c r="P12" s="16">
        <v>9570521</v>
      </c>
      <c r="Q12" s="44">
        <v>12467266</v>
      </c>
      <c r="R12" s="61">
        <v>-352487</v>
      </c>
      <c r="S12" s="20" t="s">
        <v>103</v>
      </c>
      <c r="T12" s="28">
        <v>9056502</v>
      </c>
      <c r="U12" s="28">
        <v>-3058277</v>
      </c>
      <c r="V12" s="20" t="s">
        <v>103</v>
      </c>
      <c r="W12" s="20">
        <v>0</v>
      </c>
      <c r="X12" s="20">
        <f>IFERROR(VLOOKUP(B12,'DSOAT-T1.2025'!$B$11:$BH$76,66,0),0)</f>
        <v>0</v>
      </c>
      <c r="Y12" s="178">
        <f>IFERROR(VLOOKUP(B12,'DSOAT-T1.2025'!$B$11:$AS$76,57,0),0)</f>
        <v>0</v>
      </c>
      <c r="Z12" s="28">
        <f t="shared" si="0"/>
        <v>-32370</v>
      </c>
      <c r="AA12" s="20">
        <f>IFERROR(VLOOKUP(B12,'DSOAT-T1.2025'!$B$11:$AQ$76,55,0),0)</f>
        <v>0</v>
      </c>
      <c r="AB12" s="28">
        <f t="shared" si="1"/>
        <v>-467376</v>
      </c>
    </row>
    <row r="13" spans="1:28" ht="18" hidden="1" customHeight="1">
      <c r="A13" s="15" t="s">
        <v>175</v>
      </c>
      <c r="B13" s="45" t="s">
        <v>21</v>
      </c>
      <c r="C13" s="46">
        <v>4</v>
      </c>
      <c r="D13" s="47" t="s">
        <v>22</v>
      </c>
      <c r="E13" s="48">
        <v>290</v>
      </c>
      <c r="F13" s="49">
        <v>1.01</v>
      </c>
      <c r="G13" s="50">
        <v>24</v>
      </c>
      <c r="H13" s="16">
        <v>6345955</v>
      </c>
      <c r="I13" s="16">
        <v>0</v>
      </c>
      <c r="J13" s="16">
        <v>0</v>
      </c>
      <c r="K13" s="16">
        <v>6345955</v>
      </c>
      <c r="L13" s="16">
        <v>2000000</v>
      </c>
      <c r="M13" s="16">
        <v>467376</v>
      </c>
      <c r="N13" s="16">
        <v>44512</v>
      </c>
      <c r="O13" s="16">
        <v>0</v>
      </c>
      <c r="P13" s="16">
        <v>3834067</v>
      </c>
      <c r="Q13" s="44">
        <v>6670381</v>
      </c>
      <c r="R13" s="61">
        <v>-324426</v>
      </c>
      <c r="S13" s="20" t="s">
        <v>21</v>
      </c>
      <c r="T13" s="28">
        <v>5370932</v>
      </c>
      <c r="U13" s="28">
        <v>-975023</v>
      </c>
      <c r="V13" s="20" t="s">
        <v>21</v>
      </c>
      <c r="W13" s="20" t="s">
        <v>21</v>
      </c>
      <c r="X13" s="20">
        <f>IFERROR(VLOOKUP(B13,'DSOAT-T1.2025'!$B$11:$BH$76,66,0),0)</f>
        <v>0</v>
      </c>
      <c r="Y13" s="178">
        <f>IFERROR(VLOOKUP(B13,'DSOAT-T1.2025'!$B$11:$AS$76,57,0),0)</f>
        <v>0</v>
      </c>
      <c r="Z13" s="28">
        <f t="shared" si="0"/>
        <v>0</v>
      </c>
      <c r="AA13" s="20">
        <f>IFERROR(VLOOKUP(B13,'DSOAT-T1.2025'!$B$11:$AQ$76,55,0),0)</f>
        <v>0</v>
      </c>
      <c r="AB13" s="28">
        <f t="shared" si="1"/>
        <v>-467376</v>
      </c>
    </row>
    <row r="14" spans="1:28" ht="18" hidden="1" customHeight="1">
      <c r="A14" s="15" t="s">
        <v>176</v>
      </c>
      <c r="B14" s="45" t="s">
        <v>16</v>
      </c>
      <c r="C14" s="46">
        <v>5</v>
      </c>
      <c r="D14" s="47" t="s">
        <v>17</v>
      </c>
      <c r="E14" s="48">
        <v>379</v>
      </c>
      <c r="F14" s="49">
        <v>1.17</v>
      </c>
      <c r="G14" s="50">
        <v>24</v>
      </c>
      <c r="H14" s="16">
        <v>9607329</v>
      </c>
      <c r="I14" s="16">
        <v>14635</v>
      </c>
      <c r="J14" s="16">
        <v>0</v>
      </c>
      <c r="K14" s="16">
        <v>9621964</v>
      </c>
      <c r="L14" s="16">
        <v>2000000</v>
      </c>
      <c r="M14" s="16">
        <v>467376</v>
      </c>
      <c r="N14" s="16">
        <v>44512</v>
      </c>
      <c r="O14" s="16">
        <v>0</v>
      </c>
      <c r="P14" s="16">
        <v>7110076</v>
      </c>
      <c r="Q14" s="44">
        <v>9217254</v>
      </c>
      <c r="R14" s="61">
        <v>404710</v>
      </c>
      <c r="S14" s="20" t="s">
        <v>16</v>
      </c>
      <c r="T14" s="28">
        <v>5957995</v>
      </c>
      <c r="U14" s="28">
        <v>-3663969</v>
      </c>
      <c r="V14" s="20" t="s">
        <v>16</v>
      </c>
      <c r="W14" s="20" t="s">
        <v>16</v>
      </c>
      <c r="X14" s="20">
        <f>IFERROR(VLOOKUP(B14,'DSOAT-T1.2025'!$B$11:$BH$76,66,0),0)</f>
        <v>0</v>
      </c>
      <c r="Y14" s="178">
        <f>IFERROR(VLOOKUP(B14,'DSOAT-T1.2025'!$B$11:$AS$76,57,0),0)</f>
        <v>0</v>
      </c>
      <c r="Z14" s="28">
        <f t="shared" si="0"/>
        <v>0</v>
      </c>
      <c r="AA14" s="20">
        <f>IFERROR(VLOOKUP(B14,'DSOAT-T1.2025'!$B$11:$AQ$76,55,0),0)</f>
        <v>0</v>
      </c>
      <c r="AB14" s="28">
        <f t="shared" si="1"/>
        <v>-467376</v>
      </c>
    </row>
    <row r="15" spans="1:28" ht="18" hidden="1" customHeight="1">
      <c r="A15" s="15" t="s">
        <v>176</v>
      </c>
      <c r="B15" s="45" t="s">
        <v>157</v>
      </c>
      <c r="C15" s="46">
        <v>6</v>
      </c>
      <c r="D15" s="47" t="s">
        <v>144</v>
      </c>
      <c r="E15" s="48">
        <v>379</v>
      </c>
      <c r="F15" s="49">
        <v>1.23</v>
      </c>
      <c r="G15" s="50">
        <v>24</v>
      </c>
      <c r="H15" s="16">
        <v>10100012</v>
      </c>
      <c r="I15" s="16">
        <v>122117</v>
      </c>
      <c r="J15" s="16">
        <v>0</v>
      </c>
      <c r="K15" s="16">
        <v>10222129</v>
      </c>
      <c r="L15" s="16">
        <v>2000000</v>
      </c>
      <c r="M15" s="16">
        <v>467376</v>
      </c>
      <c r="N15" s="16">
        <v>44512</v>
      </c>
      <c r="O15" s="16">
        <v>0</v>
      </c>
      <c r="P15" s="16">
        <v>7710241</v>
      </c>
      <c r="Q15" s="44">
        <v>10158775</v>
      </c>
      <c r="R15" s="61">
        <v>63354</v>
      </c>
      <c r="S15" s="20" t="s">
        <v>157</v>
      </c>
      <c r="T15" s="28">
        <v>8981838</v>
      </c>
      <c r="U15" s="28">
        <v>-1240291</v>
      </c>
      <c r="V15" s="20" t="s">
        <v>157</v>
      </c>
      <c r="W15" s="20" t="s">
        <v>157</v>
      </c>
      <c r="X15" s="20">
        <f>IFERROR(VLOOKUP(B15,'DSOAT-T1.2025'!$B$11:$BH$76,66,0),0)</f>
        <v>0</v>
      </c>
      <c r="Y15" s="178">
        <f>IFERROR(VLOOKUP(B15,'DSOAT-T1.2025'!$B$11:$AS$76,57,0),0)</f>
        <v>0</v>
      </c>
      <c r="Z15" s="28">
        <f t="shared" si="0"/>
        <v>0</v>
      </c>
      <c r="AA15" s="20">
        <f>IFERROR(VLOOKUP(B15,'DSOAT-T1.2025'!$B$11:$AQ$76,55,0),0)</f>
        <v>0</v>
      </c>
      <c r="AB15" s="28">
        <f t="shared" si="1"/>
        <v>-467376</v>
      </c>
    </row>
    <row r="16" spans="1:28" ht="18" hidden="1" customHeight="1">
      <c r="A16" s="15" t="s">
        <v>177</v>
      </c>
      <c r="B16" s="45" t="s">
        <v>107</v>
      </c>
      <c r="C16" s="46">
        <v>7</v>
      </c>
      <c r="D16" s="47" t="s">
        <v>108</v>
      </c>
      <c r="E16" s="48">
        <v>543</v>
      </c>
      <c r="F16" s="49">
        <v>1.23</v>
      </c>
      <c r="G16" s="50">
        <v>24</v>
      </c>
      <c r="H16" s="16">
        <v>14470466</v>
      </c>
      <c r="I16" s="16">
        <v>0</v>
      </c>
      <c r="J16" s="16">
        <v>0</v>
      </c>
      <c r="K16" s="16">
        <v>14470466</v>
      </c>
      <c r="L16" s="16">
        <v>2000000</v>
      </c>
      <c r="M16" s="16">
        <v>467376</v>
      </c>
      <c r="N16" s="16">
        <v>44512</v>
      </c>
      <c r="O16" s="16">
        <v>150155</v>
      </c>
      <c r="P16" s="16">
        <v>11808423</v>
      </c>
      <c r="Q16" s="44">
        <v>11838747</v>
      </c>
      <c r="R16" s="61">
        <v>2631719</v>
      </c>
      <c r="S16" s="20" t="s">
        <v>107</v>
      </c>
      <c r="T16" s="28">
        <v>9297618</v>
      </c>
      <c r="U16" s="28">
        <v>-5172848</v>
      </c>
      <c r="V16" s="20" t="s">
        <v>107</v>
      </c>
      <c r="W16" s="20" t="s">
        <v>107</v>
      </c>
      <c r="X16" s="20">
        <f>IFERROR(VLOOKUP(B16,'DSOAT-T1.2025'!$B$11:$BH$76,66,0),0)</f>
        <v>0</v>
      </c>
      <c r="Y16" s="178">
        <f>IFERROR(VLOOKUP(B16,'DSOAT-T1.2025'!$B$11:$AS$76,57,0),0)</f>
        <v>0</v>
      </c>
      <c r="Z16" s="28">
        <f t="shared" si="0"/>
        <v>-150155</v>
      </c>
      <c r="AA16" s="20">
        <f>IFERROR(VLOOKUP(B16,'DSOAT-T1.2025'!$B$11:$AQ$76,55,0),0)</f>
        <v>0</v>
      </c>
      <c r="AB16" s="28">
        <f t="shared" si="1"/>
        <v>-467376</v>
      </c>
    </row>
    <row r="17" spans="1:28" ht="18" hidden="1" customHeight="1">
      <c r="A17" s="15" t="s">
        <v>178</v>
      </c>
      <c r="B17" s="45" t="s">
        <v>36</v>
      </c>
      <c r="C17" s="46">
        <v>8</v>
      </c>
      <c r="D17" s="47" t="s">
        <v>37</v>
      </c>
      <c r="E17" s="48">
        <v>489</v>
      </c>
      <c r="F17" s="49">
        <v>1.01</v>
      </c>
      <c r="G17" s="50">
        <v>24</v>
      </c>
      <c r="H17" s="16">
        <v>10609715</v>
      </c>
      <c r="I17" s="16">
        <v>0</v>
      </c>
      <c r="J17" s="16">
        <v>0</v>
      </c>
      <c r="K17" s="16">
        <v>10609715</v>
      </c>
      <c r="L17" s="16">
        <v>2000000</v>
      </c>
      <c r="M17" s="16">
        <v>467376</v>
      </c>
      <c r="N17" s="16">
        <v>44512</v>
      </c>
      <c r="O17" s="16">
        <v>0</v>
      </c>
      <c r="P17" s="16">
        <v>8097827</v>
      </c>
      <c r="Q17" s="44">
        <v>10695875</v>
      </c>
      <c r="R17" s="61">
        <v>-86160</v>
      </c>
      <c r="S17" s="20" t="s">
        <v>36</v>
      </c>
      <c r="T17" s="28">
        <v>8297924</v>
      </c>
      <c r="U17" s="28">
        <v>-2311791</v>
      </c>
      <c r="V17" s="20" t="s">
        <v>36</v>
      </c>
      <c r="W17" s="20">
        <v>0</v>
      </c>
      <c r="X17" s="20">
        <f>IFERROR(VLOOKUP(B17,'DSOAT-T1.2025'!$B$11:$BH$76,66,0),0)</f>
        <v>0</v>
      </c>
      <c r="Y17" s="178">
        <f>IFERROR(VLOOKUP(B17,'DSOAT-T1.2025'!$B$11:$AS$76,57,0),0)</f>
        <v>0</v>
      </c>
      <c r="Z17" s="28">
        <f t="shared" si="0"/>
        <v>0</v>
      </c>
      <c r="AA17" s="20">
        <f>IFERROR(VLOOKUP(B17,'DSOAT-T1.2025'!$B$11:$AQ$76,55,0),0)</f>
        <v>0</v>
      </c>
      <c r="AB17" s="28">
        <f t="shared" si="1"/>
        <v>-467376</v>
      </c>
    </row>
    <row r="18" spans="1:28" ht="18" hidden="1" customHeight="1">
      <c r="A18" s="15" t="s">
        <v>189</v>
      </c>
      <c r="B18" s="45" t="s">
        <v>156</v>
      </c>
      <c r="C18" s="46">
        <v>9</v>
      </c>
      <c r="D18" s="47" t="s">
        <v>143</v>
      </c>
      <c r="E18" s="48">
        <v>355</v>
      </c>
      <c r="F18" s="49">
        <v>1.18</v>
      </c>
      <c r="G18" s="50">
        <v>24</v>
      </c>
      <c r="H18" s="16">
        <v>3399323</v>
      </c>
      <c r="I18" s="16">
        <v>7252933</v>
      </c>
      <c r="J18" s="16">
        <v>0</v>
      </c>
      <c r="K18" s="16">
        <v>10652256</v>
      </c>
      <c r="L18" s="16">
        <v>2000000</v>
      </c>
      <c r="M18" s="16">
        <v>467376</v>
      </c>
      <c r="N18" s="16">
        <v>44512</v>
      </c>
      <c r="O18" s="16">
        <v>0</v>
      </c>
      <c r="P18" s="16">
        <v>8140368</v>
      </c>
      <c r="Q18" s="44">
        <v>11097701</v>
      </c>
      <c r="R18" s="61">
        <v>-445445</v>
      </c>
      <c r="S18" s="20" t="s">
        <v>156</v>
      </c>
      <c r="T18" s="28">
        <v>7738386</v>
      </c>
      <c r="U18" s="28">
        <v>-2913870</v>
      </c>
      <c r="V18" s="20" t="s">
        <v>156</v>
      </c>
      <c r="W18" s="20" t="s">
        <v>156</v>
      </c>
      <c r="X18" s="20">
        <f>IFERROR(VLOOKUP(B18,'DSOAT-T1.2025'!$B$11:$BH$76,66,0),0)</f>
        <v>0</v>
      </c>
      <c r="Y18" s="178">
        <f>IFERROR(VLOOKUP(B18,'DSOAT-T1.2025'!$B$11:$AS$76,57,0),0)</f>
        <v>0</v>
      </c>
      <c r="Z18" s="28">
        <f t="shared" si="0"/>
        <v>0</v>
      </c>
      <c r="AA18" s="20">
        <f>IFERROR(VLOOKUP(B18,'DSOAT-T1.2025'!$B$11:$AQ$76,55,0),0)</f>
        <v>0</v>
      </c>
      <c r="AB18" s="28">
        <f t="shared" si="1"/>
        <v>-467376</v>
      </c>
    </row>
    <row r="19" spans="1:28" ht="18" hidden="1" customHeight="1">
      <c r="A19" s="15" t="s">
        <v>189</v>
      </c>
      <c r="B19" s="45" t="s">
        <v>155</v>
      </c>
      <c r="C19" s="46">
        <v>10</v>
      </c>
      <c r="D19" s="47" t="s">
        <v>142</v>
      </c>
      <c r="E19" s="48">
        <v>355</v>
      </c>
      <c r="F19" s="49">
        <v>1.34</v>
      </c>
      <c r="G19" s="50">
        <v>24</v>
      </c>
      <c r="H19" s="16">
        <v>3860249</v>
      </c>
      <c r="I19" s="16">
        <v>7287577</v>
      </c>
      <c r="J19" s="16">
        <v>0</v>
      </c>
      <c r="K19" s="16">
        <v>11147826</v>
      </c>
      <c r="L19" s="16">
        <v>2000000</v>
      </c>
      <c r="M19" s="16">
        <v>467376</v>
      </c>
      <c r="N19" s="16">
        <v>44512</v>
      </c>
      <c r="O19" s="16">
        <v>0</v>
      </c>
      <c r="P19" s="16">
        <v>8635938</v>
      </c>
      <c r="Q19" s="44">
        <v>11281509</v>
      </c>
      <c r="R19" s="61">
        <v>-133683</v>
      </c>
      <c r="S19" s="20" t="s">
        <v>155</v>
      </c>
      <c r="T19" s="28">
        <v>7538592</v>
      </c>
      <c r="U19" s="28">
        <v>-3609234</v>
      </c>
      <c r="V19" s="20" t="s">
        <v>155</v>
      </c>
      <c r="W19" s="20" t="s">
        <v>155</v>
      </c>
      <c r="X19" s="20">
        <f>IFERROR(VLOOKUP(B19,'DSOAT-T1.2025'!$B$11:$BH$76,66,0),0)</f>
        <v>0</v>
      </c>
      <c r="Y19" s="178">
        <f>IFERROR(VLOOKUP(B19,'DSOAT-T1.2025'!$B$11:$AS$76,57,0),0)</f>
        <v>0</v>
      </c>
      <c r="Z19" s="28">
        <f t="shared" si="0"/>
        <v>0</v>
      </c>
      <c r="AA19" s="20">
        <f>IFERROR(VLOOKUP(B19,'DSOAT-T1.2025'!$B$11:$AQ$76,55,0),0)</f>
        <v>0</v>
      </c>
      <c r="AB19" s="28">
        <f t="shared" si="1"/>
        <v>-467376</v>
      </c>
    </row>
    <row r="20" spans="1:28" ht="18" hidden="1" customHeight="1">
      <c r="A20" s="15" t="s">
        <v>178</v>
      </c>
      <c r="B20" s="45" t="s">
        <v>34</v>
      </c>
      <c r="C20" s="46">
        <v>11</v>
      </c>
      <c r="D20" s="47" t="s">
        <v>35</v>
      </c>
      <c r="E20" s="48">
        <v>438</v>
      </c>
      <c r="F20" s="49">
        <v>1.1599999999999999</v>
      </c>
      <c r="G20" s="50">
        <v>24</v>
      </c>
      <c r="H20" s="16">
        <v>10914544</v>
      </c>
      <c r="I20" s="16">
        <v>1605998</v>
      </c>
      <c r="J20" s="16">
        <v>0</v>
      </c>
      <c r="K20" s="16">
        <v>12520542</v>
      </c>
      <c r="L20" s="16">
        <v>2000000</v>
      </c>
      <c r="M20" s="16">
        <v>467376</v>
      </c>
      <c r="N20" s="16">
        <v>44512</v>
      </c>
      <c r="O20" s="16">
        <v>53908</v>
      </c>
      <c r="P20" s="16">
        <v>9954746</v>
      </c>
      <c r="Q20" s="44">
        <v>12979025</v>
      </c>
      <c r="R20" s="61">
        <v>-458483</v>
      </c>
      <c r="S20" s="20" t="s">
        <v>34</v>
      </c>
      <c r="T20" s="28">
        <v>7399021</v>
      </c>
      <c r="U20" s="28">
        <v>-5121521</v>
      </c>
      <c r="V20" s="20" t="s">
        <v>34</v>
      </c>
      <c r="W20" s="20" t="s">
        <v>34</v>
      </c>
      <c r="X20" s="20">
        <f>IFERROR(VLOOKUP(B20,'DSOAT-T1.2025'!$B$11:$BH$76,66,0),0)</f>
        <v>0</v>
      </c>
      <c r="Y20" s="178">
        <f>IFERROR(VLOOKUP(B20,'DSOAT-T1.2025'!$B$11:$AS$76,57,0),0)</f>
        <v>0</v>
      </c>
      <c r="Z20" s="28">
        <f t="shared" si="0"/>
        <v>-53908</v>
      </c>
      <c r="AA20" s="20">
        <f>IFERROR(VLOOKUP(B20,'DSOAT-T1.2025'!$B$11:$AQ$76,55,0),0)</f>
        <v>0</v>
      </c>
      <c r="AB20" s="28">
        <f t="shared" si="1"/>
        <v>-467376</v>
      </c>
    </row>
    <row r="21" spans="1:28" ht="18" hidden="1" customHeight="1">
      <c r="A21" s="15" t="s">
        <v>178</v>
      </c>
      <c r="B21" s="45" t="s">
        <v>38</v>
      </c>
      <c r="C21" s="46">
        <v>12</v>
      </c>
      <c r="D21" s="47" t="s">
        <v>39</v>
      </c>
      <c r="E21" s="48">
        <v>418</v>
      </c>
      <c r="F21" s="49">
        <v>1.41</v>
      </c>
      <c r="G21" s="50">
        <v>26</v>
      </c>
      <c r="H21" s="16">
        <v>4742129</v>
      </c>
      <c r="I21" s="16">
        <v>12722946</v>
      </c>
      <c r="J21" s="16">
        <v>0</v>
      </c>
      <c r="K21" s="16">
        <v>17465075</v>
      </c>
      <c r="L21" s="16">
        <v>2000000</v>
      </c>
      <c r="M21" s="16">
        <v>467376</v>
      </c>
      <c r="N21" s="16">
        <v>44512</v>
      </c>
      <c r="O21" s="16">
        <v>905002</v>
      </c>
      <c r="P21" s="16">
        <v>14048185</v>
      </c>
      <c r="Q21" s="44">
        <v>13562454</v>
      </c>
      <c r="R21" s="61">
        <v>3902621</v>
      </c>
      <c r="S21" s="20" t="s">
        <v>38</v>
      </c>
      <c r="T21" s="28">
        <v>15180519</v>
      </c>
      <c r="U21" s="28">
        <v>-2284556</v>
      </c>
      <c r="V21" s="20" t="s">
        <v>38</v>
      </c>
      <c r="W21" s="20" t="s">
        <v>38</v>
      </c>
      <c r="X21" s="20">
        <f>IFERROR(VLOOKUP(B21,'DSOAT-T1.2025'!$B$11:$BH$76,66,0),0)</f>
        <v>0</v>
      </c>
      <c r="Y21" s="178">
        <f>IFERROR(VLOOKUP(B21,'DSOAT-T1.2025'!$B$11:$AS$76,57,0),0)</f>
        <v>0</v>
      </c>
      <c r="Z21" s="28">
        <f t="shared" si="0"/>
        <v>-905002</v>
      </c>
      <c r="AA21" s="20">
        <f>IFERROR(VLOOKUP(B21,'DSOAT-T1.2025'!$B$11:$AQ$76,55,0),0)</f>
        <v>0</v>
      </c>
      <c r="AB21" s="28">
        <f t="shared" si="1"/>
        <v>-467376</v>
      </c>
    </row>
    <row r="22" spans="1:28" ht="18" hidden="1" customHeight="1">
      <c r="A22" s="15" t="s">
        <v>178</v>
      </c>
      <c r="B22" s="45" t="s">
        <v>24</v>
      </c>
      <c r="C22" s="46">
        <v>13</v>
      </c>
      <c r="D22" s="47" t="s">
        <v>25</v>
      </c>
      <c r="E22" s="48">
        <v>394</v>
      </c>
      <c r="F22" s="49">
        <v>1.1599999999999999</v>
      </c>
      <c r="G22" s="50">
        <v>24</v>
      </c>
      <c r="H22" s="16">
        <v>9818105</v>
      </c>
      <c r="I22" s="16">
        <v>2416721</v>
      </c>
      <c r="J22" s="16">
        <v>0</v>
      </c>
      <c r="K22" s="16">
        <v>12234826</v>
      </c>
      <c r="L22" s="16">
        <v>2000000</v>
      </c>
      <c r="M22" s="16">
        <v>467376</v>
      </c>
      <c r="N22" s="16">
        <v>44512</v>
      </c>
      <c r="O22" s="16">
        <v>50873</v>
      </c>
      <c r="P22" s="16">
        <v>9672065</v>
      </c>
      <c r="Q22" s="44">
        <v>11160769</v>
      </c>
      <c r="R22" s="61">
        <v>1074057</v>
      </c>
      <c r="S22" s="20" t="s">
        <v>24</v>
      </c>
      <c r="T22" s="28">
        <v>9266667</v>
      </c>
      <c r="U22" s="28">
        <v>-2968159</v>
      </c>
      <c r="V22" s="20" t="s">
        <v>24</v>
      </c>
      <c r="W22" s="20" t="s">
        <v>24</v>
      </c>
      <c r="X22" s="20">
        <f>IFERROR(VLOOKUP(B22,'DSOAT-T1.2025'!$B$11:$BH$76,66,0),0)</f>
        <v>0</v>
      </c>
      <c r="Y22" s="178">
        <f>IFERROR(VLOOKUP(B22,'DSOAT-T1.2025'!$B$11:$AS$76,57,0),0)</f>
        <v>0</v>
      </c>
      <c r="Z22" s="28">
        <f t="shared" si="0"/>
        <v>-50873</v>
      </c>
      <c r="AA22" s="20">
        <f>IFERROR(VLOOKUP(B22,'DSOAT-T1.2025'!$B$11:$AQ$76,55,0),0)</f>
        <v>0</v>
      </c>
      <c r="AB22" s="28">
        <f t="shared" si="1"/>
        <v>-467376</v>
      </c>
    </row>
    <row r="23" spans="1:28" ht="18" hidden="1" customHeight="1">
      <c r="A23" s="15" t="s">
        <v>183</v>
      </c>
      <c r="B23" s="45" t="s">
        <v>26</v>
      </c>
      <c r="C23" s="46">
        <v>14</v>
      </c>
      <c r="D23" s="47" t="s">
        <v>27</v>
      </c>
      <c r="E23" s="48">
        <v>418</v>
      </c>
      <c r="F23" s="49">
        <v>1.42</v>
      </c>
      <c r="G23" s="50">
        <v>28.5</v>
      </c>
      <c r="H23" s="16">
        <v>4678304</v>
      </c>
      <c r="I23" s="16">
        <v>4104084</v>
      </c>
      <c r="J23" s="16">
        <v>0</v>
      </c>
      <c r="K23" s="16">
        <v>8782388</v>
      </c>
      <c r="L23" s="16">
        <v>2000000</v>
      </c>
      <c r="M23" s="16">
        <v>467376</v>
      </c>
      <c r="N23" s="16">
        <v>44512</v>
      </c>
      <c r="O23" s="16">
        <v>0</v>
      </c>
      <c r="P23" s="16">
        <v>6270500</v>
      </c>
      <c r="Q23" s="44">
        <v>7450953</v>
      </c>
      <c r="R23" s="61">
        <v>1331435</v>
      </c>
      <c r="S23" s="20" t="s">
        <v>26</v>
      </c>
      <c r="T23" s="28">
        <v>9882752</v>
      </c>
      <c r="U23" s="28">
        <v>1100364</v>
      </c>
      <c r="V23" s="20" t="s">
        <v>26</v>
      </c>
      <c r="W23" s="20" t="s">
        <v>26</v>
      </c>
      <c r="X23" s="20">
        <f>IFERROR(VLOOKUP(B23,'DSOAT-T1.2025'!$B$11:$BH$76,66,0),0)</f>
        <v>0</v>
      </c>
      <c r="Y23" s="178">
        <f>IFERROR(VLOOKUP(B23,'DSOAT-T1.2025'!$B$11:$AS$76,57,0),0)</f>
        <v>0</v>
      </c>
      <c r="Z23" s="28">
        <f t="shared" si="0"/>
        <v>0</v>
      </c>
      <c r="AA23" s="20">
        <f>IFERROR(VLOOKUP(B23,'DSOAT-T1.2025'!$B$11:$AQ$76,55,0),0)</f>
        <v>0</v>
      </c>
      <c r="AB23" s="28">
        <f t="shared" si="1"/>
        <v>-467376</v>
      </c>
    </row>
    <row r="24" spans="1:28" ht="18" hidden="1" customHeight="1">
      <c r="A24" s="15" t="s">
        <v>178</v>
      </c>
      <c r="B24" s="45" t="s">
        <v>28</v>
      </c>
      <c r="C24" s="46">
        <v>15</v>
      </c>
      <c r="D24" s="47" t="s">
        <v>29</v>
      </c>
      <c r="E24" s="48">
        <v>418</v>
      </c>
      <c r="F24" s="49">
        <v>1.38</v>
      </c>
      <c r="G24" s="50">
        <v>27.5</v>
      </c>
      <c r="H24" s="16">
        <v>4641233</v>
      </c>
      <c r="I24" s="16">
        <v>3771810</v>
      </c>
      <c r="J24" s="16">
        <v>0</v>
      </c>
      <c r="K24" s="16">
        <v>8413043</v>
      </c>
      <c r="L24" s="16">
        <v>2000000</v>
      </c>
      <c r="M24" s="16">
        <v>467376</v>
      </c>
      <c r="N24" s="16">
        <v>44512</v>
      </c>
      <c r="O24" s="16">
        <v>0</v>
      </c>
      <c r="P24" s="16">
        <v>5901155</v>
      </c>
      <c r="Q24" s="44">
        <v>8709224</v>
      </c>
      <c r="R24" s="61">
        <v>-296181</v>
      </c>
      <c r="S24" s="20" t="s">
        <v>28</v>
      </c>
      <c r="T24" s="28">
        <v>8410936</v>
      </c>
      <c r="U24" s="28">
        <v>-2107</v>
      </c>
      <c r="V24" s="20" t="s">
        <v>28</v>
      </c>
      <c r="W24" s="20" t="s">
        <v>28</v>
      </c>
      <c r="X24" s="20">
        <f>IFERROR(VLOOKUP(B24,'DSOAT-T1.2025'!$B$11:$BH$76,66,0),0)</f>
        <v>0</v>
      </c>
      <c r="Y24" s="178">
        <f>IFERROR(VLOOKUP(B24,'DSOAT-T1.2025'!$B$11:$AS$76,57,0),0)</f>
        <v>0</v>
      </c>
      <c r="Z24" s="28">
        <f t="shared" si="0"/>
        <v>0</v>
      </c>
      <c r="AA24" s="20">
        <f>IFERROR(VLOOKUP(B24,'DSOAT-T1.2025'!$B$11:$AQ$76,55,0),0)</f>
        <v>0</v>
      </c>
      <c r="AB24" s="28">
        <f t="shared" si="1"/>
        <v>-467376</v>
      </c>
    </row>
    <row r="25" spans="1:28" ht="18" hidden="1" customHeight="1">
      <c r="A25" s="15" t="s">
        <v>178</v>
      </c>
      <c r="B25" s="45" t="s">
        <v>30</v>
      </c>
      <c r="C25" s="46">
        <v>16</v>
      </c>
      <c r="D25" s="47" t="s">
        <v>31</v>
      </c>
      <c r="E25" s="48">
        <v>418</v>
      </c>
      <c r="F25" s="49">
        <v>1.1299999999999999</v>
      </c>
      <c r="G25" s="50">
        <v>27</v>
      </c>
      <c r="H25" s="16">
        <v>3800430</v>
      </c>
      <c r="I25" s="16">
        <v>2697765</v>
      </c>
      <c r="J25" s="16">
        <v>0</v>
      </c>
      <c r="K25" s="16">
        <v>6498195</v>
      </c>
      <c r="L25" s="16">
        <v>2000000</v>
      </c>
      <c r="M25" s="16">
        <v>467376</v>
      </c>
      <c r="N25" s="16">
        <v>44512</v>
      </c>
      <c r="O25" s="16">
        <v>0</v>
      </c>
      <c r="P25" s="16">
        <v>3986307</v>
      </c>
      <c r="Q25" s="44">
        <v>6609208</v>
      </c>
      <c r="R25" s="61">
        <v>-111013</v>
      </c>
      <c r="S25" s="20" t="s">
        <v>30</v>
      </c>
      <c r="T25" s="28">
        <v>9560145</v>
      </c>
      <c r="U25" s="28">
        <v>3061950</v>
      </c>
      <c r="V25" s="20" t="s">
        <v>30</v>
      </c>
      <c r="W25" s="20" t="s">
        <v>30</v>
      </c>
      <c r="X25" s="20">
        <f>IFERROR(VLOOKUP(B25,'DSOAT-T1.2025'!$B$11:$BH$76,66,0),0)</f>
        <v>0</v>
      </c>
      <c r="Y25" s="178">
        <f>IFERROR(VLOOKUP(B25,'DSOAT-T1.2025'!$B$11:$AS$76,57,0),0)</f>
        <v>0</v>
      </c>
      <c r="Z25" s="28">
        <f t="shared" si="0"/>
        <v>0</v>
      </c>
      <c r="AA25" s="20">
        <f>IFERROR(VLOOKUP(B25,'DSOAT-T1.2025'!$B$11:$AQ$76,55,0),0)</f>
        <v>0</v>
      </c>
      <c r="AB25" s="28">
        <f t="shared" si="1"/>
        <v>-467376</v>
      </c>
    </row>
    <row r="26" spans="1:28" ht="18" hidden="1" customHeight="1">
      <c r="A26" s="15" t="s">
        <v>176</v>
      </c>
      <c r="B26" s="45" t="s">
        <v>32</v>
      </c>
      <c r="C26" s="46">
        <v>17</v>
      </c>
      <c r="D26" s="47" t="s">
        <v>33</v>
      </c>
      <c r="E26" s="48">
        <v>379</v>
      </c>
      <c r="F26" s="49">
        <v>1.25</v>
      </c>
      <c r="G26" s="50">
        <v>23</v>
      </c>
      <c r="H26" s="16">
        <v>9836564</v>
      </c>
      <c r="I26" s="16">
        <v>0</v>
      </c>
      <c r="J26" s="16">
        <v>0</v>
      </c>
      <c r="K26" s="16">
        <v>9836564</v>
      </c>
      <c r="L26" s="16">
        <v>2000000</v>
      </c>
      <c r="M26" s="16">
        <v>467376</v>
      </c>
      <c r="N26" s="16">
        <v>44512</v>
      </c>
      <c r="O26" s="16">
        <v>0</v>
      </c>
      <c r="P26" s="16">
        <v>7324676</v>
      </c>
      <c r="Q26" s="44">
        <v>9697886</v>
      </c>
      <c r="R26" s="61">
        <v>138678</v>
      </c>
      <c r="S26" s="20" t="s">
        <v>32</v>
      </c>
      <c r="T26" s="28">
        <v>7026621</v>
      </c>
      <c r="U26" s="28">
        <v>-2809943</v>
      </c>
      <c r="V26" s="20" t="s">
        <v>32</v>
      </c>
      <c r="W26" s="20" t="s">
        <v>32</v>
      </c>
      <c r="X26" s="20">
        <f>IFERROR(VLOOKUP(B26,'DSOAT-T1.2025'!$B$11:$BH$76,66,0),0)</f>
        <v>0</v>
      </c>
      <c r="Y26" s="178">
        <f>IFERROR(VLOOKUP(B26,'DSOAT-T1.2025'!$B$11:$AS$76,57,0),0)</f>
        <v>0</v>
      </c>
      <c r="Z26" s="28">
        <f t="shared" si="0"/>
        <v>0</v>
      </c>
      <c r="AA26" s="20">
        <f>IFERROR(VLOOKUP(B26,'DSOAT-T1.2025'!$B$11:$AQ$76,55,0),0)</f>
        <v>0</v>
      </c>
      <c r="AB26" s="28">
        <f t="shared" si="1"/>
        <v>-467376</v>
      </c>
    </row>
    <row r="27" spans="1:28" ht="18" hidden="1" customHeight="1">
      <c r="A27" s="15" t="s">
        <v>178</v>
      </c>
      <c r="B27" s="45" t="s">
        <v>272</v>
      </c>
      <c r="C27" s="46">
        <v>18</v>
      </c>
      <c r="D27" s="47" t="s">
        <v>273</v>
      </c>
      <c r="E27" s="48">
        <v>478</v>
      </c>
      <c r="F27" s="49">
        <v>0.73</v>
      </c>
      <c r="G27" s="50">
        <v>26.5</v>
      </c>
      <c r="H27" s="16">
        <v>2807558</v>
      </c>
      <c r="I27" s="16">
        <v>5964449</v>
      </c>
      <c r="J27" s="16">
        <v>0</v>
      </c>
      <c r="K27" s="16">
        <v>8772007</v>
      </c>
      <c r="L27" s="16">
        <v>2000000</v>
      </c>
      <c r="M27" s="16">
        <v>467376</v>
      </c>
      <c r="N27" s="16">
        <v>44512</v>
      </c>
      <c r="O27" s="16">
        <v>0</v>
      </c>
      <c r="P27" s="16">
        <v>6260119</v>
      </c>
      <c r="Q27" s="44">
        <v>5694069</v>
      </c>
      <c r="R27" s="61">
        <v>3077938</v>
      </c>
      <c r="S27" s="20" t="s">
        <v>272</v>
      </c>
      <c r="T27" s="28">
        <v>7026621</v>
      </c>
      <c r="U27" s="28">
        <v>-1745386</v>
      </c>
      <c r="V27" s="20" t="s">
        <v>272</v>
      </c>
      <c r="W27" s="20" t="s">
        <v>272</v>
      </c>
      <c r="X27" s="20">
        <f>IFERROR(VLOOKUP(B27,'DSOAT-T1.2025'!$B$11:$BH$76,66,0),0)</f>
        <v>0</v>
      </c>
      <c r="Y27" s="178">
        <f>IFERROR(VLOOKUP(B27,'DSOAT-T1.2025'!$B$11:$AS$76,57,0),0)</f>
        <v>0</v>
      </c>
      <c r="Z27" s="28">
        <f t="shared" si="0"/>
        <v>0</v>
      </c>
      <c r="AA27" s="20">
        <f>IFERROR(VLOOKUP(B27,'DSOAT-T1.2025'!$B$11:$AQ$76,55,0),0)</f>
        <v>0</v>
      </c>
      <c r="AB27" s="28">
        <f t="shared" si="1"/>
        <v>-467376</v>
      </c>
    </row>
    <row r="28" spans="1:28" ht="18" hidden="1" customHeight="1">
      <c r="A28" s="15" t="s">
        <v>178</v>
      </c>
      <c r="B28" s="45" t="s">
        <v>274</v>
      </c>
      <c r="C28" s="46">
        <v>19</v>
      </c>
      <c r="D28" s="47" t="s">
        <v>275</v>
      </c>
      <c r="E28" s="48">
        <v>524</v>
      </c>
      <c r="F28" s="49">
        <v>0.91</v>
      </c>
      <c r="G28" s="50">
        <v>24</v>
      </c>
      <c r="H28" s="16">
        <v>3836637</v>
      </c>
      <c r="I28" s="16">
        <v>2183884</v>
      </c>
      <c r="J28" s="16">
        <v>0</v>
      </c>
      <c r="K28" s="16">
        <v>6020521</v>
      </c>
      <c r="L28" s="16">
        <v>2000000</v>
      </c>
      <c r="M28" s="16">
        <v>467376</v>
      </c>
      <c r="N28" s="16">
        <v>44512</v>
      </c>
      <c r="O28" s="16">
        <v>0</v>
      </c>
      <c r="P28" s="16">
        <v>3508633</v>
      </c>
      <c r="Q28" s="44">
        <v>5098577</v>
      </c>
      <c r="R28" s="61">
        <v>921944</v>
      </c>
      <c r="S28" s="20" t="s">
        <v>274</v>
      </c>
      <c r="T28" s="28">
        <v>7026621</v>
      </c>
      <c r="U28" s="28">
        <v>1006100</v>
      </c>
      <c r="V28" s="20" t="s">
        <v>274</v>
      </c>
      <c r="W28" s="20" t="s">
        <v>274</v>
      </c>
      <c r="X28" s="20">
        <f>IFERROR(VLOOKUP(B28,'DSOAT-T1.2025'!$B$11:$BH$76,66,0),0)</f>
        <v>0</v>
      </c>
      <c r="Y28" s="178">
        <f>IFERROR(VLOOKUP(B28,'DSOAT-T1.2025'!$B$11:$AS$76,57,0),0)</f>
        <v>0</v>
      </c>
      <c r="Z28" s="28">
        <f t="shared" si="0"/>
        <v>0</v>
      </c>
      <c r="AA28" s="20">
        <f>IFERROR(VLOOKUP(B28,'DSOAT-T1.2025'!$B$11:$AQ$76,55,0),0)</f>
        <v>0</v>
      </c>
      <c r="AB28" s="28">
        <f t="shared" si="1"/>
        <v>-467376</v>
      </c>
    </row>
    <row r="29" spans="1:28" ht="18" hidden="1" customHeight="1">
      <c r="A29" s="15" t="s">
        <v>178</v>
      </c>
      <c r="B29" s="45" t="s">
        <v>271</v>
      </c>
      <c r="C29" s="46">
        <v>20</v>
      </c>
      <c r="D29" s="47" t="s">
        <v>269</v>
      </c>
      <c r="E29" s="48">
        <v>431</v>
      </c>
      <c r="F29" s="49">
        <v>0.65</v>
      </c>
      <c r="G29" s="50">
        <v>24</v>
      </c>
      <c r="H29" s="16">
        <v>2291815</v>
      </c>
      <c r="I29" s="16">
        <v>8067847</v>
      </c>
      <c r="J29" s="16">
        <v>0</v>
      </c>
      <c r="K29" s="16">
        <v>10359662</v>
      </c>
      <c r="L29" s="16">
        <v>2000000</v>
      </c>
      <c r="M29" s="16">
        <v>467376</v>
      </c>
      <c r="N29" s="16">
        <v>44512</v>
      </c>
      <c r="O29" s="16">
        <v>0</v>
      </c>
      <c r="P29" s="16">
        <v>7847774</v>
      </c>
      <c r="Q29" s="44">
        <v>6567055</v>
      </c>
      <c r="R29" s="61">
        <v>3792607</v>
      </c>
      <c r="S29" s="20" t="s">
        <v>271</v>
      </c>
      <c r="T29" s="28">
        <v>7026621</v>
      </c>
      <c r="U29" s="28">
        <v>-3333041</v>
      </c>
      <c r="V29" s="20" t="s">
        <v>271</v>
      </c>
      <c r="W29" s="20" t="s">
        <v>271</v>
      </c>
      <c r="X29" s="20">
        <f>IFERROR(VLOOKUP(B29,'DSOAT-T1.2025'!$B$11:$BH$76,66,0),0)</f>
        <v>0</v>
      </c>
      <c r="Y29" s="178">
        <f>IFERROR(VLOOKUP(B29,'DSOAT-T1.2025'!$B$11:$AS$76,57,0),0)</f>
        <v>0</v>
      </c>
      <c r="Z29" s="28">
        <f t="shared" si="0"/>
        <v>0</v>
      </c>
      <c r="AA29" s="20">
        <f>IFERROR(VLOOKUP(B29,'DSOAT-T1.2025'!$B$11:$AQ$76,55,0),0)</f>
        <v>0</v>
      </c>
      <c r="AB29" s="28">
        <f t="shared" si="1"/>
        <v>-467376</v>
      </c>
    </row>
    <row r="30" spans="1:28" ht="18" hidden="1" customHeight="1">
      <c r="A30" s="15" t="s">
        <v>178</v>
      </c>
      <c r="B30" s="45" t="s">
        <v>212</v>
      </c>
      <c r="C30" s="46">
        <v>21</v>
      </c>
      <c r="D30" s="47" t="s">
        <v>213</v>
      </c>
      <c r="E30" s="48">
        <v>418</v>
      </c>
      <c r="F30" s="49">
        <v>1.0900000000000001</v>
      </c>
      <c r="G30" s="50">
        <v>25.5</v>
      </c>
      <c r="H30" s="16">
        <v>3665901</v>
      </c>
      <c r="I30" s="16">
        <v>2600496</v>
      </c>
      <c r="J30" s="16">
        <v>0</v>
      </c>
      <c r="K30" s="16">
        <v>6266397</v>
      </c>
      <c r="L30" s="16">
        <v>2000000</v>
      </c>
      <c r="M30" s="16">
        <v>467376</v>
      </c>
      <c r="N30" s="16">
        <v>44512</v>
      </c>
      <c r="O30" s="16">
        <v>0</v>
      </c>
      <c r="P30" s="16">
        <v>3754509</v>
      </c>
      <c r="Q30" s="44">
        <v>5936826</v>
      </c>
      <c r="R30" s="61">
        <v>329571</v>
      </c>
      <c r="S30" s="20" t="s">
        <v>212</v>
      </c>
      <c r="T30" s="28">
        <v>17662404</v>
      </c>
      <c r="U30" s="28">
        <v>11396007</v>
      </c>
      <c r="V30" s="20" t="s">
        <v>212</v>
      </c>
      <c r="W30" s="20" t="s">
        <v>212</v>
      </c>
      <c r="X30" s="20">
        <f>IFERROR(VLOOKUP(B30,'DSOAT-T1.2025'!$B$11:$BH$76,66,0),0)</f>
        <v>0</v>
      </c>
      <c r="Y30" s="178">
        <f>IFERROR(VLOOKUP(B30,'DSOAT-T1.2025'!$B$11:$AS$76,57,0),0)</f>
        <v>0</v>
      </c>
      <c r="Z30" s="28">
        <f t="shared" si="0"/>
        <v>0</v>
      </c>
      <c r="AA30" s="20">
        <f>IFERROR(VLOOKUP(B30,'DSOAT-T1.2025'!$B$11:$AQ$76,55,0),0)</f>
        <v>0</v>
      </c>
      <c r="AB30" s="28">
        <f t="shared" si="1"/>
        <v>-467376</v>
      </c>
    </row>
    <row r="31" spans="1:28" ht="18" hidden="1" customHeight="1">
      <c r="A31" s="15" t="s">
        <v>178</v>
      </c>
      <c r="B31" s="45" t="s">
        <v>217</v>
      </c>
      <c r="C31" s="46">
        <v>22</v>
      </c>
      <c r="D31" s="47" t="s">
        <v>216</v>
      </c>
      <c r="E31" s="48">
        <v>418</v>
      </c>
      <c r="F31" s="49">
        <v>1.37</v>
      </c>
      <c r="G31" s="50">
        <v>27.5</v>
      </c>
      <c r="H31" s="16">
        <v>4607601</v>
      </c>
      <c r="I31" s="16">
        <v>4257730</v>
      </c>
      <c r="J31" s="16">
        <v>0</v>
      </c>
      <c r="K31" s="16">
        <v>8865331</v>
      </c>
      <c r="L31" s="16">
        <v>2000000</v>
      </c>
      <c r="M31" s="16">
        <v>467376</v>
      </c>
      <c r="N31" s="16">
        <v>44512</v>
      </c>
      <c r="O31" s="16">
        <v>0</v>
      </c>
      <c r="P31" s="16">
        <v>6353443</v>
      </c>
      <c r="Q31" s="44">
        <v>6822819</v>
      </c>
      <c r="R31" s="61">
        <v>2042512</v>
      </c>
      <c r="S31" s="20" t="s">
        <v>217</v>
      </c>
      <c r="T31" s="28">
        <v>17662404</v>
      </c>
      <c r="U31" s="28">
        <v>8797073</v>
      </c>
      <c r="V31" s="20" t="s">
        <v>217</v>
      </c>
      <c r="W31" s="20" t="s">
        <v>217</v>
      </c>
      <c r="X31" s="20">
        <f>IFERROR(VLOOKUP(B31,'DSOAT-T1.2025'!$B$11:$BH$76,66,0),0)</f>
        <v>0</v>
      </c>
      <c r="Y31" s="178">
        <f>IFERROR(VLOOKUP(B31,'DSOAT-T1.2025'!$B$11:$AS$76,57,0),0)</f>
        <v>0</v>
      </c>
      <c r="Z31" s="28">
        <f t="shared" si="0"/>
        <v>0</v>
      </c>
      <c r="AA31" s="20">
        <f>IFERROR(VLOOKUP(B31,'DSOAT-T1.2025'!$B$11:$AQ$76,55,0),0)</f>
        <v>0</v>
      </c>
      <c r="AB31" s="28">
        <f t="shared" si="1"/>
        <v>-467376</v>
      </c>
    </row>
    <row r="32" spans="1:28" ht="18" hidden="1" customHeight="1">
      <c r="A32" s="15" t="s">
        <v>178</v>
      </c>
      <c r="B32" s="45" t="s">
        <v>263</v>
      </c>
      <c r="C32" s="46">
        <v>23</v>
      </c>
      <c r="D32" s="47" t="s">
        <v>262</v>
      </c>
      <c r="E32" s="48">
        <v>418</v>
      </c>
      <c r="F32" s="49">
        <v>1.25</v>
      </c>
      <c r="G32" s="50">
        <v>27</v>
      </c>
      <c r="H32" s="16">
        <v>4204015</v>
      </c>
      <c r="I32" s="16">
        <v>4681745</v>
      </c>
      <c r="J32" s="16">
        <v>0</v>
      </c>
      <c r="K32" s="16">
        <v>8885760</v>
      </c>
      <c r="L32" s="16">
        <v>2000000</v>
      </c>
      <c r="M32" s="16">
        <v>467376</v>
      </c>
      <c r="N32" s="16">
        <v>44512</v>
      </c>
      <c r="O32" s="16">
        <v>0</v>
      </c>
      <c r="P32" s="16">
        <v>6373872</v>
      </c>
      <c r="Q32" s="44">
        <v>7150191</v>
      </c>
      <c r="R32" s="61">
        <v>1735569</v>
      </c>
      <c r="S32" s="20" t="s">
        <v>263</v>
      </c>
      <c r="T32" s="28">
        <v>17662404</v>
      </c>
      <c r="U32" s="28">
        <v>8776644</v>
      </c>
      <c r="V32" s="20" t="s">
        <v>263</v>
      </c>
      <c r="W32" s="20" t="s">
        <v>263</v>
      </c>
      <c r="X32" s="20">
        <f>IFERROR(VLOOKUP(B32,'DSOAT-T1.2025'!$B$11:$BH$76,66,0),0)</f>
        <v>0</v>
      </c>
      <c r="Y32" s="178">
        <f>IFERROR(VLOOKUP(B32,'DSOAT-T1.2025'!$B$11:$AS$76,57,0),0)</f>
        <v>0</v>
      </c>
      <c r="Z32" s="28">
        <f t="shared" si="0"/>
        <v>0</v>
      </c>
      <c r="AA32" s="20">
        <f>IFERROR(VLOOKUP(B32,'DSOAT-T1.2025'!$B$11:$AQ$76,55,0),0)</f>
        <v>0</v>
      </c>
      <c r="AB32" s="28">
        <f t="shared" si="1"/>
        <v>-467376</v>
      </c>
    </row>
    <row r="33" spans="1:28" ht="18" hidden="1" customHeight="1">
      <c r="A33" s="15" t="s">
        <v>178</v>
      </c>
      <c r="B33" s="45" t="s">
        <v>294</v>
      </c>
      <c r="C33" s="46">
        <v>24</v>
      </c>
      <c r="D33" s="47" t="s">
        <v>295</v>
      </c>
      <c r="E33" s="48">
        <v>418</v>
      </c>
      <c r="F33" s="49">
        <v>1.1599999999999999</v>
      </c>
      <c r="G33" s="50">
        <v>27</v>
      </c>
      <c r="H33" s="16">
        <v>3901326</v>
      </c>
      <c r="I33" s="16">
        <v>2599965</v>
      </c>
      <c r="J33" s="16">
        <v>0</v>
      </c>
      <c r="K33" s="16">
        <v>6501291</v>
      </c>
      <c r="L33" s="16">
        <v>2000000</v>
      </c>
      <c r="M33" s="16">
        <v>467376</v>
      </c>
      <c r="N33" s="16">
        <v>44512</v>
      </c>
      <c r="O33" s="16">
        <v>0</v>
      </c>
      <c r="P33" s="16">
        <v>3989403</v>
      </c>
      <c r="Q33" s="44">
        <v>7302146</v>
      </c>
      <c r="R33" s="61">
        <v>-800855</v>
      </c>
      <c r="S33" s="20" t="s">
        <v>294</v>
      </c>
      <c r="T33" s="28"/>
      <c r="U33" s="28">
        <v>-6501291</v>
      </c>
      <c r="V33" s="20">
        <v>0</v>
      </c>
      <c r="W33" s="20" t="s">
        <v>294</v>
      </c>
      <c r="X33" s="20">
        <f>IFERROR(VLOOKUP(B33,'DSOAT-T1.2025'!$B$11:$BH$76,66,0),0)</f>
        <v>0</v>
      </c>
      <c r="Y33" s="178">
        <f>IFERROR(VLOOKUP(B33,'DSOAT-T1.2025'!$B$11:$AS$76,57,0),0)</f>
        <v>0</v>
      </c>
      <c r="Z33" s="28">
        <f t="shared" si="0"/>
        <v>0</v>
      </c>
      <c r="AA33" s="20">
        <f>IFERROR(VLOOKUP(B33,'DSOAT-T1.2025'!$B$11:$AQ$76,55,0),0)</f>
        <v>0</v>
      </c>
      <c r="AB33" s="28">
        <f t="shared" si="1"/>
        <v>-467376</v>
      </c>
    </row>
    <row r="34" spans="1:28" ht="18" hidden="1" customHeight="1">
      <c r="A34" s="15" t="s">
        <v>179</v>
      </c>
      <c r="B34" s="45" t="s">
        <v>59</v>
      </c>
      <c r="C34" s="46">
        <v>25</v>
      </c>
      <c r="D34" s="47" t="s">
        <v>60</v>
      </c>
      <c r="E34" s="48">
        <v>478</v>
      </c>
      <c r="F34" s="49">
        <v>0.85</v>
      </c>
      <c r="G34" s="50">
        <v>24</v>
      </c>
      <c r="H34" s="16">
        <v>3275597</v>
      </c>
      <c r="I34" s="16">
        <v>6268369</v>
      </c>
      <c r="J34" s="16">
        <v>0</v>
      </c>
      <c r="K34" s="16">
        <v>9543966</v>
      </c>
      <c r="L34" s="16">
        <v>2000000</v>
      </c>
      <c r="M34" s="16">
        <v>408954</v>
      </c>
      <c r="N34" s="16">
        <v>38948</v>
      </c>
      <c r="O34" s="16">
        <v>0</v>
      </c>
      <c r="P34" s="16">
        <v>7096064</v>
      </c>
      <c r="Q34" s="44">
        <v>9498990</v>
      </c>
      <c r="R34" s="61">
        <v>44976</v>
      </c>
      <c r="S34" s="20" t="s">
        <v>59</v>
      </c>
      <c r="T34" s="28">
        <v>13008787</v>
      </c>
      <c r="U34" s="28">
        <v>3464821</v>
      </c>
      <c r="V34" s="20" t="s">
        <v>59</v>
      </c>
      <c r="W34" s="20" t="s">
        <v>59</v>
      </c>
      <c r="X34" s="20">
        <f>IFERROR(VLOOKUP(B34,'DSOAT-T1.2025'!$B$11:$BH$76,66,0),0)</f>
        <v>0</v>
      </c>
      <c r="Y34" s="178">
        <f>IFERROR(VLOOKUP(B34,'DSOAT-T1.2025'!$B$11:$AS$76,57,0),0)</f>
        <v>0</v>
      </c>
      <c r="Z34" s="28">
        <f t="shared" si="0"/>
        <v>0</v>
      </c>
      <c r="AA34" s="20">
        <f>IFERROR(VLOOKUP(B34,'DSOAT-T1.2025'!$B$11:$AQ$76,55,0),0)</f>
        <v>0</v>
      </c>
      <c r="AB34" s="28">
        <f t="shared" si="1"/>
        <v>-408954</v>
      </c>
    </row>
    <row r="35" spans="1:28" ht="18" hidden="1" customHeight="1">
      <c r="A35" s="15" t="s">
        <v>179</v>
      </c>
      <c r="B35" s="45" t="s">
        <v>40</v>
      </c>
      <c r="C35" s="46">
        <v>26</v>
      </c>
      <c r="D35" s="47" t="s">
        <v>41</v>
      </c>
      <c r="E35" s="48">
        <v>543</v>
      </c>
      <c r="F35" s="49">
        <v>0.98</v>
      </c>
      <c r="G35" s="50">
        <v>24</v>
      </c>
      <c r="H35" s="16">
        <v>11615167</v>
      </c>
      <c r="I35" s="16">
        <v>390907</v>
      </c>
      <c r="J35" s="16">
        <v>0</v>
      </c>
      <c r="K35" s="16">
        <v>12006074</v>
      </c>
      <c r="L35" s="16">
        <v>2000000</v>
      </c>
      <c r="M35" s="16">
        <v>408954</v>
      </c>
      <c r="N35" s="16">
        <v>38948</v>
      </c>
      <c r="O35" s="16">
        <v>29856</v>
      </c>
      <c r="P35" s="16">
        <v>9528316</v>
      </c>
      <c r="Q35" s="44">
        <v>12213165</v>
      </c>
      <c r="R35" s="61">
        <v>-207091</v>
      </c>
      <c r="S35" s="20" t="s">
        <v>40</v>
      </c>
      <c r="T35" s="28">
        <v>8458432</v>
      </c>
      <c r="U35" s="28">
        <v>-3547642</v>
      </c>
      <c r="V35" s="20" t="s">
        <v>40</v>
      </c>
      <c r="W35" s="20">
        <v>0</v>
      </c>
      <c r="X35" s="20">
        <f>IFERROR(VLOOKUP(B35,'DSOAT-T1.2025'!$B$11:$BH$76,66,0),0)</f>
        <v>0</v>
      </c>
      <c r="Y35" s="178">
        <f>IFERROR(VLOOKUP(B35,'DSOAT-T1.2025'!$B$11:$AS$76,57,0),0)</f>
        <v>0</v>
      </c>
      <c r="Z35" s="28">
        <f t="shared" si="0"/>
        <v>-29856</v>
      </c>
      <c r="AA35" s="20">
        <f>IFERROR(VLOOKUP(B35,'DSOAT-T1.2025'!$B$11:$AQ$76,55,0),0)</f>
        <v>0</v>
      </c>
      <c r="AB35" s="28">
        <f t="shared" si="1"/>
        <v>-408954</v>
      </c>
    </row>
    <row r="36" spans="1:28" ht="18" hidden="1" customHeight="1">
      <c r="A36" s="15" t="s">
        <v>179</v>
      </c>
      <c r="B36" s="45" t="s">
        <v>53</v>
      </c>
      <c r="C36" s="46">
        <v>27</v>
      </c>
      <c r="D36" s="47" t="s">
        <v>138</v>
      </c>
      <c r="E36" s="48">
        <v>418</v>
      </c>
      <c r="F36" s="49">
        <v>1.24</v>
      </c>
      <c r="G36" s="50">
        <v>24</v>
      </c>
      <c r="H36" s="16">
        <v>11313514</v>
      </c>
      <c r="I36" s="16">
        <v>6201243</v>
      </c>
      <c r="J36" s="16">
        <v>0</v>
      </c>
      <c r="K36" s="16">
        <v>17514757</v>
      </c>
      <c r="L36" s="16">
        <v>2000000</v>
      </c>
      <c r="M36" s="16">
        <v>408954</v>
      </c>
      <c r="N36" s="16">
        <v>38948</v>
      </c>
      <c r="O36" s="16">
        <v>481680</v>
      </c>
      <c r="P36" s="16">
        <v>14585175</v>
      </c>
      <c r="Q36" s="44">
        <v>15510737</v>
      </c>
      <c r="R36" s="61">
        <v>2004020</v>
      </c>
      <c r="S36" s="20" t="s">
        <v>53</v>
      </c>
      <c r="T36" s="28">
        <v>6381832</v>
      </c>
      <c r="U36" s="28">
        <v>-11132925</v>
      </c>
      <c r="V36" s="20" t="s">
        <v>53</v>
      </c>
      <c r="W36" s="20" t="s">
        <v>53</v>
      </c>
      <c r="X36" s="20">
        <f>IFERROR(VLOOKUP(B36,'DSOAT-T1.2025'!$B$11:$BH$76,66,0),0)</f>
        <v>0</v>
      </c>
      <c r="Y36" s="178">
        <f>IFERROR(VLOOKUP(B36,'DSOAT-T1.2025'!$B$11:$AS$76,57,0),0)</f>
        <v>0</v>
      </c>
      <c r="Z36" s="28">
        <f t="shared" si="0"/>
        <v>-481680</v>
      </c>
      <c r="AA36" s="20">
        <f>IFERROR(VLOOKUP(B36,'DSOAT-T1.2025'!$B$11:$AQ$76,55,0),0)</f>
        <v>0</v>
      </c>
      <c r="AB36" s="28">
        <f t="shared" si="1"/>
        <v>-408954</v>
      </c>
    </row>
    <row r="37" spans="1:28" ht="18" hidden="1" customHeight="1">
      <c r="A37" s="15" t="s">
        <v>179</v>
      </c>
      <c r="B37" s="45" t="s">
        <v>43</v>
      </c>
      <c r="C37" s="46">
        <v>28</v>
      </c>
      <c r="D37" s="47" t="s">
        <v>44</v>
      </c>
      <c r="E37" s="48">
        <v>394</v>
      </c>
      <c r="F37" s="49">
        <v>1.06</v>
      </c>
      <c r="G37" s="50">
        <v>24</v>
      </c>
      <c r="H37" s="16">
        <v>9115944</v>
      </c>
      <c r="I37" s="16">
        <v>3262712</v>
      </c>
      <c r="J37" s="16">
        <v>0</v>
      </c>
      <c r="K37" s="16">
        <v>12378656</v>
      </c>
      <c r="L37" s="16">
        <v>2000000</v>
      </c>
      <c r="M37" s="16">
        <v>408954</v>
      </c>
      <c r="N37" s="16">
        <v>38948</v>
      </c>
      <c r="O37" s="16">
        <v>76485</v>
      </c>
      <c r="P37" s="16">
        <v>9854269</v>
      </c>
      <c r="Q37" s="44">
        <v>12216370</v>
      </c>
      <c r="R37" s="61">
        <v>162286</v>
      </c>
      <c r="S37" s="20" t="s">
        <v>43</v>
      </c>
      <c r="T37" s="28">
        <v>6498925</v>
      </c>
      <c r="U37" s="28">
        <v>-5879731</v>
      </c>
      <c r="V37" s="20" t="s">
        <v>43</v>
      </c>
      <c r="W37" s="20" t="s">
        <v>43</v>
      </c>
      <c r="X37" s="20">
        <f>IFERROR(VLOOKUP(B37,'DSOAT-T1.2025'!$B$11:$BH$76,66,0),0)</f>
        <v>0</v>
      </c>
      <c r="Y37" s="178">
        <f>IFERROR(VLOOKUP(B37,'DSOAT-T1.2025'!$B$11:$AS$76,57,0),0)</f>
        <v>0</v>
      </c>
      <c r="Z37" s="28">
        <f t="shared" si="0"/>
        <v>-76485</v>
      </c>
      <c r="AA37" s="20">
        <f>IFERROR(VLOOKUP(B37,'DSOAT-T1.2025'!$B$11:$AQ$76,55,0),0)</f>
        <v>0</v>
      </c>
      <c r="AB37" s="28">
        <f t="shared" si="1"/>
        <v>-408954</v>
      </c>
    </row>
    <row r="38" spans="1:28" ht="18" hidden="1" customHeight="1">
      <c r="A38" s="15" t="s">
        <v>179</v>
      </c>
      <c r="B38" s="45" t="s">
        <v>45</v>
      </c>
      <c r="C38" s="46">
        <v>29</v>
      </c>
      <c r="D38" s="47" t="s">
        <v>46</v>
      </c>
      <c r="E38" s="48">
        <v>418</v>
      </c>
      <c r="F38" s="49">
        <v>1.18</v>
      </c>
      <c r="G38" s="50">
        <v>24</v>
      </c>
      <c r="H38" s="16">
        <v>4032389</v>
      </c>
      <c r="I38" s="16">
        <v>3718624</v>
      </c>
      <c r="J38" s="16">
        <v>0</v>
      </c>
      <c r="K38" s="16">
        <v>7751013</v>
      </c>
      <c r="L38" s="16">
        <v>2000000</v>
      </c>
      <c r="M38" s="16">
        <v>408954</v>
      </c>
      <c r="N38" s="16">
        <v>38948</v>
      </c>
      <c r="O38" s="16">
        <v>0</v>
      </c>
      <c r="P38" s="16">
        <v>5303111</v>
      </c>
      <c r="Q38" s="44">
        <v>5774925</v>
      </c>
      <c r="R38" s="61">
        <v>1976088</v>
      </c>
      <c r="S38" s="20" t="s">
        <v>45</v>
      </c>
      <c r="T38" s="28">
        <v>3226397</v>
      </c>
      <c r="U38" s="28">
        <v>-4524616</v>
      </c>
      <c r="V38" s="20" t="s">
        <v>45</v>
      </c>
      <c r="W38" s="20" t="s">
        <v>45</v>
      </c>
      <c r="X38" s="20">
        <f>IFERROR(VLOOKUP(B38,'DSOAT-T1.2025'!$B$11:$BH$76,66,0),0)</f>
        <v>0</v>
      </c>
      <c r="Y38" s="178">
        <f>IFERROR(VLOOKUP(B38,'DSOAT-T1.2025'!$B$11:$AS$76,57,0),0)</f>
        <v>0</v>
      </c>
      <c r="Z38" s="28">
        <f t="shared" si="0"/>
        <v>0</v>
      </c>
      <c r="AA38" s="20">
        <f>IFERROR(VLOOKUP(B38,'DSOAT-T1.2025'!$B$11:$AQ$76,55,0),0)</f>
        <v>0</v>
      </c>
      <c r="AB38" s="28">
        <f t="shared" si="1"/>
        <v>-408954</v>
      </c>
    </row>
    <row r="39" spans="1:28" ht="18" hidden="1" customHeight="1">
      <c r="A39" s="15" t="s">
        <v>179</v>
      </c>
      <c r="B39" s="45" t="s">
        <v>47</v>
      </c>
      <c r="C39" s="46">
        <v>30</v>
      </c>
      <c r="D39" s="47" t="s">
        <v>48</v>
      </c>
      <c r="E39" s="48">
        <v>431</v>
      </c>
      <c r="F39" s="49">
        <v>1.24</v>
      </c>
      <c r="G39" s="50">
        <v>24</v>
      </c>
      <c r="H39" s="16">
        <v>4369211</v>
      </c>
      <c r="I39" s="16">
        <v>4191119</v>
      </c>
      <c r="J39" s="16">
        <v>0</v>
      </c>
      <c r="K39" s="16">
        <v>8560330</v>
      </c>
      <c r="L39" s="16">
        <v>2000000</v>
      </c>
      <c r="M39" s="16">
        <v>408954</v>
      </c>
      <c r="N39" s="16">
        <v>38948</v>
      </c>
      <c r="O39" s="16">
        <v>0</v>
      </c>
      <c r="P39" s="16">
        <v>6112428</v>
      </c>
      <c r="Q39" s="44">
        <v>7871842</v>
      </c>
      <c r="R39" s="61">
        <v>688488</v>
      </c>
      <c r="S39" s="20" t="s">
        <v>47</v>
      </c>
      <c r="T39" s="28">
        <v>9531308</v>
      </c>
      <c r="U39" s="28">
        <v>970978</v>
      </c>
      <c r="V39" s="20" t="s">
        <v>47</v>
      </c>
      <c r="W39" s="20" t="s">
        <v>47</v>
      </c>
      <c r="X39" s="20">
        <f>IFERROR(VLOOKUP(B39,'DSOAT-T1.2025'!$B$11:$BH$76,66,0),0)</f>
        <v>0</v>
      </c>
      <c r="Y39" s="178">
        <f>IFERROR(VLOOKUP(B39,'DSOAT-T1.2025'!$B$11:$AS$76,57,0),0)</f>
        <v>0</v>
      </c>
      <c r="Z39" s="28">
        <f t="shared" si="0"/>
        <v>0</v>
      </c>
      <c r="AA39" s="20">
        <f>IFERROR(VLOOKUP(B39,'DSOAT-T1.2025'!$B$11:$AQ$76,55,0),0)</f>
        <v>0</v>
      </c>
      <c r="AB39" s="28">
        <f t="shared" si="1"/>
        <v>-408954</v>
      </c>
    </row>
    <row r="40" spans="1:28" ht="18" hidden="1" customHeight="1">
      <c r="A40" s="15" t="s">
        <v>179</v>
      </c>
      <c r="B40" s="45" t="s">
        <v>55</v>
      </c>
      <c r="C40" s="46">
        <v>31</v>
      </c>
      <c r="D40" s="47" t="s">
        <v>56</v>
      </c>
      <c r="E40" s="48">
        <v>478</v>
      </c>
      <c r="F40" s="49">
        <v>0.81</v>
      </c>
      <c r="G40" s="50">
        <v>24</v>
      </c>
      <c r="H40" s="16">
        <v>3165315</v>
      </c>
      <c r="I40" s="16">
        <v>5343459</v>
      </c>
      <c r="J40" s="16">
        <v>0</v>
      </c>
      <c r="K40" s="16">
        <v>8508774</v>
      </c>
      <c r="L40" s="16">
        <v>2000000</v>
      </c>
      <c r="M40" s="16">
        <v>408954</v>
      </c>
      <c r="N40" s="16">
        <v>38948</v>
      </c>
      <c r="O40" s="16">
        <v>0</v>
      </c>
      <c r="P40" s="16">
        <v>6060872</v>
      </c>
      <c r="Q40" s="44">
        <v>12230143</v>
      </c>
      <c r="R40" s="61">
        <v>-3721369</v>
      </c>
      <c r="S40" s="20" t="s">
        <v>55</v>
      </c>
      <c r="T40" s="28">
        <v>9212350</v>
      </c>
      <c r="U40" s="28">
        <v>703576</v>
      </c>
      <c r="V40" s="20" t="s">
        <v>55</v>
      </c>
      <c r="W40" s="20" t="s">
        <v>55</v>
      </c>
      <c r="X40" s="20">
        <f>IFERROR(VLOOKUP(B40,'DSOAT-T1.2025'!$B$11:$BH$76,66,0),0)</f>
        <v>0</v>
      </c>
      <c r="Y40" s="178">
        <f>IFERROR(VLOOKUP(B40,'DSOAT-T1.2025'!$B$11:$AS$76,57,0),0)</f>
        <v>0</v>
      </c>
      <c r="Z40" s="28">
        <f t="shared" si="0"/>
        <v>0</v>
      </c>
      <c r="AA40" s="20">
        <f>IFERROR(VLOOKUP(B40,'DSOAT-T1.2025'!$B$11:$AQ$76,55,0),0)</f>
        <v>0</v>
      </c>
      <c r="AB40" s="28">
        <f t="shared" si="1"/>
        <v>-408954</v>
      </c>
    </row>
    <row r="41" spans="1:28" ht="18" hidden="1" customHeight="1">
      <c r="A41" s="15" t="s">
        <v>179</v>
      </c>
      <c r="B41" s="45" t="s">
        <v>49</v>
      </c>
      <c r="C41" s="46">
        <v>32</v>
      </c>
      <c r="D41" s="47" t="s">
        <v>50</v>
      </c>
      <c r="E41" s="48">
        <v>478</v>
      </c>
      <c r="F41" s="49">
        <v>0.84</v>
      </c>
      <c r="G41" s="50">
        <v>24</v>
      </c>
      <c r="H41" s="16">
        <v>3282549</v>
      </c>
      <c r="I41" s="16">
        <v>4869072</v>
      </c>
      <c r="J41" s="16">
        <v>0</v>
      </c>
      <c r="K41" s="16">
        <v>8151621</v>
      </c>
      <c r="L41" s="16">
        <v>2000000</v>
      </c>
      <c r="M41" s="16">
        <v>408954</v>
      </c>
      <c r="N41" s="16">
        <v>38948</v>
      </c>
      <c r="O41" s="16">
        <v>0</v>
      </c>
      <c r="P41" s="16">
        <v>5703719</v>
      </c>
      <c r="Q41" s="44">
        <v>10426836</v>
      </c>
      <c r="R41" s="61">
        <v>-2275215</v>
      </c>
      <c r="S41" s="20" t="s">
        <v>49</v>
      </c>
      <c r="T41" s="28">
        <v>13514883</v>
      </c>
      <c r="U41" s="28">
        <v>5363262</v>
      </c>
      <c r="V41" s="20" t="s">
        <v>49</v>
      </c>
      <c r="W41" s="20" t="s">
        <v>49</v>
      </c>
      <c r="X41" s="20">
        <f>IFERROR(VLOOKUP(B41,'DSOAT-T1.2025'!$B$11:$BH$76,66,0),0)</f>
        <v>0</v>
      </c>
      <c r="Y41" s="178">
        <f>IFERROR(VLOOKUP(B41,'DSOAT-T1.2025'!$B$11:$AS$76,57,0),0)</f>
        <v>0</v>
      </c>
      <c r="Z41" s="28">
        <f t="shared" si="0"/>
        <v>0</v>
      </c>
      <c r="AA41" s="20">
        <f>IFERROR(VLOOKUP(B41,'DSOAT-T1.2025'!$B$11:$AQ$76,55,0),0)</f>
        <v>0</v>
      </c>
      <c r="AB41" s="28">
        <f t="shared" si="1"/>
        <v>-408954</v>
      </c>
    </row>
    <row r="42" spans="1:28" ht="18" hidden="1" customHeight="1">
      <c r="A42" s="15" t="s">
        <v>179</v>
      </c>
      <c r="B42" s="45" t="s">
        <v>51</v>
      </c>
      <c r="C42" s="46">
        <v>33</v>
      </c>
      <c r="D42" s="47" t="s">
        <v>52</v>
      </c>
      <c r="E42" s="48">
        <v>418</v>
      </c>
      <c r="F42" s="49">
        <v>0.95</v>
      </c>
      <c r="G42" s="50">
        <v>24</v>
      </c>
      <c r="H42" s="16">
        <v>3246415</v>
      </c>
      <c r="I42" s="16">
        <v>1837156</v>
      </c>
      <c r="J42" s="16">
        <v>0</v>
      </c>
      <c r="K42" s="16">
        <v>5083571</v>
      </c>
      <c r="L42" s="16">
        <v>2000000</v>
      </c>
      <c r="M42" s="16">
        <v>408954</v>
      </c>
      <c r="N42" s="16">
        <v>38948</v>
      </c>
      <c r="O42" s="16">
        <v>0</v>
      </c>
      <c r="P42" s="16">
        <v>2635669</v>
      </c>
      <c r="Q42" s="44">
        <v>5274788</v>
      </c>
      <c r="R42" s="61">
        <v>-191217</v>
      </c>
      <c r="S42" s="20" t="s">
        <v>51</v>
      </c>
      <c r="T42" s="28">
        <v>8724927</v>
      </c>
      <c r="U42" s="28">
        <v>3641356</v>
      </c>
      <c r="V42" s="20" t="s">
        <v>51</v>
      </c>
      <c r="W42" s="20" t="s">
        <v>51</v>
      </c>
      <c r="X42" s="20">
        <f>IFERROR(VLOOKUP(B42,'DSOAT-T1.2025'!$B$11:$BH$76,66,0),0)</f>
        <v>0</v>
      </c>
      <c r="Y42" s="178">
        <f>IFERROR(VLOOKUP(B42,'DSOAT-T1.2025'!$B$11:$AS$76,57,0),0)</f>
        <v>0</v>
      </c>
      <c r="Z42" s="28">
        <f t="shared" si="0"/>
        <v>0</v>
      </c>
      <c r="AA42" s="20">
        <f>IFERROR(VLOOKUP(B42,'DSOAT-T1.2025'!$B$11:$AQ$76,55,0),0)</f>
        <v>0</v>
      </c>
      <c r="AB42" s="28">
        <f t="shared" si="1"/>
        <v>-408954</v>
      </c>
    </row>
    <row r="43" spans="1:28" ht="18" hidden="1" customHeight="1">
      <c r="A43" s="15" t="s">
        <v>179</v>
      </c>
      <c r="B43" s="45" t="s">
        <v>158</v>
      </c>
      <c r="C43" s="46">
        <v>34</v>
      </c>
      <c r="D43" s="47" t="s">
        <v>146</v>
      </c>
      <c r="E43" s="48">
        <v>431</v>
      </c>
      <c r="F43" s="49">
        <v>0.63</v>
      </c>
      <c r="G43" s="50">
        <v>24</v>
      </c>
      <c r="H43" s="16">
        <v>2231590</v>
      </c>
      <c r="I43" s="16">
        <v>8928072</v>
      </c>
      <c r="J43" s="16">
        <v>0</v>
      </c>
      <c r="K43" s="16">
        <v>11159662</v>
      </c>
      <c r="L43" s="16">
        <v>2000000</v>
      </c>
      <c r="M43" s="16">
        <v>408954</v>
      </c>
      <c r="N43" s="16">
        <v>38948</v>
      </c>
      <c r="O43" s="16">
        <v>58535</v>
      </c>
      <c r="P43" s="16">
        <v>8653225</v>
      </c>
      <c r="Q43" s="44">
        <v>10766396</v>
      </c>
      <c r="R43" s="61">
        <v>393266</v>
      </c>
      <c r="S43" s="20" t="s">
        <v>158</v>
      </c>
      <c r="T43" s="28">
        <v>14059604</v>
      </c>
      <c r="U43" s="28">
        <v>2899942</v>
      </c>
      <c r="V43" s="20" t="s">
        <v>158</v>
      </c>
      <c r="W43" s="20" t="s">
        <v>158</v>
      </c>
      <c r="X43" s="20">
        <f>IFERROR(VLOOKUP(B43,'DSOAT-T1.2025'!$B$11:$BH$76,66,0),0)</f>
        <v>0</v>
      </c>
      <c r="Y43" s="178">
        <f>IFERROR(VLOOKUP(B43,'DSOAT-T1.2025'!$B$11:$AS$76,57,0),0)</f>
        <v>0</v>
      </c>
      <c r="Z43" s="28">
        <f t="shared" si="0"/>
        <v>-58535</v>
      </c>
      <c r="AA43" s="20">
        <f>IFERROR(VLOOKUP(B43,'DSOAT-T1.2025'!$B$11:$AQ$76,55,0),0)</f>
        <v>0</v>
      </c>
      <c r="AB43" s="28">
        <f t="shared" si="1"/>
        <v>-408954</v>
      </c>
    </row>
    <row r="44" spans="1:28" ht="18" hidden="1" customHeight="1">
      <c r="A44" s="15" t="s">
        <v>179</v>
      </c>
      <c r="B44" s="45" t="s">
        <v>159</v>
      </c>
      <c r="C44" s="46">
        <v>35</v>
      </c>
      <c r="D44" s="47" t="s">
        <v>147</v>
      </c>
      <c r="E44" s="48">
        <v>431</v>
      </c>
      <c r="F44" s="49">
        <v>0.71</v>
      </c>
      <c r="G44" s="50">
        <v>24</v>
      </c>
      <c r="H44" s="16">
        <v>2481682</v>
      </c>
      <c r="I44" s="16">
        <v>8556191</v>
      </c>
      <c r="J44" s="16">
        <v>0</v>
      </c>
      <c r="K44" s="16">
        <v>11037873</v>
      </c>
      <c r="L44" s="16">
        <v>2000000</v>
      </c>
      <c r="M44" s="16">
        <v>408954</v>
      </c>
      <c r="N44" s="16">
        <v>38948</v>
      </c>
      <c r="O44" s="16">
        <v>0</v>
      </c>
      <c r="P44" s="16">
        <v>8589971</v>
      </c>
      <c r="Q44" s="44">
        <v>8007557</v>
      </c>
      <c r="R44" s="61">
        <v>3030316</v>
      </c>
      <c r="S44" s="20" t="s">
        <v>159</v>
      </c>
      <c r="T44" s="28">
        <v>28925404</v>
      </c>
      <c r="U44" s="28">
        <v>17887531</v>
      </c>
      <c r="V44" s="20" t="s">
        <v>159</v>
      </c>
      <c r="W44" s="20" t="s">
        <v>159</v>
      </c>
      <c r="X44" s="20">
        <f>IFERROR(VLOOKUP(B44,'DSOAT-T1.2025'!$B$11:$BH$76,66,0),0)</f>
        <v>0</v>
      </c>
      <c r="Y44" s="178">
        <f>IFERROR(VLOOKUP(B44,'DSOAT-T1.2025'!$B$11:$AS$76,57,0),0)</f>
        <v>0</v>
      </c>
      <c r="Z44" s="28">
        <f t="shared" si="0"/>
        <v>0</v>
      </c>
      <c r="AA44" s="20">
        <f>IFERROR(VLOOKUP(B44,'DSOAT-T1.2025'!$B$11:$AQ$76,55,0),0)</f>
        <v>0</v>
      </c>
      <c r="AB44" s="28">
        <f t="shared" si="1"/>
        <v>-408954</v>
      </c>
    </row>
    <row r="45" spans="1:28" ht="18" hidden="1" customHeight="1">
      <c r="A45" s="15" t="s">
        <v>179</v>
      </c>
      <c r="B45" s="45" t="s">
        <v>214</v>
      </c>
      <c r="C45" s="46">
        <v>36</v>
      </c>
      <c r="D45" s="47" t="s">
        <v>215</v>
      </c>
      <c r="E45" s="48">
        <v>524</v>
      </c>
      <c r="F45" s="49">
        <v>1.1399999999999999</v>
      </c>
      <c r="G45" s="50">
        <v>24</v>
      </c>
      <c r="H45" s="16">
        <v>4883602</v>
      </c>
      <c r="I45" s="16">
        <v>6016790</v>
      </c>
      <c r="J45" s="16">
        <v>0</v>
      </c>
      <c r="K45" s="16">
        <v>10900392</v>
      </c>
      <c r="L45" s="16">
        <v>2000000</v>
      </c>
      <c r="M45" s="16">
        <v>408954</v>
      </c>
      <c r="N45" s="16">
        <v>38948</v>
      </c>
      <c r="O45" s="16">
        <v>1774842</v>
      </c>
      <c r="P45" s="16">
        <v>6677648</v>
      </c>
      <c r="Q45" s="44">
        <v>10431379</v>
      </c>
      <c r="R45" s="61">
        <v>469013</v>
      </c>
      <c r="S45" s="20" t="s">
        <v>214</v>
      </c>
      <c r="T45" s="28">
        <v>28925404</v>
      </c>
      <c r="U45" s="28">
        <v>18025012</v>
      </c>
      <c r="V45" s="20" t="s">
        <v>214</v>
      </c>
      <c r="W45" s="20" t="s">
        <v>214</v>
      </c>
      <c r="X45" s="20">
        <f>IFERROR(VLOOKUP(B45,'DSOAT-T1.2025'!$B$11:$BH$76,66,0),0)</f>
        <v>0</v>
      </c>
      <c r="Y45" s="178">
        <f>IFERROR(VLOOKUP(B45,'DSOAT-T1.2025'!$B$11:$AS$76,57,0),0)</f>
        <v>0</v>
      </c>
      <c r="Z45" s="28">
        <f t="shared" si="0"/>
        <v>-1774842</v>
      </c>
      <c r="AA45" s="20">
        <f>IFERROR(VLOOKUP(B45,'DSOAT-T1.2025'!$B$11:$AQ$76,55,0),0)</f>
        <v>0</v>
      </c>
      <c r="AB45" s="28">
        <f t="shared" si="1"/>
        <v>-408954</v>
      </c>
    </row>
    <row r="46" spans="1:28" ht="18" hidden="1" customHeight="1">
      <c r="A46" s="15" t="s">
        <v>179</v>
      </c>
      <c r="B46" s="45" t="s">
        <v>283</v>
      </c>
      <c r="C46" s="46">
        <v>37</v>
      </c>
      <c r="D46" s="47" t="s">
        <v>281</v>
      </c>
      <c r="E46" s="48">
        <v>355</v>
      </c>
      <c r="F46" s="49">
        <v>1.05</v>
      </c>
      <c r="G46" s="50">
        <v>24</v>
      </c>
      <c r="H46" s="16">
        <v>8136117</v>
      </c>
      <c r="I46" s="16">
        <v>668708</v>
      </c>
      <c r="J46" s="16">
        <v>0</v>
      </c>
      <c r="K46" s="16">
        <v>8804825</v>
      </c>
      <c r="L46" s="16">
        <v>2000000</v>
      </c>
      <c r="M46" s="16">
        <v>408954</v>
      </c>
      <c r="N46" s="16">
        <v>38948</v>
      </c>
      <c r="O46" s="16">
        <v>0</v>
      </c>
      <c r="P46" s="16">
        <v>6356923</v>
      </c>
      <c r="Q46" s="44">
        <v>8601739</v>
      </c>
      <c r="R46" s="61">
        <v>203086</v>
      </c>
      <c r="S46" s="20" t="s">
        <v>283</v>
      </c>
      <c r="T46" s="28">
        <v>28925404</v>
      </c>
      <c r="U46" s="28">
        <v>20120579</v>
      </c>
      <c r="V46" s="20" t="s">
        <v>283</v>
      </c>
      <c r="W46" s="20" t="s">
        <v>283</v>
      </c>
      <c r="X46" s="20">
        <f>IFERROR(VLOOKUP(B46,'DSOAT-T1.2025'!$B$11:$BH$76,66,0),0)</f>
        <v>0</v>
      </c>
      <c r="Y46" s="178">
        <f>IFERROR(VLOOKUP(B46,'DSOAT-T1.2025'!$B$11:$AS$76,57,0),0)</f>
        <v>0</v>
      </c>
      <c r="Z46" s="28">
        <f t="shared" si="0"/>
        <v>0</v>
      </c>
      <c r="AA46" s="20">
        <f>IFERROR(VLOOKUP(B46,'DSOAT-T1.2025'!$B$11:$AQ$76,55,0),0)</f>
        <v>0</v>
      </c>
      <c r="AB46" s="28">
        <f t="shared" si="1"/>
        <v>-408954</v>
      </c>
    </row>
    <row r="47" spans="1:28" ht="18" customHeight="1">
      <c r="A47" s="15" t="s">
        <v>180</v>
      </c>
      <c r="B47" s="45" t="s">
        <v>66</v>
      </c>
      <c r="C47" s="46">
        <v>38</v>
      </c>
      <c r="D47" s="47" t="s">
        <v>67</v>
      </c>
      <c r="E47" s="48">
        <v>335</v>
      </c>
      <c r="F47" s="49">
        <v>1.05</v>
      </c>
      <c r="G47" s="50">
        <v>24</v>
      </c>
      <c r="H47" s="16">
        <v>7695687</v>
      </c>
      <c r="I47" s="16">
        <v>232705</v>
      </c>
      <c r="J47" s="16">
        <v>0</v>
      </c>
      <c r="K47" s="16">
        <v>7928392</v>
      </c>
      <c r="L47" s="16">
        <v>2000000</v>
      </c>
      <c r="M47" s="16">
        <v>365138</v>
      </c>
      <c r="N47" s="16">
        <v>34775</v>
      </c>
      <c r="O47" s="16">
        <v>0</v>
      </c>
      <c r="P47" s="16">
        <v>5528479</v>
      </c>
      <c r="Q47" s="44">
        <v>8956776</v>
      </c>
      <c r="R47" s="61">
        <v>-1028384</v>
      </c>
      <c r="S47" s="20" t="s">
        <v>66</v>
      </c>
      <c r="T47" s="28">
        <v>28925404</v>
      </c>
      <c r="U47" s="28">
        <v>20997012</v>
      </c>
      <c r="V47" s="20" t="s">
        <v>66</v>
      </c>
      <c r="W47" s="20" t="s">
        <v>66</v>
      </c>
      <c r="X47" s="20">
        <f>IFERROR(VLOOKUP(B47,'DSOAT-T1.2025'!$B$11:$BH$76,66,0),0)</f>
        <v>0</v>
      </c>
      <c r="Y47" s="178">
        <f>IFERROR(VLOOKUP(B47,'DSOAT-T1.2025'!$B$11:$AS$76,57,0),0)</f>
        <v>0</v>
      </c>
      <c r="Z47" s="28">
        <f t="shared" si="0"/>
        <v>0</v>
      </c>
      <c r="AA47" s="20">
        <f>IFERROR(VLOOKUP(B47,'DSOAT-T1.2025'!$B$11:$AQ$76,55,0),0)</f>
        <v>0</v>
      </c>
      <c r="AB47" s="28">
        <f t="shared" si="1"/>
        <v>-365138</v>
      </c>
    </row>
    <row r="48" spans="1:28" ht="18" customHeight="1">
      <c r="A48" s="15" t="s">
        <v>180</v>
      </c>
      <c r="B48" s="45" t="s">
        <v>171</v>
      </c>
      <c r="C48" s="46">
        <v>39</v>
      </c>
      <c r="D48" s="47" t="s">
        <v>168</v>
      </c>
      <c r="E48" s="48">
        <v>478</v>
      </c>
      <c r="F48" s="49">
        <v>0.74</v>
      </c>
      <c r="G48" s="50">
        <v>24</v>
      </c>
      <c r="H48" s="16">
        <v>2901828</v>
      </c>
      <c r="I48" s="16">
        <v>10214058</v>
      </c>
      <c r="J48" s="16">
        <v>0</v>
      </c>
      <c r="K48" s="16">
        <v>13115886</v>
      </c>
      <c r="L48" s="16">
        <v>2000000</v>
      </c>
      <c r="M48" s="16">
        <v>365138</v>
      </c>
      <c r="N48" s="16">
        <v>34775</v>
      </c>
      <c r="O48" s="16">
        <v>105537</v>
      </c>
      <c r="P48" s="16">
        <v>10610436</v>
      </c>
      <c r="Q48" s="44">
        <v>6566894</v>
      </c>
      <c r="R48" s="61">
        <v>6548992</v>
      </c>
      <c r="S48" s="20" t="s">
        <v>171</v>
      </c>
      <c r="T48" s="28">
        <v>18458037</v>
      </c>
      <c r="U48" s="28">
        <v>5342151</v>
      </c>
      <c r="V48" s="20" t="s">
        <v>171</v>
      </c>
      <c r="W48" s="20" t="s">
        <v>171</v>
      </c>
      <c r="X48" s="20">
        <f>IFERROR(VLOOKUP(B48,'DSOAT-T1.2025'!$B$11:$BH$76,66,0),0)</f>
        <v>0</v>
      </c>
      <c r="Y48" s="178">
        <f>IFERROR(VLOOKUP(B48,'DSOAT-T1.2025'!$B$11:$AS$76,57,0),0)</f>
        <v>0</v>
      </c>
      <c r="Z48" s="28">
        <f t="shared" si="0"/>
        <v>-105537</v>
      </c>
      <c r="AA48" s="20">
        <f>IFERROR(VLOOKUP(B48,'DSOAT-T1.2025'!$B$11:$AQ$76,55,0),0)</f>
        <v>0</v>
      </c>
      <c r="AB48" s="28">
        <f t="shared" si="1"/>
        <v>-365138</v>
      </c>
    </row>
    <row r="49" spans="1:28" ht="18" customHeight="1">
      <c r="A49" s="15" t="s">
        <v>180</v>
      </c>
      <c r="B49" s="45" t="s">
        <v>64</v>
      </c>
      <c r="C49" s="46">
        <v>40</v>
      </c>
      <c r="D49" s="47" t="s">
        <v>65</v>
      </c>
      <c r="E49" s="48">
        <v>418</v>
      </c>
      <c r="F49" s="49">
        <v>0.74</v>
      </c>
      <c r="G49" s="50">
        <v>26</v>
      </c>
      <c r="H49" s="16">
        <v>2534696</v>
      </c>
      <c r="I49" s="16">
        <v>1716356</v>
      </c>
      <c r="J49" s="16">
        <v>0</v>
      </c>
      <c r="K49" s="16">
        <v>4251052</v>
      </c>
      <c r="L49" s="16">
        <v>2000000</v>
      </c>
      <c r="M49" s="16">
        <v>365138</v>
      </c>
      <c r="N49" s="16">
        <v>34775</v>
      </c>
      <c r="O49" s="16">
        <v>0</v>
      </c>
      <c r="P49" s="16">
        <v>1851139</v>
      </c>
      <c r="Q49" s="44">
        <v>5529935</v>
      </c>
      <c r="R49" s="61">
        <v>-1278883</v>
      </c>
      <c r="S49" s="20" t="s">
        <v>64</v>
      </c>
      <c r="T49" s="28">
        <v>6187990</v>
      </c>
      <c r="U49" s="28">
        <v>1936938</v>
      </c>
      <c r="V49" s="20" t="s">
        <v>64</v>
      </c>
      <c r="W49" s="20" t="s">
        <v>64</v>
      </c>
      <c r="X49" s="20">
        <f>IFERROR(VLOOKUP(B49,'DSOAT-T1.2025'!$B$11:$BH$76,66,0),0)</f>
        <v>0</v>
      </c>
      <c r="Y49" s="178">
        <f>IFERROR(VLOOKUP(B49,'DSOAT-T1.2025'!$B$11:$AS$76,57,0),0)</f>
        <v>0</v>
      </c>
      <c r="Z49" s="28">
        <f t="shared" si="0"/>
        <v>0</v>
      </c>
      <c r="AA49" s="20">
        <f>IFERROR(VLOOKUP(B49,'DSOAT-T1.2025'!$B$11:$AQ$76,55,0),0)</f>
        <v>0</v>
      </c>
      <c r="AB49" s="28">
        <f t="shared" si="1"/>
        <v>-365138</v>
      </c>
    </row>
    <row r="50" spans="1:28" ht="18" customHeight="1">
      <c r="A50" s="15" t="s">
        <v>180</v>
      </c>
      <c r="B50" s="45" t="s">
        <v>160</v>
      </c>
      <c r="C50" s="46">
        <v>41</v>
      </c>
      <c r="D50" s="47" t="s">
        <v>148</v>
      </c>
      <c r="E50" s="48">
        <v>431</v>
      </c>
      <c r="F50" s="49">
        <v>0.45</v>
      </c>
      <c r="G50" s="50">
        <v>24</v>
      </c>
      <c r="H50" s="16">
        <v>1589678</v>
      </c>
      <c r="I50" s="16">
        <v>15353545</v>
      </c>
      <c r="J50" s="16">
        <v>0</v>
      </c>
      <c r="K50" s="16">
        <v>16943223</v>
      </c>
      <c r="L50" s="16">
        <v>2000000</v>
      </c>
      <c r="M50" s="16">
        <v>365138</v>
      </c>
      <c r="N50" s="16">
        <v>34775</v>
      </c>
      <c r="O50" s="16">
        <v>446309</v>
      </c>
      <c r="P50" s="16">
        <v>14097001</v>
      </c>
      <c r="Q50" s="44">
        <v>18473382</v>
      </c>
      <c r="R50" s="61">
        <v>-1530159</v>
      </c>
      <c r="S50" s="20" t="s">
        <v>160</v>
      </c>
      <c r="T50" s="28">
        <v>24005944</v>
      </c>
      <c r="U50" s="28">
        <v>7062721</v>
      </c>
      <c r="V50" s="20" t="s">
        <v>160</v>
      </c>
      <c r="W50" s="20" t="s">
        <v>160</v>
      </c>
      <c r="X50" s="20">
        <f>IFERROR(VLOOKUP(B50,'DSOAT-T1.2025'!$B$11:$BH$76,66,0),0)</f>
        <v>0</v>
      </c>
      <c r="Y50" s="178">
        <f>IFERROR(VLOOKUP(B50,'DSOAT-T1.2025'!$B$11:$AS$76,57,0),0)</f>
        <v>0</v>
      </c>
      <c r="Z50" s="28">
        <f t="shared" si="0"/>
        <v>-446309</v>
      </c>
      <c r="AA50" s="20">
        <f>IFERROR(VLOOKUP(B50,'DSOAT-T1.2025'!$B$11:$AQ$76,55,0),0)</f>
        <v>0</v>
      </c>
      <c r="AB50" s="28">
        <f t="shared" si="1"/>
        <v>-365138</v>
      </c>
    </row>
    <row r="51" spans="1:28" ht="18" customHeight="1">
      <c r="A51" s="15" t="s">
        <v>180</v>
      </c>
      <c r="B51" s="45" t="s">
        <v>284</v>
      </c>
      <c r="C51" s="46">
        <v>42</v>
      </c>
      <c r="D51" s="47" t="s">
        <v>282</v>
      </c>
      <c r="E51" s="48">
        <v>524</v>
      </c>
      <c r="F51" s="49">
        <v>1.1499999999999999</v>
      </c>
      <c r="G51" s="50">
        <v>24</v>
      </c>
      <c r="H51" s="16">
        <v>4937953</v>
      </c>
      <c r="I51" s="16">
        <v>7306464</v>
      </c>
      <c r="J51" s="16">
        <v>0</v>
      </c>
      <c r="K51" s="16">
        <v>12244417</v>
      </c>
      <c r="L51" s="16">
        <v>2000000</v>
      </c>
      <c r="M51" s="16">
        <v>365138</v>
      </c>
      <c r="N51" s="16">
        <v>34775</v>
      </c>
      <c r="O51" s="16">
        <v>180421</v>
      </c>
      <c r="P51" s="16">
        <v>9664083</v>
      </c>
      <c r="Q51" s="44">
        <v>8605090</v>
      </c>
      <c r="R51" s="61">
        <v>3639327</v>
      </c>
      <c r="S51" s="20" t="s">
        <v>284</v>
      </c>
      <c r="T51" s="28">
        <v>24005944</v>
      </c>
      <c r="U51" s="28">
        <v>11761527</v>
      </c>
      <c r="V51" s="20" t="s">
        <v>284</v>
      </c>
      <c r="W51" s="20" t="s">
        <v>284</v>
      </c>
      <c r="X51" s="20">
        <f>IFERROR(VLOOKUP(B51,'DSOAT-T1.2025'!$B$11:$BH$76,66,0),0)</f>
        <v>0</v>
      </c>
      <c r="Y51" s="178">
        <f>IFERROR(VLOOKUP(B51,'DSOAT-T1.2025'!$B$11:$AS$76,57,0),0)</f>
        <v>0</v>
      </c>
      <c r="Z51" s="28">
        <f t="shared" si="0"/>
        <v>-180421</v>
      </c>
      <c r="AA51" s="20">
        <f>IFERROR(VLOOKUP(B51,'DSOAT-T1.2025'!$B$11:$AQ$76,55,0),0)</f>
        <v>0</v>
      </c>
      <c r="AB51" s="28">
        <f t="shared" si="1"/>
        <v>-365138</v>
      </c>
    </row>
    <row r="52" spans="1:28" ht="18" customHeight="1">
      <c r="A52" s="15" t="s">
        <v>180</v>
      </c>
      <c r="B52" s="45" t="s">
        <v>290</v>
      </c>
      <c r="C52" s="46">
        <v>43</v>
      </c>
      <c r="D52" s="47" t="s">
        <v>289</v>
      </c>
      <c r="E52" s="48">
        <v>418</v>
      </c>
      <c r="F52" s="49">
        <v>0.55000000000000004</v>
      </c>
      <c r="G52" s="50">
        <v>26</v>
      </c>
      <c r="H52" s="16">
        <v>1883896</v>
      </c>
      <c r="I52" s="16">
        <v>1853688</v>
      </c>
      <c r="J52" s="16">
        <v>0</v>
      </c>
      <c r="K52" s="16">
        <v>3737584</v>
      </c>
      <c r="L52" s="16">
        <v>2000000</v>
      </c>
      <c r="M52" s="16">
        <v>365138</v>
      </c>
      <c r="N52" s="16">
        <v>34775</v>
      </c>
      <c r="O52" s="16">
        <v>0</v>
      </c>
      <c r="P52" s="16">
        <v>1337671</v>
      </c>
      <c r="Q52" s="44">
        <v>3148066</v>
      </c>
      <c r="R52" s="61">
        <v>589518</v>
      </c>
      <c r="S52" s="20" t="s">
        <v>290</v>
      </c>
      <c r="T52" s="28">
        <v>24005944</v>
      </c>
      <c r="U52" s="28">
        <v>20268360</v>
      </c>
      <c r="V52" s="20" t="s">
        <v>290</v>
      </c>
      <c r="W52" s="20" t="s">
        <v>290</v>
      </c>
      <c r="X52" s="20">
        <f>IFERROR(VLOOKUP(B52,'DSOAT-T1.2025'!$B$11:$BH$76,66,0),0)</f>
        <v>0</v>
      </c>
      <c r="Y52" s="178">
        <f>IFERROR(VLOOKUP(B52,'DSOAT-T1.2025'!$B$11:$AS$76,57,0),0)</f>
        <v>0</v>
      </c>
      <c r="Z52" s="28">
        <f t="shared" si="0"/>
        <v>0</v>
      </c>
      <c r="AA52" s="20">
        <f>IFERROR(VLOOKUP(B52,'DSOAT-T1.2025'!$B$11:$AQ$76,55,0),0)</f>
        <v>0</v>
      </c>
      <c r="AB52" s="28">
        <f t="shared" si="1"/>
        <v>-365138</v>
      </c>
    </row>
    <row r="53" spans="1:28" ht="18" hidden="1" customHeight="1">
      <c r="A53" s="15" t="s">
        <v>181</v>
      </c>
      <c r="B53" s="45" t="s">
        <v>68</v>
      </c>
      <c r="C53" s="46">
        <v>44</v>
      </c>
      <c r="D53" s="47" t="s">
        <v>69</v>
      </c>
      <c r="E53" s="48">
        <v>335</v>
      </c>
      <c r="F53" s="49">
        <v>0</v>
      </c>
      <c r="G53" s="50">
        <v>0</v>
      </c>
      <c r="H53" s="16">
        <v>0</v>
      </c>
      <c r="I53" s="16">
        <v>0</v>
      </c>
      <c r="J53" s="16">
        <v>0</v>
      </c>
      <c r="K53" s="16">
        <v>0</v>
      </c>
      <c r="L53" s="16">
        <v>0</v>
      </c>
      <c r="M53" s="16">
        <v>0</v>
      </c>
      <c r="N53" s="16">
        <v>0</v>
      </c>
      <c r="O53" s="16">
        <v>0</v>
      </c>
      <c r="P53" s="16">
        <v>0</v>
      </c>
      <c r="Q53" s="44">
        <v>0</v>
      </c>
      <c r="R53" s="61">
        <v>0</v>
      </c>
      <c r="S53" s="20" t="s">
        <v>68</v>
      </c>
      <c r="T53" s="28">
        <v>24005944</v>
      </c>
      <c r="U53" s="28">
        <v>24005944</v>
      </c>
      <c r="V53" s="20" t="s">
        <v>68</v>
      </c>
      <c r="W53" s="20" t="s">
        <v>68</v>
      </c>
      <c r="X53" s="20">
        <f>IFERROR(VLOOKUP(B53,'DSOAT-T1.2025'!$B$11:$BH$76,66,0),0)</f>
        <v>0</v>
      </c>
      <c r="Y53" s="178">
        <f>IFERROR(VLOOKUP(B53,'DSOAT-T1.2025'!$B$11:$AS$76,57,0),0)</f>
        <v>0</v>
      </c>
      <c r="Z53" s="28">
        <f t="shared" si="0"/>
        <v>0</v>
      </c>
      <c r="AA53" s="20">
        <f>IFERROR(VLOOKUP(B53,'DSOAT-T1.2025'!$B$11:$AQ$76,55,0),0)</f>
        <v>0</v>
      </c>
      <c r="AB53" s="28">
        <f t="shared" si="1"/>
        <v>0</v>
      </c>
    </row>
    <row r="54" spans="1:28" ht="18" customHeight="1">
      <c r="A54" s="15" t="s">
        <v>181</v>
      </c>
      <c r="B54" s="45" t="s">
        <v>71</v>
      </c>
      <c r="C54" s="46">
        <v>45</v>
      </c>
      <c r="D54" s="47" t="s">
        <v>72</v>
      </c>
      <c r="E54" s="48">
        <v>418</v>
      </c>
      <c r="F54" s="49">
        <v>1.37</v>
      </c>
      <c r="G54" s="50">
        <v>24</v>
      </c>
      <c r="H54" s="16">
        <v>4685271</v>
      </c>
      <c r="I54" s="16">
        <v>10390678</v>
      </c>
      <c r="J54" s="16">
        <v>0</v>
      </c>
      <c r="K54" s="16">
        <v>15075949</v>
      </c>
      <c r="L54" s="16">
        <v>2000000</v>
      </c>
      <c r="M54" s="16">
        <v>365138</v>
      </c>
      <c r="N54" s="16">
        <v>34775</v>
      </c>
      <c r="O54" s="16">
        <v>247241</v>
      </c>
      <c r="P54" s="16">
        <v>12428795</v>
      </c>
      <c r="Q54" s="44">
        <v>10821173</v>
      </c>
      <c r="R54" s="61">
        <v>4254776</v>
      </c>
      <c r="S54" s="20" t="s">
        <v>71</v>
      </c>
      <c r="T54" s="28">
        <v>9363634</v>
      </c>
      <c r="U54" s="28">
        <v>-5712315</v>
      </c>
      <c r="V54" s="20" t="s">
        <v>71</v>
      </c>
      <c r="W54" s="20" t="s">
        <v>71</v>
      </c>
      <c r="X54" s="20">
        <f>IFERROR(VLOOKUP(B54,'DSOAT-T1.2025'!$B$11:$BH$76,66,0),0)</f>
        <v>0</v>
      </c>
      <c r="Y54" s="178">
        <f>IFERROR(VLOOKUP(B54,'DSOAT-T1.2025'!$B$11:$AS$76,57,0),0)</f>
        <v>0</v>
      </c>
      <c r="Z54" s="28">
        <f t="shared" si="0"/>
        <v>-247241</v>
      </c>
      <c r="AA54" s="20">
        <f>IFERROR(VLOOKUP(B54,'DSOAT-T1.2025'!$B$11:$AQ$76,55,0),0)</f>
        <v>0</v>
      </c>
      <c r="AB54" s="28">
        <f t="shared" si="1"/>
        <v>-365138</v>
      </c>
    </row>
    <row r="55" spans="1:28" ht="18" customHeight="1">
      <c r="A55" s="15" t="s">
        <v>181</v>
      </c>
      <c r="B55" s="45" t="s">
        <v>73</v>
      </c>
      <c r="C55" s="46">
        <v>46</v>
      </c>
      <c r="D55" s="47" t="s">
        <v>182</v>
      </c>
      <c r="E55" s="48">
        <v>431</v>
      </c>
      <c r="F55" s="49">
        <v>0.78</v>
      </c>
      <c r="G55" s="50">
        <v>24</v>
      </c>
      <c r="H55" s="16">
        <v>2723862</v>
      </c>
      <c r="I55" s="16">
        <v>4247948</v>
      </c>
      <c r="J55" s="16">
        <v>0</v>
      </c>
      <c r="K55" s="16">
        <v>6971810</v>
      </c>
      <c r="L55" s="16">
        <v>2000000</v>
      </c>
      <c r="M55" s="16">
        <v>365138</v>
      </c>
      <c r="N55" s="16">
        <v>34775</v>
      </c>
      <c r="O55" s="16">
        <v>1959489</v>
      </c>
      <c r="P55" s="16">
        <v>2612408</v>
      </c>
      <c r="Q55" s="44">
        <v>8179742</v>
      </c>
      <c r="R55" s="61">
        <v>-1207932</v>
      </c>
      <c r="S55" s="20" t="s">
        <v>73</v>
      </c>
      <c r="T55" s="28">
        <v>9654509</v>
      </c>
      <c r="U55" s="28">
        <v>2682699</v>
      </c>
      <c r="V55" s="20" t="s">
        <v>73</v>
      </c>
      <c r="W55" s="20" t="s">
        <v>73</v>
      </c>
      <c r="X55" s="20">
        <f>IFERROR(VLOOKUP(B55,'DSOAT-T1.2025'!$B$11:$BH$76,66,0),0)</f>
        <v>0</v>
      </c>
      <c r="Y55" s="178">
        <f>IFERROR(VLOOKUP(B55,'DSOAT-T1.2025'!$B$11:$AS$76,57,0),0)</f>
        <v>0</v>
      </c>
      <c r="Z55" s="28">
        <f t="shared" si="0"/>
        <v>-1959489</v>
      </c>
      <c r="AA55" s="20">
        <f>IFERROR(VLOOKUP(B55,'DSOAT-T1.2025'!$B$11:$AQ$76,55,0),0)</f>
        <v>0</v>
      </c>
      <c r="AB55" s="28">
        <f t="shared" si="1"/>
        <v>-365138</v>
      </c>
    </row>
    <row r="56" spans="1:28" ht="18" customHeight="1">
      <c r="A56" s="15" t="s">
        <v>181</v>
      </c>
      <c r="B56" s="45" t="s">
        <v>75</v>
      </c>
      <c r="C56" s="46">
        <v>47</v>
      </c>
      <c r="D56" s="47" t="s">
        <v>76</v>
      </c>
      <c r="E56" s="48">
        <v>418</v>
      </c>
      <c r="F56" s="49">
        <v>1.32</v>
      </c>
      <c r="G56" s="50">
        <v>24</v>
      </c>
      <c r="H56" s="16">
        <v>4514275</v>
      </c>
      <c r="I56" s="16">
        <v>4149901</v>
      </c>
      <c r="J56" s="16">
        <v>0</v>
      </c>
      <c r="K56" s="16">
        <v>8664176</v>
      </c>
      <c r="L56" s="16">
        <v>2000000</v>
      </c>
      <c r="M56" s="16">
        <v>365138</v>
      </c>
      <c r="N56" s="16">
        <v>34775</v>
      </c>
      <c r="O56" s="16">
        <v>2141555</v>
      </c>
      <c r="P56" s="16">
        <v>4122708</v>
      </c>
      <c r="Q56" s="44">
        <v>5580918</v>
      </c>
      <c r="R56" s="61">
        <v>3083258</v>
      </c>
      <c r="S56" s="20" t="s">
        <v>75</v>
      </c>
      <c r="T56" s="28">
        <v>9075874</v>
      </c>
      <c r="U56" s="28">
        <v>411698</v>
      </c>
      <c r="V56" s="20" t="s">
        <v>75</v>
      </c>
      <c r="W56" s="20" t="s">
        <v>75</v>
      </c>
      <c r="X56" s="20">
        <f>IFERROR(VLOOKUP(B56,'DSOAT-T1.2025'!$B$11:$BH$76,66,0),0)</f>
        <v>0</v>
      </c>
      <c r="Y56" s="178">
        <f>IFERROR(VLOOKUP(B56,'DSOAT-T1.2025'!$B$11:$AS$76,57,0),0)</f>
        <v>0</v>
      </c>
      <c r="Z56" s="28">
        <f t="shared" si="0"/>
        <v>-2141555</v>
      </c>
      <c r="AA56" s="20">
        <f>IFERROR(VLOOKUP(B56,'DSOAT-T1.2025'!$B$11:$AQ$76,55,0),0)</f>
        <v>0</v>
      </c>
      <c r="AB56" s="28">
        <f t="shared" si="1"/>
        <v>-365138</v>
      </c>
    </row>
    <row r="57" spans="1:28" ht="18" customHeight="1">
      <c r="A57" s="15" t="s">
        <v>181</v>
      </c>
      <c r="B57" s="45" t="s">
        <v>162</v>
      </c>
      <c r="C57" s="46">
        <v>48</v>
      </c>
      <c r="D57" s="47" t="s">
        <v>150</v>
      </c>
      <c r="E57" s="48">
        <v>431</v>
      </c>
      <c r="F57" s="49">
        <v>0.77</v>
      </c>
      <c r="G57" s="50">
        <v>24</v>
      </c>
      <c r="H57" s="16">
        <v>2716013</v>
      </c>
      <c r="I57" s="16">
        <v>7578341</v>
      </c>
      <c r="J57" s="16">
        <v>0</v>
      </c>
      <c r="K57" s="16">
        <v>10294354</v>
      </c>
      <c r="L57" s="16">
        <v>2000000</v>
      </c>
      <c r="M57" s="16">
        <v>365138</v>
      </c>
      <c r="N57" s="16">
        <v>34775</v>
      </c>
      <c r="O57" s="16">
        <v>475269</v>
      </c>
      <c r="P57" s="16">
        <v>7419172</v>
      </c>
      <c r="Q57" s="44">
        <v>9790895</v>
      </c>
      <c r="R57" s="61">
        <v>503459</v>
      </c>
      <c r="S57" s="20" t="s">
        <v>162</v>
      </c>
      <c r="T57" s="28">
        <v>11229313</v>
      </c>
      <c r="U57" s="28">
        <v>934959</v>
      </c>
      <c r="V57" s="20" t="s">
        <v>162</v>
      </c>
      <c r="W57" s="20" t="s">
        <v>162</v>
      </c>
      <c r="X57" s="20">
        <f>IFERROR(VLOOKUP(B57,'DSOAT-T1.2025'!$B$11:$BH$76,66,0),0)</f>
        <v>0</v>
      </c>
      <c r="Y57" s="178">
        <f>IFERROR(VLOOKUP(B57,'DSOAT-T1.2025'!$B$11:$AS$76,57,0),0)</f>
        <v>0</v>
      </c>
      <c r="Z57" s="28">
        <f t="shared" si="0"/>
        <v>-475269</v>
      </c>
      <c r="AA57" s="20">
        <f>IFERROR(VLOOKUP(B57,'DSOAT-T1.2025'!$B$11:$AQ$76,55,0),0)</f>
        <v>0</v>
      </c>
      <c r="AB57" s="28">
        <f t="shared" si="1"/>
        <v>-365138</v>
      </c>
    </row>
    <row r="58" spans="1:28" ht="18" customHeight="1">
      <c r="A58" s="15" t="s">
        <v>181</v>
      </c>
      <c r="B58" s="45" t="s">
        <v>166</v>
      </c>
      <c r="C58" s="46">
        <v>49</v>
      </c>
      <c r="D58" s="47" t="s">
        <v>149</v>
      </c>
      <c r="E58" s="48">
        <v>431</v>
      </c>
      <c r="F58" s="49">
        <v>0.83</v>
      </c>
      <c r="G58" s="50">
        <v>24</v>
      </c>
      <c r="H58" s="16">
        <v>2940326</v>
      </c>
      <c r="I58" s="16">
        <v>6426237</v>
      </c>
      <c r="J58" s="16">
        <v>0</v>
      </c>
      <c r="K58" s="16">
        <v>9366563</v>
      </c>
      <c r="L58" s="16">
        <v>2000000</v>
      </c>
      <c r="M58" s="16">
        <v>365138</v>
      </c>
      <c r="N58" s="16">
        <v>34775</v>
      </c>
      <c r="O58" s="16">
        <v>5137738</v>
      </c>
      <c r="P58" s="16">
        <v>1828912</v>
      </c>
      <c r="Q58" s="44">
        <v>10847815</v>
      </c>
      <c r="R58" s="61">
        <v>-1481252</v>
      </c>
      <c r="S58" s="20" t="s">
        <v>166</v>
      </c>
      <c r="T58" s="28">
        <v>11956714</v>
      </c>
      <c r="U58" s="28">
        <v>2590151</v>
      </c>
      <c r="V58" s="20" t="s">
        <v>166</v>
      </c>
      <c r="W58" s="20" t="s">
        <v>166</v>
      </c>
      <c r="X58" s="20">
        <f>IFERROR(VLOOKUP(B58,'DSOAT-T1.2025'!$B$11:$BH$76,66,0),0)</f>
        <v>0</v>
      </c>
      <c r="Y58" s="178">
        <f>IFERROR(VLOOKUP(B58,'DSOAT-T1.2025'!$B$11:$AS$76,57,0),0)</f>
        <v>0</v>
      </c>
      <c r="Z58" s="28">
        <f t="shared" si="0"/>
        <v>-5137738</v>
      </c>
      <c r="AA58" s="20">
        <f>IFERROR(VLOOKUP(B58,'DSOAT-T1.2025'!$B$11:$AQ$76,55,0),0)</f>
        <v>0</v>
      </c>
      <c r="AB58" s="28">
        <f t="shared" si="1"/>
        <v>-365138</v>
      </c>
    </row>
    <row r="59" spans="1:28" ht="18" hidden="1" customHeight="1">
      <c r="A59" s="15" t="s">
        <v>179</v>
      </c>
      <c r="B59" s="45" t="s">
        <v>165</v>
      </c>
      <c r="C59" s="46">
        <v>50</v>
      </c>
      <c r="D59" s="47" t="s">
        <v>151</v>
      </c>
      <c r="E59" s="48">
        <v>431</v>
      </c>
      <c r="F59" s="49">
        <v>1.26</v>
      </c>
      <c r="G59" s="50">
        <v>24</v>
      </c>
      <c r="H59" s="16">
        <v>4439682</v>
      </c>
      <c r="I59" s="16">
        <v>4078726</v>
      </c>
      <c r="J59" s="16">
        <v>0</v>
      </c>
      <c r="K59" s="16">
        <v>8518408</v>
      </c>
      <c r="L59" s="16">
        <v>2000000</v>
      </c>
      <c r="M59" s="16">
        <v>408954</v>
      </c>
      <c r="N59" s="16">
        <v>38948</v>
      </c>
      <c r="O59" s="16">
        <v>327838</v>
      </c>
      <c r="P59" s="16">
        <v>5742668</v>
      </c>
      <c r="Q59" s="44">
        <v>9150183</v>
      </c>
      <c r="R59" s="61">
        <v>-631775</v>
      </c>
      <c r="S59" s="20" t="s">
        <v>165</v>
      </c>
      <c r="T59" s="28">
        <v>16496660</v>
      </c>
      <c r="U59" s="28">
        <v>7978252</v>
      </c>
      <c r="V59" s="20" t="s">
        <v>165</v>
      </c>
      <c r="W59" s="20" t="s">
        <v>165</v>
      </c>
      <c r="X59" s="20">
        <f>IFERROR(VLOOKUP(B59,'DSOAT-T1.2025'!$B$11:$BH$76,66,0),0)</f>
        <v>0</v>
      </c>
      <c r="Y59" s="178">
        <f>IFERROR(VLOOKUP(B59,'DSOAT-T1.2025'!$B$11:$AS$76,57,0),0)</f>
        <v>0</v>
      </c>
      <c r="Z59" s="28">
        <f t="shared" si="0"/>
        <v>-327838</v>
      </c>
      <c r="AA59" s="20">
        <f>IFERROR(VLOOKUP(B59,'DSOAT-T1.2025'!$B$11:$AQ$76,55,0),0)</f>
        <v>0</v>
      </c>
      <c r="AB59" s="28">
        <f t="shared" si="1"/>
        <v>-408954</v>
      </c>
    </row>
    <row r="60" spans="1:28" ht="18" hidden="1" customHeight="1">
      <c r="A60" s="15" t="s">
        <v>183</v>
      </c>
      <c r="B60" s="45" t="s">
        <v>84</v>
      </c>
      <c r="C60" s="46">
        <v>51</v>
      </c>
      <c r="D60" s="47" t="s">
        <v>139</v>
      </c>
      <c r="E60" s="48">
        <v>341</v>
      </c>
      <c r="F60" s="49">
        <v>1</v>
      </c>
      <c r="G60" s="50">
        <v>24</v>
      </c>
      <c r="H60" s="16">
        <v>7175855</v>
      </c>
      <c r="I60" s="16">
        <v>0</v>
      </c>
      <c r="J60" s="16">
        <v>0</v>
      </c>
      <c r="K60" s="16">
        <v>7175855</v>
      </c>
      <c r="L60" s="16">
        <v>2000000</v>
      </c>
      <c r="M60" s="16">
        <v>467376</v>
      </c>
      <c r="N60" s="16">
        <v>44512</v>
      </c>
      <c r="O60" s="16">
        <v>0</v>
      </c>
      <c r="P60" s="16">
        <v>4663967</v>
      </c>
      <c r="Q60" s="44">
        <v>7533072</v>
      </c>
      <c r="R60" s="61">
        <v>-357217</v>
      </c>
      <c r="S60" s="20" t="s">
        <v>84</v>
      </c>
      <c r="T60" s="28">
        <v>5022351</v>
      </c>
      <c r="U60" s="28">
        <v>-2153504</v>
      </c>
      <c r="V60" s="20" t="s">
        <v>84</v>
      </c>
      <c r="W60" s="20">
        <v>0</v>
      </c>
      <c r="X60" s="20">
        <f>IFERROR(VLOOKUP(B60,'DSOAT-T1.2025'!$B$11:$BH$76,66,0),0)</f>
        <v>0</v>
      </c>
      <c r="Y60" s="178">
        <f>IFERROR(VLOOKUP(B60,'DSOAT-T1.2025'!$B$11:$AS$76,57,0),0)</f>
        <v>0</v>
      </c>
      <c r="Z60" s="28">
        <f t="shared" si="0"/>
        <v>0</v>
      </c>
      <c r="AA60" s="20">
        <f>IFERROR(VLOOKUP(B60,'DSOAT-T1.2025'!$B$11:$AQ$76,55,0),0)</f>
        <v>0</v>
      </c>
      <c r="AB60" s="28">
        <f t="shared" si="1"/>
        <v>-467376</v>
      </c>
    </row>
    <row r="61" spans="1:28" ht="18" hidden="1" customHeight="1">
      <c r="A61" s="15" t="s">
        <v>183</v>
      </c>
      <c r="B61" s="45" t="s">
        <v>57</v>
      </c>
      <c r="C61" s="46">
        <v>52</v>
      </c>
      <c r="D61" s="47" t="s">
        <v>58</v>
      </c>
      <c r="E61" s="48">
        <v>415</v>
      </c>
      <c r="F61" s="49">
        <v>0.99</v>
      </c>
      <c r="G61" s="50">
        <v>24</v>
      </c>
      <c r="H61" s="16">
        <v>8645748</v>
      </c>
      <c r="I61" s="16">
        <v>0</v>
      </c>
      <c r="J61" s="16">
        <v>0</v>
      </c>
      <c r="K61" s="16">
        <v>8645748</v>
      </c>
      <c r="L61" s="16">
        <v>2000000</v>
      </c>
      <c r="M61" s="16">
        <v>467376</v>
      </c>
      <c r="N61" s="16">
        <v>44512</v>
      </c>
      <c r="O61" s="16">
        <v>0</v>
      </c>
      <c r="P61" s="16">
        <v>6133860</v>
      </c>
      <c r="Q61" s="44">
        <v>9077045</v>
      </c>
      <c r="R61" s="61">
        <v>-431297</v>
      </c>
      <c r="S61" s="20" t="s">
        <v>57</v>
      </c>
      <c r="T61" s="28">
        <v>0</v>
      </c>
      <c r="U61" s="28">
        <v>-8645748</v>
      </c>
      <c r="V61" s="20" t="s">
        <v>57</v>
      </c>
      <c r="W61" s="20">
        <v>0</v>
      </c>
      <c r="X61" s="20">
        <f>IFERROR(VLOOKUP(B61,'DSOAT-T1.2025'!$B$11:$BH$76,66,0),0)</f>
        <v>0</v>
      </c>
      <c r="Y61" s="178">
        <f>IFERROR(VLOOKUP(B61,'DSOAT-T1.2025'!$B$11:$AS$76,57,0),0)</f>
        <v>0</v>
      </c>
      <c r="Z61" s="28">
        <f t="shared" si="0"/>
        <v>0</v>
      </c>
      <c r="AA61" s="20">
        <f>IFERROR(VLOOKUP(B61,'DSOAT-T1.2025'!$B$11:$AQ$76,55,0),0)</f>
        <v>0</v>
      </c>
      <c r="AB61" s="28">
        <f t="shared" si="1"/>
        <v>-467376</v>
      </c>
    </row>
    <row r="62" spans="1:28" ht="18" hidden="1" customHeight="1">
      <c r="A62" s="15" t="s">
        <v>183</v>
      </c>
      <c r="B62" s="45" t="s">
        <v>77</v>
      </c>
      <c r="C62" s="46">
        <v>53</v>
      </c>
      <c r="D62" s="47" t="s">
        <v>78</v>
      </c>
      <c r="E62" s="48">
        <v>524</v>
      </c>
      <c r="F62" s="49">
        <v>1.07</v>
      </c>
      <c r="G62" s="50">
        <v>24</v>
      </c>
      <c r="H62" s="16">
        <v>4419151</v>
      </c>
      <c r="I62" s="16">
        <v>11433947</v>
      </c>
      <c r="J62" s="16">
        <v>0</v>
      </c>
      <c r="K62" s="16">
        <v>15853098</v>
      </c>
      <c r="L62" s="16">
        <v>2000000</v>
      </c>
      <c r="M62" s="16">
        <v>467376</v>
      </c>
      <c r="N62" s="16">
        <v>44512</v>
      </c>
      <c r="O62" s="16">
        <v>1195568</v>
      </c>
      <c r="P62" s="16">
        <v>12145642</v>
      </c>
      <c r="Q62" s="44">
        <v>9942729</v>
      </c>
      <c r="R62" s="61">
        <v>5910369</v>
      </c>
      <c r="S62" s="20" t="s">
        <v>77</v>
      </c>
      <c r="T62" s="28">
        <v>8828967</v>
      </c>
      <c r="U62" s="28">
        <v>-7024131</v>
      </c>
      <c r="V62" s="20" t="s">
        <v>77</v>
      </c>
      <c r="W62" s="20" t="s">
        <v>77</v>
      </c>
      <c r="X62" s="20">
        <f>IFERROR(VLOOKUP(B62,'DSOAT-T1.2025'!$B$11:$BH$76,66,0),0)</f>
        <v>0</v>
      </c>
      <c r="Y62" s="178">
        <f>IFERROR(VLOOKUP(B62,'DSOAT-T1.2025'!$B$11:$AS$76,57,0),0)</f>
        <v>0</v>
      </c>
      <c r="Z62" s="28">
        <f t="shared" si="0"/>
        <v>-1195568</v>
      </c>
      <c r="AA62" s="20">
        <f>IFERROR(VLOOKUP(B62,'DSOAT-T1.2025'!$B$11:$AQ$76,55,0),0)</f>
        <v>0</v>
      </c>
      <c r="AB62" s="28">
        <f t="shared" si="1"/>
        <v>-467376</v>
      </c>
    </row>
    <row r="63" spans="1:28" ht="18" hidden="1" customHeight="1">
      <c r="A63" s="15" t="s">
        <v>183</v>
      </c>
      <c r="B63" s="45" t="s">
        <v>80</v>
      </c>
      <c r="C63" s="46">
        <v>54</v>
      </c>
      <c r="D63" s="47" t="s">
        <v>81</v>
      </c>
      <c r="E63" s="48">
        <v>418</v>
      </c>
      <c r="F63" s="49">
        <v>1.17</v>
      </c>
      <c r="G63" s="50">
        <v>28.5</v>
      </c>
      <c r="H63" s="16">
        <v>3854659</v>
      </c>
      <c r="I63" s="16">
        <v>3216812</v>
      </c>
      <c r="J63" s="16">
        <v>0</v>
      </c>
      <c r="K63" s="16">
        <v>7071471</v>
      </c>
      <c r="L63" s="16">
        <v>2000000</v>
      </c>
      <c r="M63" s="16">
        <v>467376</v>
      </c>
      <c r="N63" s="16">
        <v>44512</v>
      </c>
      <c r="O63" s="16">
        <v>0</v>
      </c>
      <c r="P63" s="16">
        <v>4559583</v>
      </c>
      <c r="Q63" s="44">
        <v>7491979</v>
      </c>
      <c r="R63" s="61">
        <v>-420508</v>
      </c>
      <c r="S63" s="20" t="s">
        <v>80</v>
      </c>
      <c r="T63" s="28">
        <v>8830256</v>
      </c>
      <c r="U63" s="28">
        <v>1758785</v>
      </c>
      <c r="V63" s="20" t="s">
        <v>80</v>
      </c>
      <c r="W63" s="20" t="s">
        <v>80</v>
      </c>
      <c r="X63" s="20">
        <f>IFERROR(VLOOKUP(B63,'DSOAT-T1.2025'!$B$11:$BH$76,66,0),0)</f>
        <v>0</v>
      </c>
      <c r="Y63" s="178">
        <f>IFERROR(VLOOKUP(B63,'DSOAT-T1.2025'!$B$11:$AS$76,57,0),0)</f>
        <v>0</v>
      </c>
      <c r="Z63" s="28">
        <f t="shared" si="0"/>
        <v>0</v>
      </c>
      <c r="AA63" s="20">
        <f>IFERROR(VLOOKUP(B63,'DSOAT-T1.2025'!$B$11:$AQ$76,55,0),0)</f>
        <v>0</v>
      </c>
      <c r="AB63" s="28">
        <f t="shared" si="1"/>
        <v>-467376</v>
      </c>
    </row>
    <row r="64" spans="1:28" ht="18" hidden="1" customHeight="1">
      <c r="A64" s="15" t="s">
        <v>183</v>
      </c>
      <c r="B64" s="45" t="s">
        <v>220</v>
      </c>
      <c r="C64" s="46">
        <v>55</v>
      </c>
      <c r="D64" s="47" t="s">
        <v>221</v>
      </c>
      <c r="E64" s="48">
        <v>418</v>
      </c>
      <c r="F64" s="49">
        <v>1.1399999999999999</v>
      </c>
      <c r="G64" s="50">
        <v>28.5</v>
      </c>
      <c r="H64" s="16">
        <v>3755821</v>
      </c>
      <c r="I64" s="16">
        <v>2101938</v>
      </c>
      <c r="J64" s="16">
        <v>0</v>
      </c>
      <c r="K64" s="16">
        <v>5857759</v>
      </c>
      <c r="L64" s="16">
        <v>2000000</v>
      </c>
      <c r="M64" s="16">
        <v>467376</v>
      </c>
      <c r="N64" s="16">
        <v>44512</v>
      </c>
      <c r="O64" s="16">
        <v>0</v>
      </c>
      <c r="P64" s="16">
        <v>3345871</v>
      </c>
      <c r="Q64" s="44">
        <v>5392683</v>
      </c>
      <c r="R64" s="61">
        <v>465076</v>
      </c>
      <c r="S64" s="20" t="s">
        <v>220</v>
      </c>
      <c r="T64" s="28">
        <v>8830256</v>
      </c>
      <c r="U64" s="28">
        <v>2972497</v>
      </c>
      <c r="V64" s="20" t="s">
        <v>220</v>
      </c>
      <c r="W64" s="20" t="s">
        <v>220</v>
      </c>
      <c r="X64" s="20">
        <f>IFERROR(VLOOKUP(B64,'DSOAT-T1.2025'!$B$11:$BH$76,66,0),0)</f>
        <v>0</v>
      </c>
      <c r="Y64" s="178">
        <f>IFERROR(VLOOKUP(B64,'DSOAT-T1.2025'!$B$11:$AS$76,57,0),0)</f>
        <v>0</v>
      </c>
      <c r="Z64" s="28">
        <f t="shared" si="0"/>
        <v>0</v>
      </c>
      <c r="AA64" s="20">
        <f>IFERROR(VLOOKUP(B64,'DSOAT-T1.2025'!$B$11:$AQ$76,55,0),0)</f>
        <v>0</v>
      </c>
      <c r="AB64" s="28">
        <f t="shared" si="1"/>
        <v>-467376</v>
      </c>
    </row>
    <row r="65" spans="1:28" ht="18" hidden="1" customHeight="1">
      <c r="A65" s="15" t="s">
        <v>183</v>
      </c>
      <c r="B65" s="15" t="s">
        <v>141</v>
      </c>
      <c r="C65" s="46">
        <v>56</v>
      </c>
      <c r="D65" s="47" t="s">
        <v>187</v>
      </c>
      <c r="E65" s="48">
        <v>478</v>
      </c>
      <c r="F65" s="49">
        <v>1.19</v>
      </c>
      <c r="G65" s="50">
        <v>25</v>
      </c>
      <c r="H65" s="16">
        <v>4483309</v>
      </c>
      <c r="I65" s="16">
        <v>6966561</v>
      </c>
      <c r="J65" s="16">
        <v>0</v>
      </c>
      <c r="K65" s="16">
        <v>11449870</v>
      </c>
      <c r="L65" s="16">
        <v>2000000</v>
      </c>
      <c r="M65" s="16">
        <v>467376</v>
      </c>
      <c r="N65" s="16">
        <v>44512</v>
      </c>
      <c r="O65" s="16">
        <v>115590</v>
      </c>
      <c r="P65" s="16">
        <v>8822392</v>
      </c>
      <c r="Q65" s="44">
        <v>11411926</v>
      </c>
      <c r="R65" s="61">
        <v>37944</v>
      </c>
      <c r="S65" s="20" t="s">
        <v>141</v>
      </c>
      <c r="T65" s="28">
        <v>9087627</v>
      </c>
      <c r="U65" s="28">
        <v>-2362243</v>
      </c>
      <c r="V65" s="20" t="s">
        <v>141</v>
      </c>
      <c r="W65" s="20" t="s">
        <v>141</v>
      </c>
      <c r="X65" s="20">
        <f>IFERROR(VLOOKUP(B65,'DSOAT-T1.2025'!$B$11:$BH$76,66,0),0)</f>
        <v>0</v>
      </c>
      <c r="Y65" s="178">
        <f>IFERROR(VLOOKUP(B65,'DSOAT-T1.2025'!$B$11:$AS$76,57,0),0)</f>
        <v>0</v>
      </c>
      <c r="Z65" s="28">
        <f t="shared" si="0"/>
        <v>-115590</v>
      </c>
      <c r="AA65" s="20">
        <f>IFERROR(VLOOKUP(B65,'DSOAT-T1.2025'!$B$11:$AQ$76,55,0),0)</f>
        <v>0</v>
      </c>
      <c r="AB65" s="28">
        <f t="shared" si="1"/>
        <v>-467376</v>
      </c>
    </row>
    <row r="66" spans="1:28" ht="18" hidden="1" customHeight="1">
      <c r="A66" s="15" t="s">
        <v>183</v>
      </c>
      <c r="B66" s="45" t="s">
        <v>161</v>
      </c>
      <c r="C66" s="46">
        <v>57</v>
      </c>
      <c r="D66" s="47" t="s">
        <v>152</v>
      </c>
      <c r="E66" s="48">
        <v>478</v>
      </c>
      <c r="F66" s="49">
        <v>1.26</v>
      </c>
      <c r="G66" s="50">
        <v>24</v>
      </c>
      <c r="H66" s="16">
        <v>4747033</v>
      </c>
      <c r="I66" s="16">
        <v>9274430</v>
      </c>
      <c r="J66" s="16">
        <v>0</v>
      </c>
      <c r="K66" s="16">
        <v>14021463</v>
      </c>
      <c r="L66" s="16">
        <v>2000000</v>
      </c>
      <c r="M66" s="16">
        <v>467376</v>
      </c>
      <c r="N66" s="16">
        <v>44512</v>
      </c>
      <c r="O66" s="16">
        <v>450784</v>
      </c>
      <c r="P66" s="16">
        <v>11058791</v>
      </c>
      <c r="Q66" s="44">
        <v>13765544</v>
      </c>
      <c r="R66" s="61">
        <v>255919</v>
      </c>
      <c r="S66" s="20" t="s">
        <v>161</v>
      </c>
      <c r="T66" s="28">
        <v>17344084</v>
      </c>
      <c r="U66" s="28">
        <v>3322621</v>
      </c>
      <c r="V66" s="20" t="s">
        <v>161</v>
      </c>
      <c r="W66" s="20" t="s">
        <v>161</v>
      </c>
      <c r="X66" s="20">
        <f>IFERROR(VLOOKUP(B66,'DSOAT-T1.2025'!$B$11:$BH$76,66,0),0)</f>
        <v>0</v>
      </c>
      <c r="Y66" s="178">
        <f>IFERROR(VLOOKUP(B66,'DSOAT-T1.2025'!$B$11:$AS$76,57,0),0)</f>
        <v>0</v>
      </c>
      <c r="Z66" s="28">
        <f t="shared" si="0"/>
        <v>-450784</v>
      </c>
      <c r="AA66" s="20">
        <f>IFERROR(VLOOKUP(B66,'DSOAT-T1.2025'!$B$11:$AQ$76,55,0),0)</f>
        <v>0</v>
      </c>
      <c r="AB66" s="28">
        <f t="shared" si="1"/>
        <v>-467376</v>
      </c>
    </row>
    <row r="67" spans="1:28" ht="18" hidden="1" customHeight="1">
      <c r="A67" s="15" t="s">
        <v>183</v>
      </c>
      <c r="B67" s="45" t="s">
        <v>430</v>
      </c>
      <c r="C67" s="46">
        <v>58</v>
      </c>
      <c r="D67" s="47" t="s">
        <v>429</v>
      </c>
      <c r="E67" s="48">
        <v>401</v>
      </c>
      <c r="F67" s="49">
        <v>0.82</v>
      </c>
      <c r="G67" s="50">
        <v>24</v>
      </c>
      <c r="H67" s="16">
        <v>2591684</v>
      </c>
      <c r="I67" s="16">
        <v>687829</v>
      </c>
      <c r="J67" s="16">
        <v>0</v>
      </c>
      <c r="K67" s="16">
        <v>3279513</v>
      </c>
      <c r="L67" s="16">
        <v>2000000</v>
      </c>
      <c r="M67" s="16">
        <v>467376</v>
      </c>
      <c r="N67" s="16">
        <v>44512</v>
      </c>
      <c r="O67" s="16">
        <v>0</v>
      </c>
      <c r="P67" s="16">
        <v>767625</v>
      </c>
      <c r="Q67" s="44">
        <v>0</v>
      </c>
      <c r="R67" s="61">
        <v>3279513</v>
      </c>
      <c r="S67" s="20" t="s">
        <v>430</v>
      </c>
      <c r="T67" s="28">
        <v>17344084</v>
      </c>
      <c r="U67" s="28">
        <v>14064571</v>
      </c>
      <c r="V67" s="20">
        <v>0</v>
      </c>
      <c r="W67" s="20" t="s">
        <v>430</v>
      </c>
      <c r="X67" s="20">
        <f>IFERROR(VLOOKUP(B67,'DSOAT-T1.2025'!$B$11:$BH$76,66,0),0)</f>
        <v>0</v>
      </c>
      <c r="Y67" s="178">
        <f>IFERROR(VLOOKUP(B67,'DSOAT-T1.2025'!$B$11:$AS$76,57,0),0)</f>
        <v>0</v>
      </c>
      <c r="Z67" s="28">
        <f t="shared" si="0"/>
        <v>0</v>
      </c>
      <c r="AA67" s="20">
        <f>IFERROR(VLOOKUP(B67,'DSOAT-T1.2025'!$B$11:$AQ$76,55,0),0)</f>
        <v>0</v>
      </c>
      <c r="AB67" s="28">
        <f t="shared" si="1"/>
        <v>-467376</v>
      </c>
    </row>
    <row r="68" spans="1:28" ht="18" hidden="1" customHeight="1">
      <c r="A68" s="15" t="s">
        <v>183</v>
      </c>
      <c r="B68" s="45" t="s">
        <v>204</v>
      </c>
      <c r="C68" s="46">
        <v>59</v>
      </c>
      <c r="D68" s="47" t="s">
        <v>205</v>
      </c>
      <c r="E68" s="48">
        <v>431</v>
      </c>
      <c r="F68" s="49">
        <v>1.08</v>
      </c>
      <c r="G68" s="50">
        <v>25</v>
      </c>
      <c r="H68" s="16">
        <v>3822898</v>
      </c>
      <c r="I68" s="16">
        <v>11524213</v>
      </c>
      <c r="J68" s="16">
        <v>0</v>
      </c>
      <c r="K68" s="16">
        <v>15347111</v>
      </c>
      <c r="L68" s="16">
        <v>2000000</v>
      </c>
      <c r="M68" s="16">
        <v>467376</v>
      </c>
      <c r="N68" s="16">
        <v>44512</v>
      </c>
      <c r="O68" s="16">
        <v>396134</v>
      </c>
      <c r="P68" s="16">
        <v>12439089</v>
      </c>
      <c r="Q68" s="44">
        <v>12046347</v>
      </c>
      <c r="R68" s="61">
        <v>3300764</v>
      </c>
      <c r="S68" s="20" t="s">
        <v>204</v>
      </c>
      <c r="T68" s="28">
        <v>17344084</v>
      </c>
      <c r="U68" s="28">
        <v>1996973</v>
      </c>
      <c r="V68" s="20" t="s">
        <v>204</v>
      </c>
      <c r="W68" s="20" t="s">
        <v>204</v>
      </c>
      <c r="X68" s="20">
        <f>IFERROR(VLOOKUP(B68,'DSOAT-T1.2025'!$B$11:$BH$76,66,0),0)</f>
        <v>0</v>
      </c>
      <c r="Y68" s="178">
        <f>IFERROR(VLOOKUP(B68,'DSOAT-T1.2025'!$B$11:$AS$76,57,0),0)</f>
        <v>0</v>
      </c>
      <c r="Z68" s="28">
        <f t="shared" si="0"/>
        <v>-396134</v>
      </c>
      <c r="AA68" s="20">
        <f>IFERROR(VLOOKUP(B68,'DSOAT-T1.2025'!$B$11:$AQ$76,55,0),0)</f>
        <v>0</v>
      </c>
      <c r="AB68" s="28">
        <f t="shared" si="1"/>
        <v>-467376</v>
      </c>
    </row>
    <row r="69" spans="1:28" ht="18" customHeight="1">
      <c r="A69" s="15" t="s">
        <v>184</v>
      </c>
      <c r="B69" s="45" t="s">
        <v>88</v>
      </c>
      <c r="C69" s="46">
        <v>60</v>
      </c>
      <c r="D69" s="47" t="s">
        <v>89</v>
      </c>
      <c r="E69" s="48">
        <v>524</v>
      </c>
      <c r="F69" s="49">
        <v>1.4</v>
      </c>
      <c r="G69" s="50">
        <v>24</v>
      </c>
      <c r="H69" s="16">
        <v>5956603</v>
      </c>
      <c r="I69" s="16">
        <v>21343200</v>
      </c>
      <c r="J69" s="16">
        <v>0</v>
      </c>
      <c r="K69" s="16">
        <v>27299803</v>
      </c>
      <c r="L69" s="16">
        <v>2000000</v>
      </c>
      <c r="M69" s="16">
        <v>365138</v>
      </c>
      <c r="N69" s="16">
        <v>34775</v>
      </c>
      <c r="O69" s="16">
        <v>1720247</v>
      </c>
      <c r="P69" s="16">
        <v>23179643</v>
      </c>
      <c r="Q69" s="44">
        <v>20665689</v>
      </c>
      <c r="R69" s="61">
        <v>6634114</v>
      </c>
      <c r="S69" s="20" t="s">
        <v>88</v>
      </c>
      <c r="T69" s="28">
        <v>9975362</v>
      </c>
      <c r="U69" s="28">
        <v>-17324441</v>
      </c>
      <c r="V69" s="20" t="s">
        <v>88</v>
      </c>
      <c r="W69" s="20" t="s">
        <v>88</v>
      </c>
      <c r="X69" s="20">
        <f>IFERROR(VLOOKUP(B69,'DSOAT-T1.2025'!$B$11:$BH$76,66,0),0)</f>
        <v>0</v>
      </c>
      <c r="Y69" s="178">
        <f>IFERROR(VLOOKUP(B69,'DSOAT-T1.2025'!$B$11:$AS$76,57,0),0)</f>
        <v>0</v>
      </c>
      <c r="Z69" s="28">
        <f t="shared" si="0"/>
        <v>-1720247</v>
      </c>
      <c r="AA69" s="20">
        <f>IFERROR(VLOOKUP(B69,'DSOAT-T1.2025'!$B$11:$AQ$76,55,0),0)</f>
        <v>0</v>
      </c>
      <c r="AB69" s="28">
        <f t="shared" si="1"/>
        <v>-365138</v>
      </c>
    </row>
    <row r="70" spans="1:28" ht="18" customHeight="1">
      <c r="A70" s="15" t="s">
        <v>184</v>
      </c>
      <c r="B70" s="45" t="s">
        <v>82</v>
      </c>
      <c r="C70" s="46">
        <v>61</v>
      </c>
      <c r="D70" s="47" t="s">
        <v>83</v>
      </c>
      <c r="E70" s="48">
        <v>418</v>
      </c>
      <c r="F70" s="49">
        <v>1.26</v>
      </c>
      <c r="G70" s="50">
        <v>26</v>
      </c>
      <c r="H70" s="16">
        <v>4276477</v>
      </c>
      <c r="I70" s="16">
        <v>3315878</v>
      </c>
      <c r="J70" s="16">
        <v>0</v>
      </c>
      <c r="K70" s="16">
        <v>7592355</v>
      </c>
      <c r="L70" s="16">
        <v>2000000</v>
      </c>
      <c r="M70" s="16">
        <v>365138</v>
      </c>
      <c r="N70" s="16">
        <v>34775</v>
      </c>
      <c r="O70" s="16">
        <v>0</v>
      </c>
      <c r="P70" s="16">
        <v>5192442</v>
      </c>
      <c r="Q70" s="44">
        <v>6063094</v>
      </c>
      <c r="R70" s="61">
        <v>1529261</v>
      </c>
      <c r="S70" s="20" t="s">
        <v>82</v>
      </c>
      <c r="T70" s="28">
        <v>9087627</v>
      </c>
      <c r="U70" s="28">
        <v>1495272</v>
      </c>
      <c r="V70" s="20" t="s">
        <v>82</v>
      </c>
      <c r="W70" s="20" t="s">
        <v>82</v>
      </c>
      <c r="X70" s="20">
        <f>IFERROR(VLOOKUP(B70,'DSOAT-T1.2025'!$B$11:$BH$76,66,0),0)</f>
        <v>0</v>
      </c>
      <c r="Y70" s="178">
        <f>IFERROR(VLOOKUP(B70,'DSOAT-T1.2025'!$B$11:$AS$76,57,0),0)</f>
        <v>0</v>
      </c>
      <c r="Z70" s="28">
        <f t="shared" si="0"/>
        <v>0</v>
      </c>
      <c r="AA70" s="20">
        <f>IFERROR(VLOOKUP(B70,'DSOAT-T1.2025'!$B$11:$AQ$76,55,0),0)</f>
        <v>0</v>
      </c>
      <c r="AB70" s="28">
        <f t="shared" si="1"/>
        <v>-365138</v>
      </c>
    </row>
    <row r="71" spans="1:28" ht="18" hidden="1" customHeight="1">
      <c r="A71" s="15" t="s">
        <v>185</v>
      </c>
      <c r="B71" s="45" t="s">
        <v>85</v>
      </c>
      <c r="C71" s="46">
        <v>62</v>
      </c>
      <c r="D71" s="47" t="s">
        <v>86</v>
      </c>
      <c r="E71" s="48">
        <v>418</v>
      </c>
      <c r="F71" s="49">
        <v>1.03</v>
      </c>
      <c r="G71" s="50">
        <v>24</v>
      </c>
      <c r="H71" s="16">
        <v>3518637</v>
      </c>
      <c r="I71" s="16">
        <v>6952585</v>
      </c>
      <c r="J71" s="16">
        <v>0</v>
      </c>
      <c r="K71" s="16">
        <v>10471222</v>
      </c>
      <c r="L71" s="16">
        <v>2000000</v>
      </c>
      <c r="M71" s="16">
        <v>408954</v>
      </c>
      <c r="N71" s="16">
        <v>38948</v>
      </c>
      <c r="O71" s="16">
        <v>117596</v>
      </c>
      <c r="P71" s="16">
        <v>7905724</v>
      </c>
      <c r="Q71" s="44">
        <v>10168276</v>
      </c>
      <c r="R71" s="61">
        <v>302946</v>
      </c>
      <c r="S71" s="20" t="s">
        <v>85</v>
      </c>
      <c r="T71" s="28">
        <v>7949728</v>
      </c>
      <c r="U71" s="28">
        <v>-2521494</v>
      </c>
      <c r="V71" s="20" t="s">
        <v>85</v>
      </c>
      <c r="W71" s="20" t="s">
        <v>85</v>
      </c>
      <c r="X71" s="20">
        <f>IFERROR(VLOOKUP(B71,'DSOAT-T1.2025'!$B$11:$BH$76,66,0),0)</f>
        <v>0</v>
      </c>
      <c r="Y71" s="178">
        <f>IFERROR(VLOOKUP(B71,'DSOAT-T1.2025'!$B$11:$AS$76,57,0),0)</f>
        <v>0</v>
      </c>
      <c r="Z71" s="28">
        <f t="shared" si="0"/>
        <v>-117596</v>
      </c>
      <c r="AA71" s="20">
        <f>IFERROR(VLOOKUP(B71,'DSOAT-T1.2025'!$B$11:$AQ$76,55,0),0)</f>
        <v>0</v>
      </c>
      <c r="AB71" s="28">
        <f t="shared" si="1"/>
        <v>-408954</v>
      </c>
    </row>
    <row r="72" spans="1:28" ht="18" customHeight="1">
      <c r="A72" s="15" t="s">
        <v>184</v>
      </c>
      <c r="B72" s="45" t="s">
        <v>90</v>
      </c>
      <c r="C72" s="46">
        <v>63</v>
      </c>
      <c r="D72" s="47" t="s">
        <v>91</v>
      </c>
      <c r="E72" s="48">
        <v>418</v>
      </c>
      <c r="F72" s="49">
        <v>1.39</v>
      </c>
      <c r="G72" s="50">
        <v>27</v>
      </c>
      <c r="H72" s="16">
        <v>4717701</v>
      </c>
      <c r="I72" s="16">
        <v>8509550</v>
      </c>
      <c r="J72" s="16">
        <v>0</v>
      </c>
      <c r="K72" s="16">
        <v>13227251</v>
      </c>
      <c r="L72" s="16">
        <v>2000000</v>
      </c>
      <c r="M72" s="16">
        <v>365138</v>
      </c>
      <c r="N72" s="16">
        <v>34775</v>
      </c>
      <c r="O72" s="16">
        <v>154356</v>
      </c>
      <c r="P72" s="16">
        <v>10672982</v>
      </c>
      <c r="Q72" s="44">
        <v>9394990</v>
      </c>
      <c r="R72" s="61">
        <v>3832261</v>
      </c>
      <c r="S72" s="20" t="s">
        <v>90</v>
      </c>
      <c r="T72" s="28">
        <v>14462279</v>
      </c>
      <c r="U72" s="28">
        <v>1235028</v>
      </c>
      <c r="V72" s="20" t="s">
        <v>90</v>
      </c>
      <c r="W72" s="20" t="s">
        <v>90</v>
      </c>
      <c r="X72" s="20">
        <f>IFERROR(VLOOKUP(B72,'DSOAT-T1.2025'!$B$11:$BH$76,66,0),0)</f>
        <v>0</v>
      </c>
      <c r="Y72" s="178">
        <f>IFERROR(VLOOKUP(B72,'DSOAT-T1.2025'!$B$11:$AS$76,57,0),0)</f>
        <v>0</v>
      </c>
      <c r="Z72" s="28">
        <f t="shared" si="0"/>
        <v>-154356</v>
      </c>
      <c r="AA72" s="20">
        <f>IFERROR(VLOOKUP(B72,'DSOAT-T1.2025'!$B$11:$AQ$76,55,0),0)</f>
        <v>0</v>
      </c>
      <c r="AB72" s="28">
        <f t="shared" si="1"/>
        <v>-365138</v>
      </c>
    </row>
    <row r="73" spans="1:28" ht="18" hidden="1" customHeight="1">
      <c r="A73" s="15" t="s">
        <v>185</v>
      </c>
      <c r="B73" s="45" t="s">
        <v>93</v>
      </c>
      <c r="C73" s="46">
        <v>64</v>
      </c>
      <c r="D73" s="47" t="s">
        <v>94</v>
      </c>
      <c r="E73" s="48">
        <v>524</v>
      </c>
      <c r="F73" s="49">
        <v>0.79</v>
      </c>
      <c r="G73" s="50">
        <v>24</v>
      </c>
      <c r="H73" s="16">
        <v>3383135</v>
      </c>
      <c r="I73" s="16">
        <v>1974080</v>
      </c>
      <c r="J73" s="16">
        <v>0</v>
      </c>
      <c r="K73" s="16">
        <v>5357215</v>
      </c>
      <c r="L73" s="16">
        <v>2000000</v>
      </c>
      <c r="M73" s="16">
        <v>408954</v>
      </c>
      <c r="N73" s="16">
        <v>38948</v>
      </c>
      <c r="O73" s="16">
        <v>11889</v>
      </c>
      <c r="P73" s="16">
        <v>2897424</v>
      </c>
      <c r="Q73" s="44">
        <v>7521770</v>
      </c>
      <c r="R73" s="61">
        <v>-2164555</v>
      </c>
      <c r="S73" s="20" t="s">
        <v>93</v>
      </c>
      <c r="T73" s="28">
        <v>11289420</v>
      </c>
      <c r="U73" s="28">
        <v>5932205</v>
      </c>
      <c r="V73" s="20" t="s">
        <v>93</v>
      </c>
      <c r="W73" s="20" t="s">
        <v>93</v>
      </c>
      <c r="X73" s="20">
        <f>IFERROR(VLOOKUP(B73,'DSOAT-T1.2025'!$B$11:$BH$76,66,0),0)</f>
        <v>0</v>
      </c>
      <c r="Y73" s="178">
        <f>IFERROR(VLOOKUP(B73,'DSOAT-T1.2025'!$B$11:$AS$76,57,0),0)</f>
        <v>0</v>
      </c>
      <c r="Z73" s="28">
        <f t="shared" si="0"/>
        <v>-11889</v>
      </c>
      <c r="AA73" s="20">
        <f>IFERROR(VLOOKUP(B73,'DSOAT-T1.2025'!$B$11:$AQ$76,55,0),0)</f>
        <v>0</v>
      </c>
      <c r="AB73" s="28">
        <f t="shared" si="1"/>
        <v>-408954</v>
      </c>
    </row>
    <row r="74" spans="1:28" ht="18" hidden="1" customHeight="1">
      <c r="A74" s="15" t="s">
        <v>185</v>
      </c>
      <c r="B74" s="45" t="s">
        <v>164</v>
      </c>
      <c r="C74" s="46">
        <v>65</v>
      </c>
      <c r="D74" s="47" t="s">
        <v>153</v>
      </c>
      <c r="E74" s="48">
        <v>431</v>
      </c>
      <c r="F74" s="49">
        <v>0.57999999999999996</v>
      </c>
      <c r="G74" s="50">
        <v>24</v>
      </c>
      <c r="H74" s="16">
        <v>2041091</v>
      </c>
      <c r="I74" s="16">
        <v>4967796</v>
      </c>
      <c r="J74" s="16">
        <v>0</v>
      </c>
      <c r="K74" s="16">
        <v>7008887</v>
      </c>
      <c r="L74" s="16">
        <v>2000000</v>
      </c>
      <c r="M74" s="16">
        <v>408954</v>
      </c>
      <c r="N74" s="16">
        <v>38948</v>
      </c>
      <c r="O74" s="16">
        <v>0</v>
      </c>
      <c r="P74" s="16">
        <v>4560985</v>
      </c>
      <c r="Q74" s="44">
        <v>7592201</v>
      </c>
      <c r="R74" s="61">
        <v>-583314</v>
      </c>
      <c r="S74" s="20" t="s">
        <v>164</v>
      </c>
      <c r="T74" s="28">
        <v>14018006</v>
      </c>
      <c r="U74" s="28">
        <v>7009119</v>
      </c>
      <c r="V74" s="20" t="s">
        <v>164</v>
      </c>
      <c r="W74" s="20" t="s">
        <v>164</v>
      </c>
      <c r="X74" s="20">
        <f>IFERROR(VLOOKUP(B74,'DSOAT-T1.2025'!$B$11:$BH$76,66,0),0)</f>
        <v>0</v>
      </c>
      <c r="Y74" s="178">
        <f>IFERROR(VLOOKUP(B74,'DSOAT-T1.2025'!$B$11:$AS$76,57,0),0)</f>
        <v>0</v>
      </c>
      <c r="Z74" s="28">
        <f t="shared" si="0"/>
        <v>0</v>
      </c>
      <c r="AA74" s="20">
        <f>IFERROR(VLOOKUP(B74,'DSOAT-T1.2025'!$B$11:$AQ$76,55,0),0)</f>
        <v>0</v>
      </c>
      <c r="AB74" s="28">
        <f t="shared" si="1"/>
        <v>-408954</v>
      </c>
    </row>
    <row r="75" spans="1:28" ht="18" hidden="1" customHeight="1">
      <c r="A75" s="15" t="s">
        <v>185</v>
      </c>
      <c r="B75" s="45" t="s">
        <v>170</v>
      </c>
      <c r="C75" s="46">
        <v>66</v>
      </c>
      <c r="D75" s="47" t="s">
        <v>169</v>
      </c>
      <c r="E75" s="48">
        <v>431</v>
      </c>
      <c r="F75" s="49">
        <v>0.33</v>
      </c>
      <c r="G75" s="50">
        <v>24</v>
      </c>
      <c r="H75" s="16">
        <v>1154396</v>
      </c>
      <c r="I75" s="16">
        <v>5017201</v>
      </c>
      <c r="J75" s="16">
        <v>0</v>
      </c>
      <c r="K75" s="16">
        <v>6171597</v>
      </c>
      <c r="L75" s="16">
        <v>2000000</v>
      </c>
      <c r="M75" s="16">
        <v>408954</v>
      </c>
      <c r="N75" s="16">
        <v>38948</v>
      </c>
      <c r="O75" s="16">
        <v>0</v>
      </c>
      <c r="P75" s="16">
        <v>3723695</v>
      </c>
      <c r="Q75" s="44">
        <v>9291311</v>
      </c>
      <c r="R75" s="61">
        <v>-3119714</v>
      </c>
      <c r="S75" s="20" t="s">
        <v>170</v>
      </c>
      <c r="T75" s="28">
        <v>7452989</v>
      </c>
      <c r="U75" s="28">
        <v>1281392</v>
      </c>
      <c r="V75" s="20" t="s">
        <v>170</v>
      </c>
      <c r="W75" s="20" t="s">
        <v>170</v>
      </c>
      <c r="X75" s="20">
        <f>IFERROR(VLOOKUP(B75,'DSOAT-T1.2025'!$B$11:$BH$76,66,0),0)</f>
        <v>0</v>
      </c>
      <c r="Y75" s="178">
        <f>IFERROR(VLOOKUP(B75,'DSOAT-T1.2025'!$B$11:$AS$76,57,0),0)</f>
        <v>0</v>
      </c>
      <c r="Z75" s="28">
        <f t="shared" ref="Z75:Z85" si="2">Y75-O75</f>
        <v>0</v>
      </c>
      <c r="AA75" s="20">
        <f>IFERROR(VLOOKUP(B75,'DSOAT-T1.2025'!$B$11:$AQ$76,55,0),0)</f>
        <v>0</v>
      </c>
      <c r="AB75" s="28">
        <f t="shared" ref="AB75:AB85" si="3">AA75-M75</f>
        <v>-408954</v>
      </c>
    </row>
    <row r="76" spans="1:28" ht="18" hidden="1" customHeight="1">
      <c r="A76" s="15" t="s">
        <v>185</v>
      </c>
      <c r="B76" s="45" t="s">
        <v>206</v>
      </c>
      <c r="C76" s="46">
        <v>67</v>
      </c>
      <c r="D76" s="47" t="s">
        <v>207</v>
      </c>
      <c r="E76" s="48">
        <v>431</v>
      </c>
      <c r="F76" s="49">
        <v>0.5</v>
      </c>
      <c r="G76" s="50">
        <v>24</v>
      </c>
      <c r="H76" s="16">
        <v>1774122</v>
      </c>
      <c r="I76" s="16">
        <v>3716758</v>
      </c>
      <c r="J76" s="16">
        <v>0</v>
      </c>
      <c r="K76" s="16">
        <v>5490880</v>
      </c>
      <c r="L76" s="16">
        <v>2000000</v>
      </c>
      <c r="M76" s="16">
        <v>408954</v>
      </c>
      <c r="N76" s="16">
        <v>38948</v>
      </c>
      <c r="O76" s="16">
        <v>0</v>
      </c>
      <c r="P76" s="16">
        <v>3042978</v>
      </c>
      <c r="Q76" s="44">
        <v>6708158</v>
      </c>
      <c r="R76" s="61">
        <v>-1217278</v>
      </c>
      <c r="S76" s="20" t="s">
        <v>206</v>
      </c>
      <c r="T76" s="28">
        <v>7452989</v>
      </c>
      <c r="U76" s="28">
        <v>1962109</v>
      </c>
      <c r="V76" s="20" t="s">
        <v>206</v>
      </c>
      <c r="W76" s="20" t="s">
        <v>206</v>
      </c>
      <c r="X76" s="20">
        <f>IFERROR(VLOOKUP(B76,'DSOAT-T1.2025'!$B$11:$BH$76,66,0),0)</f>
        <v>0</v>
      </c>
      <c r="Y76" s="178">
        <f>IFERROR(VLOOKUP(B76,'DSOAT-T1.2025'!$B$11:$AS$76,57,0),0)</f>
        <v>0</v>
      </c>
      <c r="Z76" s="28">
        <f t="shared" si="2"/>
        <v>0</v>
      </c>
      <c r="AA76" s="20">
        <f>IFERROR(VLOOKUP(B76,'DSOAT-T1.2025'!$B$11:$AQ$76,55,0),0)</f>
        <v>0</v>
      </c>
      <c r="AB76" s="28">
        <f t="shared" si="3"/>
        <v>-408954</v>
      </c>
    </row>
    <row r="77" spans="1:28" ht="18" hidden="1" customHeight="1">
      <c r="A77" s="15" t="s">
        <v>186</v>
      </c>
      <c r="B77" s="45" t="s">
        <v>287</v>
      </c>
      <c r="C77" s="46">
        <v>68</v>
      </c>
      <c r="D77" s="47" t="s">
        <v>288</v>
      </c>
      <c r="E77" s="48">
        <v>394</v>
      </c>
      <c r="F77" s="49">
        <v>1.08</v>
      </c>
      <c r="G77" s="50">
        <v>24</v>
      </c>
      <c r="H77" s="16">
        <v>9361440</v>
      </c>
      <c r="I77" s="16">
        <v>0</v>
      </c>
      <c r="J77" s="16">
        <v>0</v>
      </c>
      <c r="K77" s="16">
        <v>9361440</v>
      </c>
      <c r="L77" s="16">
        <v>2000000</v>
      </c>
      <c r="M77" s="16">
        <v>0</v>
      </c>
      <c r="N77" s="16">
        <v>38948</v>
      </c>
      <c r="O77" s="16">
        <v>0</v>
      </c>
      <c r="P77" s="16">
        <v>7322492</v>
      </c>
      <c r="Q77" s="44">
        <v>9274760</v>
      </c>
      <c r="R77" s="61">
        <v>86680</v>
      </c>
      <c r="S77" s="20" t="s">
        <v>287</v>
      </c>
      <c r="T77" s="28">
        <v>7452989</v>
      </c>
      <c r="U77" s="28">
        <v>-1908451</v>
      </c>
      <c r="V77" s="20" t="s">
        <v>287</v>
      </c>
      <c r="W77" s="20" t="s">
        <v>287</v>
      </c>
      <c r="X77" s="20">
        <f>IFERROR(VLOOKUP(B77,'DSOAT-T1.2025'!$B$11:$BH$76,66,0),0)</f>
        <v>0</v>
      </c>
      <c r="Y77" s="178">
        <f>IFERROR(VLOOKUP(B77,'DSOAT-T1.2025'!$B$11:$AS$76,57,0),0)</f>
        <v>0</v>
      </c>
      <c r="Z77" s="28">
        <f t="shared" si="2"/>
        <v>0</v>
      </c>
      <c r="AA77" s="20">
        <f>IFERROR(VLOOKUP(B77,'DSOAT-T1.2025'!$B$11:$AQ$76,55,0),0)</f>
        <v>0</v>
      </c>
      <c r="AB77" s="28">
        <f t="shared" si="3"/>
        <v>0</v>
      </c>
    </row>
    <row r="78" spans="1:28" ht="18" hidden="1" customHeight="1">
      <c r="A78" s="15" t="s">
        <v>186</v>
      </c>
      <c r="B78" s="45" t="s">
        <v>101</v>
      </c>
      <c r="C78" s="46">
        <v>69</v>
      </c>
      <c r="D78" s="47" t="s">
        <v>102</v>
      </c>
      <c r="E78" s="48">
        <v>355</v>
      </c>
      <c r="F78" s="49">
        <v>1.06</v>
      </c>
      <c r="G78" s="50">
        <v>24</v>
      </c>
      <c r="H78" s="16">
        <v>8278600</v>
      </c>
      <c r="I78" s="16">
        <v>0</v>
      </c>
      <c r="J78" s="16">
        <v>0</v>
      </c>
      <c r="K78" s="16">
        <v>8278600</v>
      </c>
      <c r="L78" s="16">
        <v>2000000</v>
      </c>
      <c r="M78" s="16">
        <v>408954</v>
      </c>
      <c r="N78" s="16">
        <v>38948</v>
      </c>
      <c r="O78" s="16">
        <v>0</v>
      </c>
      <c r="P78" s="16">
        <v>5830698</v>
      </c>
      <c r="Q78" s="44">
        <v>8217545</v>
      </c>
      <c r="R78" s="61">
        <v>61055</v>
      </c>
      <c r="S78" s="20" t="s">
        <v>101</v>
      </c>
      <c r="T78" s="28">
        <v>8010000</v>
      </c>
      <c r="U78" s="28">
        <v>-268600</v>
      </c>
      <c r="V78" s="20" t="s">
        <v>101</v>
      </c>
      <c r="W78" s="20" t="s">
        <v>101</v>
      </c>
      <c r="X78" s="20">
        <f>IFERROR(VLOOKUP(B78,'DSOAT-T1.2025'!$B$11:$BH$76,66,0),0)</f>
        <v>0</v>
      </c>
      <c r="Y78" s="178">
        <f>IFERROR(VLOOKUP(B78,'DSOAT-T1.2025'!$B$11:$AS$76,57,0),0)</f>
        <v>0</v>
      </c>
      <c r="Z78" s="28">
        <f t="shared" si="2"/>
        <v>0</v>
      </c>
      <c r="AA78" s="20">
        <f>IFERROR(VLOOKUP(B78,'DSOAT-T1.2025'!$B$11:$AQ$76,55,0),0)</f>
        <v>0</v>
      </c>
      <c r="AB78" s="28">
        <f t="shared" si="3"/>
        <v>-408954</v>
      </c>
    </row>
    <row r="79" spans="1:28" ht="18" hidden="1" customHeight="1">
      <c r="A79" s="15" t="s">
        <v>186</v>
      </c>
      <c r="B79" s="45" t="s">
        <v>95</v>
      </c>
      <c r="C79" s="46">
        <v>70</v>
      </c>
      <c r="D79" s="47" t="s">
        <v>96</v>
      </c>
      <c r="E79" s="48">
        <v>431</v>
      </c>
      <c r="F79" s="49">
        <v>0.78</v>
      </c>
      <c r="G79" s="50">
        <v>24</v>
      </c>
      <c r="H79" s="16">
        <v>2770123</v>
      </c>
      <c r="I79" s="16">
        <v>4262132</v>
      </c>
      <c r="J79" s="16">
        <v>0</v>
      </c>
      <c r="K79" s="16">
        <v>7032255</v>
      </c>
      <c r="L79" s="16">
        <v>2000000</v>
      </c>
      <c r="M79" s="16">
        <v>408954</v>
      </c>
      <c r="N79" s="16">
        <v>38948</v>
      </c>
      <c r="O79" s="16">
        <v>0</v>
      </c>
      <c r="P79" s="16">
        <v>4584353</v>
      </c>
      <c r="Q79" s="44">
        <v>7589124</v>
      </c>
      <c r="R79" s="61">
        <v>-556869</v>
      </c>
      <c r="S79" s="20" t="s">
        <v>95</v>
      </c>
      <c r="T79" s="28">
        <v>10866560</v>
      </c>
      <c r="U79" s="28">
        <v>3834305</v>
      </c>
      <c r="V79" s="20" t="s">
        <v>95</v>
      </c>
      <c r="W79" s="20" t="s">
        <v>95</v>
      </c>
      <c r="X79" s="20">
        <f>IFERROR(VLOOKUP(B79,'DSOAT-T1.2025'!$B$11:$BH$76,66,0),0)</f>
        <v>0</v>
      </c>
      <c r="Y79" s="178">
        <f>IFERROR(VLOOKUP(B79,'DSOAT-T1.2025'!$B$11:$AS$76,57,0),0)</f>
        <v>0</v>
      </c>
      <c r="Z79" s="28">
        <f t="shared" si="2"/>
        <v>0</v>
      </c>
      <c r="AA79" s="20">
        <f>IFERROR(VLOOKUP(B79,'DSOAT-T1.2025'!$B$11:$AQ$76,55,0),0)</f>
        <v>0</v>
      </c>
      <c r="AB79" s="28">
        <f t="shared" si="3"/>
        <v>-408954</v>
      </c>
    </row>
    <row r="80" spans="1:28" ht="18" hidden="1" customHeight="1">
      <c r="A80" s="15" t="s">
        <v>186</v>
      </c>
      <c r="B80" s="45" t="s">
        <v>97</v>
      </c>
      <c r="C80" s="46">
        <v>71</v>
      </c>
      <c r="D80" s="47" t="s">
        <v>98</v>
      </c>
      <c r="E80" s="48">
        <v>418</v>
      </c>
      <c r="F80" s="49">
        <v>1.0900000000000001</v>
      </c>
      <c r="G80" s="50">
        <v>26.5</v>
      </c>
      <c r="H80" s="16">
        <v>3754309</v>
      </c>
      <c r="I80" s="16">
        <v>3680490</v>
      </c>
      <c r="J80" s="16">
        <v>0</v>
      </c>
      <c r="K80" s="16">
        <v>7434799</v>
      </c>
      <c r="L80" s="16">
        <v>2000000</v>
      </c>
      <c r="M80" s="16">
        <v>408954</v>
      </c>
      <c r="N80" s="16">
        <v>38948</v>
      </c>
      <c r="O80" s="16">
        <v>0</v>
      </c>
      <c r="P80" s="16">
        <v>4986897</v>
      </c>
      <c r="Q80" s="44">
        <v>5887929</v>
      </c>
      <c r="R80" s="61">
        <v>1546870</v>
      </c>
      <c r="S80" s="20" t="s">
        <v>97</v>
      </c>
      <c r="T80" s="28">
        <v>13611560</v>
      </c>
      <c r="U80" s="28">
        <v>6176761</v>
      </c>
      <c r="V80" s="20" t="s">
        <v>97</v>
      </c>
      <c r="W80" s="20" t="s">
        <v>97</v>
      </c>
      <c r="X80" s="20">
        <f>IFERROR(VLOOKUP(B80,'DSOAT-T1.2025'!$B$11:$BH$76,66,0),0)</f>
        <v>0</v>
      </c>
      <c r="Y80" s="178">
        <f>IFERROR(VLOOKUP(B80,'DSOAT-T1.2025'!$B$11:$AS$76,57,0),0)</f>
        <v>0</v>
      </c>
      <c r="Z80" s="28">
        <f t="shared" si="2"/>
        <v>0</v>
      </c>
      <c r="AA80" s="20">
        <f>IFERROR(VLOOKUP(B80,'DSOAT-T1.2025'!$B$11:$AQ$76,55,0),0)</f>
        <v>0</v>
      </c>
      <c r="AB80" s="28">
        <f t="shared" si="3"/>
        <v>-408954</v>
      </c>
    </row>
    <row r="81" spans="1:28" ht="18" hidden="1" customHeight="1">
      <c r="A81" s="15" t="s">
        <v>186</v>
      </c>
      <c r="B81" s="45" t="s">
        <v>99</v>
      </c>
      <c r="C81" s="46">
        <v>72</v>
      </c>
      <c r="D81" s="47" t="s">
        <v>100</v>
      </c>
      <c r="E81" s="48">
        <v>431</v>
      </c>
      <c r="F81" s="49">
        <v>0.48</v>
      </c>
      <c r="G81" s="50">
        <v>24</v>
      </c>
      <c r="H81" s="16">
        <v>1704691</v>
      </c>
      <c r="I81" s="16">
        <v>4953680</v>
      </c>
      <c r="J81" s="16">
        <v>0</v>
      </c>
      <c r="K81" s="16">
        <v>6658371</v>
      </c>
      <c r="L81" s="16">
        <v>2000000</v>
      </c>
      <c r="M81" s="16">
        <v>408954</v>
      </c>
      <c r="N81" s="16">
        <v>38948</v>
      </c>
      <c r="O81" s="16">
        <v>0</v>
      </c>
      <c r="P81" s="16">
        <v>4210469</v>
      </c>
      <c r="Q81" s="44">
        <v>8411049</v>
      </c>
      <c r="R81" s="61">
        <v>-1752678</v>
      </c>
      <c r="S81" s="20" t="s">
        <v>99</v>
      </c>
      <c r="T81" s="28">
        <v>9002050</v>
      </c>
      <c r="U81" s="28">
        <v>2343679</v>
      </c>
      <c r="V81" s="20" t="s">
        <v>99</v>
      </c>
      <c r="W81" s="20" t="s">
        <v>99</v>
      </c>
      <c r="X81" s="20">
        <f>IFERROR(VLOOKUP(B81,'DSOAT-T1.2025'!$B$11:$BH$76,66,0),0)</f>
        <v>0</v>
      </c>
      <c r="Y81" s="178">
        <f>IFERROR(VLOOKUP(B81,'DSOAT-T1.2025'!$B$11:$AS$76,57,0),0)</f>
        <v>0</v>
      </c>
      <c r="Z81" s="28">
        <f t="shared" si="2"/>
        <v>0</v>
      </c>
      <c r="AA81" s="20">
        <f>IFERROR(VLOOKUP(B81,'DSOAT-T1.2025'!$B$11:$AQ$76,55,0),0)</f>
        <v>0</v>
      </c>
      <c r="AB81" s="28">
        <f t="shared" si="3"/>
        <v>-408954</v>
      </c>
    </row>
    <row r="82" spans="1:28" ht="18" hidden="1" customHeight="1">
      <c r="A82" s="15" t="s">
        <v>186</v>
      </c>
      <c r="B82" s="45" t="s">
        <v>105</v>
      </c>
      <c r="C82" s="46">
        <v>73</v>
      </c>
      <c r="D82" s="47" t="s">
        <v>106</v>
      </c>
      <c r="E82" s="48">
        <v>431</v>
      </c>
      <c r="F82" s="49">
        <v>0.66</v>
      </c>
      <c r="G82" s="50">
        <v>24</v>
      </c>
      <c r="H82" s="16">
        <v>2343950</v>
      </c>
      <c r="I82" s="16">
        <v>5600327</v>
      </c>
      <c r="J82" s="16">
        <v>0</v>
      </c>
      <c r="K82" s="16">
        <v>7944277</v>
      </c>
      <c r="L82" s="16">
        <v>2000000</v>
      </c>
      <c r="M82" s="16">
        <v>408954</v>
      </c>
      <c r="N82" s="16">
        <v>38948</v>
      </c>
      <c r="O82" s="16">
        <v>0</v>
      </c>
      <c r="P82" s="16">
        <v>5496375</v>
      </c>
      <c r="Q82" s="44">
        <v>8670553</v>
      </c>
      <c r="R82" s="61">
        <v>-726276</v>
      </c>
      <c r="S82" s="20" t="s">
        <v>105</v>
      </c>
      <c r="T82" s="28">
        <v>10262440</v>
      </c>
      <c r="U82" s="28">
        <v>2318163</v>
      </c>
      <c r="V82" s="20" t="s">
        <v>105</v>
      </c>
      <c r="W82" s="20" t="s">
        <v>105</v>
      </c>
      <c r="X82" s="20">
        <f>IFERROR(VLOOKUP(B82,'DSOAT-T1.2025'!$B$11:$BH$76,66,0),0)</f>
        <v>0</v>
      </c>
      <c r="Y82" s="178">
        <f>IFERROR(VLOOKUP(B82,'DSOAT-T1.2025'!$B$11:$AS$76,57,0),0)</f>
        <v>0</v>
      </c>
      <c r="Z82" s="28">
        <f t="shared" si="2"/>
        <v>0</v>
      </c>
      <c r="AA82" s="20">
        <f>IFERROR(VLOOKUP(B82,'DSOAT-T1.2025'!$B$11:$AQ$76,55,0),0)</f>
        <v>0</v>
      </c>
      <c r="AB82" s="28">
        <f t="shared" si="3"/>
        <v>-408954</v>
      </c>
    </row>
    <row r="83" spans="1:28" ht="18" hidden="1" customHeight="1">
      <c r="A83" s="15" t="s">
        <v>186</v>
      </c>
      <c r="B83" s="51" t="s">
        <v>18</v>
      </c>
      <c r="C83" s="46">
        <v>74</v>
      </c>
      <c r="D83" s="47" t="s">
        <v>19</v>
      </c>
      <c r="E83" s="48">
        <v>418</v>
      </c>
      <c r="F83" s="49">
        <v>0.85</v>
      </c>
      <c r="G83" s="50">
        <v>26.5</v>
      </c>
      <c r="H83" s="16">
        <v>2927672</v>
      </c>
      <c r="I83" s="16">
        <v>2238220</v>
      </c>
      <c r="J83" s="16">
        <v>0</v>
      </c>
      <c r="K83" s="16">
        <v>5165892</v>
      </c>
      <c r="L83" s="16">
        <v>2000000</v>
      </c>
      <c r="M83" s="16">
        <v>408954</v>
      </c>
      <c r="N83" s="16">
        <v>38948</v>
      </c>
      <c r="O83" s="16">
        <v>0</v>
      </c>
      <c r="P83" s="16">
        <v>2717990</v>
      </c>
      <c r="Q83" s="44">
        <v>4747846</v>
      </c>
      <c r="R83" s="61">
        <v>418046</v>
      </c>
      <c r="S83" s="20" t="s">
        <v>18</v>
      </c>
      <c r="T83" s="28">
        <v>7512480</v>
      </c>
      <c r="U83" s="28">
        <v>2346588</v>
      </c>
      <c r="V83" s="20" t="s">
        <v>18</v>
      </c>
      <c r="W83" s="20" t="s">
        <v>18</v>
      </c>
      <c r="X83" s="20">
        <f>IFERROR(VLOOKUP(B83,'DSOAT-T1.2025'!$B$11:$BH$76,66,0),0)</f>
        <v>0</v>
      </c>
      <c r="Y83" s="178">
        <f>IFERROR(VLOOKUP(B83,'DSOAT-T1.2025'!$B$11:$AS$76,57,0),0)</f>
        <v>0</v>
      </c>
      <c r="Z83" s="28">
        <f t="shared" si="2"/>
        <v>0</v>
      </c>
      <c r="AA83" s="20">
        <f>IFERROR(VLOOKUP(B83,'DSOAT-T1.2025'!$B$11:$AQ$76,55,0),0)</f>
        <v>0</v>
      </c>
      <c r="AB83" s="28">
        <f t="shared" si="3"/>
        <v>-408954</v>
      </c>
    </row>
    <row r="84" spans="1:28" ht="18" hidden="1" customHeight="1">
      <c r="A84" s="15" t="s">
        <v>186</v>
      </c>
      <c r="B84" s="52" t="s">
        <v>209</v>
      </c>
      <c r="C84" s="46">
        <v>75</v>
      </c>
      <c r="D84" s="47" t="s">
        <v>210</v>
      </c>
      <c r="E84" s="48">
        <v>431</v>
      </c>
      <c r="F84" s="49">
        <v>0.99</v>
      </c>
      <c r="G84" s="50">
        <v>24</v>
      </c>
      <c r="H84" s="16">
        <v>3515926</v>
      </c>
      <c r="I84" s="16">
        <v>11579149</v>
      </c>
      <c r="J84" s="16">
        <v>0</v>
      </c>
      <c r="K84" s="16">
        <v>15095075</v>
      </c>
      <c r="L84" s="16">
        <v>2000000</v>
      </c>
      <c r="M84" s="16">
        <v>408954</v>
      </c>
      <c r="N84" s="16">
        <v>38948</v>
      </c>
      <c r="O84" s="16">
        <v>296242</v>
      </c>
      <c r="P84" s="16">
        <v>12350931</v>
      </c>
      <c r="Q84" s="44">
        <v>15675031</v>
      </c>
      <c r="R84" s="61">
        <v>-579956</v>
      </c>
      <c r="S84" s="20" t="s">
        <v>209</v>
      </c>
      <c r="T84" s="28">
        <v>7512480</v>
      </c>
      <c r="U84" s="28">
        <v>-7582595</v>
      </c>
      <c r="V84" s="20" t="s">
        <v>209</v>
      </c>
      <c r="W84" s="20" t="s">
        <v>209</v>
      </c>
      <c r="X84" s="20">
        <f>IFERROR(VLOOKUP(B84,'DSOAT-T1.2025'!$B$11:$BH$76,66,0),0)</f>
        <v>0</v>
      </c>
      <c r="Y84" s="178">
        <f>IFERROR(VLOOKUP(B84,'DSOAT-T1.2025'!$B$11:$AS$76,57,0),0)</f>
        <v>0</v>
      </c>
      <c r="Z84" s="28">
        <f t="shared" si="2"/>
        <v>-296242</v>
      </c>
      <c r="AA84" s="20">
        <f>IFERROR(VLOOKUP(B84,'DSOAT-T1.2025'!$B$11:$AQ$76,55,0),0)</f>
        <v>0</v>
      </c>
      <c r="AB84" s="28">
        <f t="shared" si="3"/>
        <v>-408954</v>
      </c>
    </row>
    <row r="85" spans="1:28" ht="18" hidden="1" customHeight="1">
      <c r="A85" s="15" t="s">
        <v>186</v>
      </c>
      <c r="B85" s="52" t="s">
        <v>163</v>
      </c>
      <c r="C85" s="46">
        <v>76</v>
      </c>
      <c r="D85" s="47" t="s">
        <v>154</v>
      </c>
      <c r="E85" s="48">
        <v>478</v>
      </c>
      <c r="F85" s="49">
        <v>1.06</v>
      </c>
      <c r="G85" s="50">
        <v>24</v>
      </c>
      <c r="H85" s="16">
        <v>4175043</v>
      </c>
      <c r="I85" s="16">
        <v>8806689</v>
      </c>
      <c r="J85" s="16">
        <v>0</v>
      </c>
      <c r="K85" s="16">
        <v>12981732</v>
      </c>
      <c r="L85" s="16">
        <v>2000000</v>
      </c>
      <c r="M85" s="16">
        <v>408954</v>
      </c>
      <c r="N85" s="16">
        <v>38948</v>
      </c>
      <c r="O85" s="16">
        <v>198008</v>
      </c>
      <c r="P85" s="16">
        <v>10335822</v>
      </c>
      <c r="Q85" s="44">
        <v>13207518</v>
      </c>
      <c r="R85" s="61">
        <v>-225786</v>
      </c>
      <c r="S85" s="20" t="s">
        <v>163</v>
      </c>
      <c r="T85" s="28">
        <v>12343820</v>
      </c>
      <c r="U85" s="28">
        <v>-637912</v>
      </c>
      <c r="V85" s="20" t="s">
        <v>163</v>
      </c>
      <c r="W85" s="20" t="s">
        <v>163</v>
      </c>
      <c r="X85" s="20">
        <f>IFERROR(VLOOKUP(B85,'DSOAT-T1.2025'!$B$11:$BH$76,66,0),0)</f>
        <v>0</v>
      </c>
      <c r="Y85" s="178">
        <f>IFERROR(VLOOKUP(B85,'DSOAT-T1.2025'!$B$11:$AS$76,57,0),0)</f>
        <v>0</v>
      </c>
      <c r="Z85" s="28">
        <f t="shared" si="2"/>
        <v>-198008</v>
      </c>
      <c r="AA85" s="20">
        <f>IFERROR(VLOOKUP(B85,'DSOAT-T1.2025'!$B$11:$AQ$76,55,0),0)</f>
        <v>0</v>
      </c>
      <c r="AB85" s="28">
        <f t="shared" si="3"/>
        <v>-408954</v>
      </c>
    </row>
    <row r="86" spans="1:28" ht="21.75" customHeight="1">
      <c r="A86" s="15"/>
      <c r="B86" s="17"/>
      <c r="C86" s="1493" t="s">
        <v>132</v>
      </c>
      <c r="D86" s="1494"/>
      <c r="E86" s="18"/>
      <c r="F86" s="18"/>
      <c r="G86" s="18"/>
      <c r="H86" s="19">
        <f t="shared" ref="H86:AB86" si="4">SUM(H10:H85)</f>
        <v>382533708</v>
      </c>
      <c r="I86" s="19">
        <f t="shared" si="4"/>
        <v>348277236</v>
      </c>
      <c r="J86" s="19">
        <f t="shared" si="4"/>
        <v>0</v>
      </c>
      <c r="K86" s="19">
        <f t="shared" si="4"/>
        <v>730810944</v>
      </c>
      <c r="L86" s="19">
        <f t="shared" si="4"/>
        <v>150000000</v>
      </c>
      <c r="M86" s="19">
        <f t="shared" si="4"/>
        <v>31577098</v>
      </c>
      <c r="N86" s="19">
        <f t="shared" si="4"/>
        <v>3046290</v>
      </c>
      <c r="O86" s="19">
        <f t="shared" si="4"/>
        <v>19291517</v>
      </c>
      <c r="P86" s="19">
        <f t="shared" si="4"/>
        <v>526896039</v>
      </c>
      <c r="Q86" s="19">
        <f t="shared" si="4"/>
        <v>682969753</v>
      </c>
      <c r="R86" s="19">
        <f t="shared" si="4"/>
        <v>47841191</v>
      </c>
      <c r="S86" s="19">
        <f t="shared" si="4"/>
        <v>0</v>
      </c>
      <c r="T86" s="19">
        <f t="shared" si="4"/>
        <v>873054760</v>
      </c>
      <c r="U86" s="19">
        <f t="shared" si="4"/>
        <v>142243816</v>
      </c>
      <c r="V86" s="19">
        <f t="shared" si="4"/>
        <v>0</v>
      </c>
      <c r="W86" s="19">
        <f t="shared" si="4"/>
        <v>0</v>
      </c>
      <c r="X86" s="19">
        <f t="shared" si="4"/>
        <v>0</v>
      </c>
      <c r="Y86" s="19">
        <f t="shared" si="4"/>
        <v>0</v>
      </c>
      <c r="Z86" s="19">
        <f t="shared" si="4"/>
        <v>-19291517</v>
      </c>
      <c r="AA86" s="19">
        <f t="shared" si="4"/>
        <v>0</v>
      </c>
      <c r="AB86" s="19">
        <f t="shared" si="4"/>
        <v>-31577098</v>
      </c>
    </row>
    <row r="87" spans="1:28" hidden="1">
      <c r="A87" s="15"/>
      <c r="M87" s="28">
        <f>'DSOAT-T1.2025'!AQ89</f>
        <v>34433053</v>
      </c>
      <c r="N87" s="20">
        <v>3046290</v>
      </c>
      <c r="Y87" s="28">
        <f>Y86-O86</f>
        <v>-19291517</v>
      </c>
    </row>
    <row r="88" spans="1:28" hidden="1">
      <c r="A88" s="15"/>
      <c r="D88" s="1488" t="s">
        <v>134</v>
      </c>
      <c r="E88" s="1488"/>
      <c r="I88" s="1488" t="s">
        <v>135</v>
      </c>
      <c r="J88" s="1488"/>
      <c r="K88" s="1488"/>
      <c r="M88" s="28">
        <f>M86-M87</f>
        <v>-2855955</v>
      </c>
      <c r="N88" s="28">
        <f>N86-N87</f>
        <v>0</v>
      </c>
      <c r="O88" s="1488" t="s">
        <v>133</v>
      </c>
      <c r="P88" s="1488"/>
      <c r="Q88" s="126"/>
    </row>
    <row r="89" spans="1:28">
      <c r="A89" s="15"/>
    </row>
    <row r="90" spans="1:28">
      <c r="A90" s="15"/>
    </row>
    <row r="91" spans="1:28">
      <c r="A91" s="15"/>
    </row>
    <row r="92" spans="1:28">
      <c r="A92" s="15"/>
    </row>
    <row r="93" spans="1:28">
      <c r="A93" s="15"/>
    </row>
    <row r="94" spans="1:28" ht="16.5">
      <c r="A94" s="15"/>
      <c r="D94" s="1490" t="s">
        <v>136</v>
      </c>
      <c r="E94" s="1490"/>
      <c r="I94" s="1490" t="s">
        <v>137</v>
      </c>
      <c r="J94" s="1490"/>
      <c r="K94" s="1490"/>
    </row>
  </sheetData>
  <autoFilter ref="A9:AB88">
    <filterColumn colId="27">
      <filters>
        <filter val="-7"/>
        <filter val="-1"/>
      </filters>
    </filterColumn>
  </autoFilter>
  <mergeCells count="14">
    <mergeCell ref="O88:P88"/>
    <mergeCell ref="C1:E1"/>
    <mergeCell ref="I1:O1"/>
    <mergeCell ref="C2:E2"/>
    <mergeCell ref="I2:O2"/>
    <mergeCell ref="C3:E3"/>
    <mergeCell ref="C4:E4"/>
    <mergeCell ref="D94:E94"/>
    <mergeCell ref="I94:K94"/>
    <mergeCell ref="E6:M6"/>
    <mergeCell ref="E7:M7"/>
    <mergeCell ref="C86:D86"/>
    <mergeCell ref="D88:E88"/>
    <mergeCell ref="I88:K88"/>
  </mergeCells>
  <pageMargins left="0.2" right="0.24" top="0.75" bottom="0.75" header="0.3" footer="0.3"/>
  <pageSetup paperSize="9" orientation="landscape"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3"/>
  <sheetViews>
    <sheetView topLeftCell="A25" workbookViewId="0">
      <selection activeCell="E52" sqref="E52"/>
    </sheetView>
  </sheetViews>
  <sheetFormatPr defaultColWidth="9.140625" defaultRowHeight="15"/>
  <cols>
    <col min="1" max="1" width="8.28515625" customWidth="1"/>
    <col min="2" max="2" width="10.28515625" customWidth="1"/>
    <col min="3" max="3" width="4.85546875" customWidth="1"/>
    <col min="4" max="4" width="7.42578125" customWidth="1"/>
    <col min="5" max="5" width="70.28515625" customWidth="1"/>
    <col min="6" max="7" width="9.140625" customWidth="1"/>
    <col min="8" max="8" width="12.85546875" customWidth="1"/>
    <col min="9" max="11" width="9.140625" customWidth="1"/>
    <col min="12" max="12" width="11.5703125" customWidth="1"/>
    <col min="13" max="13" width="9.140625" customWidth="1"/>
    <col min="14" max="14" width="11.5703125" bestFit="1" customWidth="1"/>
    <col min="15" max="15" width="14.42578125" bestFit="1" customWidth="1"/>
    <col min="16" max="16" width="10.5703125" bestFit="1" customWidth="1"/>
    <col min="17" max="17" width="14.28515625" bestFit="1" customWidth="1"/>
    <col min="18" max="18" width="14.140625" customWidth="1"/>
    <col min="19" max="19" width="5" customWidth="1"/>
    <col min="20" max="20" width="13.42578125" customWidth="1"/>
    <col min="21" max="21" width="11.5703125" bestFit="1" customWidth="1"/>
    <col min="22" max="22" width="13.28515625" bestFit="1" customWidth="1"/>
    <col min="24" max="24" width="10.5703125" bestFit="1" customWidth="1"/>
    <col min="27" max="27" width="1.7109375" customWidth="1"/>
    <col min="28" max="28" width="10.5703125" bestFit="1" customWidth="1"/>
    <col min="30" max="30" width="15" customWidth="1"/>
    <col min="31" max="31" width="12.5703125" bestFit="1" customWidth="1"/>
  </cols>
  <sheetData>
    <row r="1" spans="1:21">
      <c r="N1" t="s">
        <v>23</v>
      </c>
      <c r="O1" s="116">
        <f t="shared" ref="O1:O9" si="0">SUMIFS($L:$L,$C:$C,N1)</f>
        <v>0</v>
      </c>
      <c r="P1" s="116" t="s">
        <v>23</v>
      </c>
      <c r="Q1" s="116">
        <v>663200</v>
      </c>
      <c r="R1" s="116">
        <f>O1+Q1</f>
        <v>663200</v>
      </c>
      <c r="S1" s="74" t="e">
        <f>SUMIFS('DSOAT-T1.2025'!#REF!,'DSOAT-T1.2025'!$BH:$BH,'338888-CTV'!N1)</f>
        <v>#REF!</v>
      </c>
      <c r="T1" s="117" t="e">
        <f>R1-S1</f>
        <v>#REF!</v>
      </c>
      <c r="U1" t="s">
        <v>405</v>
      </c>
    </row>
    <row r="2" spans="1:21">
      <c r="A2" s="103" t="s">
        <v>225</v>
      </c>
      <c r="N2" t="s">
        <v>42</v>
      </c>
      <c r="O2" s="116">
        <f t="shared" si="0"/>
        <v>35232700</v>
      </c>
      <c r="P2" s="116" t="s">
        <v>42</v>
      </c>
      <c r="Q2" s="116">
        <v>23674040</v>
      </c>
      <c r="R2" s="116">
        <f t="shared" ref="R2:R9" si="1">O2+Q2</f>
        <v>58906740</v>
      </c>
      <c r="S2" s="74" t="e">
        <f>SUMIFS('DSOAT-T1.2025'!#REF!,'DSOAT-T1.2025'!$BH:$BH,'338888-CTV'!N2)</f>
        <v>#REF!</v>
      </c>
      <c r="T2" s="117" t="e">
        <f t="shared" ref="T2:T9" si="2">R2-S2</f>
        <v>#REF!</v>
      </c>
    </row>
    <row r="3" spans="1:21">
      <c r="A3" s="103" t="s">
        <v>225</v>
      </c>
      <c r="N3" t="s">
        <v>63</v>
      </c>
      <c r="O3" s="116">
        <f t="shared" si="0"/>
        <v>19110348</v>
      </c>
      <c r="P3" s="116" t="s">
        <v>63</v>
      </c>
      <c r="Q3" s="116">
        <v>29189400</v>
      </c>
      <c r="R3" s="116">
        <f t="shared" si="1"/>
        <v>48299748</v>
      </c>
      <c r="S3" s="116" t="e">
        <f>SUMIFS('DSOAT-T1.2025'!#REF!,'DSOAT-T1.2025'!$BH:$BH,'338888-CTV'!N3)</f>
        <v>#REF!</v>
      </c>
      <c r="T3" s="117" t="e">
        <f t="shared" si="2"/>
        <v>#REF!</v>
      </c>
    </row>
    <row r="4" spans="1:21">
      <c r="N4" t="s">
        <v>70</v>
      </c>
      <c r="O4" s="116">
        <f t="shared" si="0"/>
        <v>42954553</v>
      </c>
      <c r="P4" s="116" t="s">
        <v>70</v>
      </c>
      <c r="Q4" s="116">
        <v>34077080</v>
      </c>
      <c r="R4" s="116">
        <f t="shared" si="1"/>
        <v>77031633</v>
      </c>
      <c r="S4" s="116" t="e">
        <f>SUMIFS('DSOAT-T1.2025'!#REF!,'DSOAT-T1.2025'!$BH:$BH,'338888-CTV'!N4)</f>
        <v>#REF!</v>
      </c>
      <c r="T4" s="117" t="e">
        <f t="shared" si="2"/>
        <v>#REF!</v>
      </c>
    </row>
    <row r="5" spans="1:21" ht="18.75">
      <c r="A5" s="104" t="s">
        <v>254</v>
      </c>
      <c r="N5" t="s">
        <v>79</v>
      </c>
      <c r="O5" s="116">
        <f t="shared" si="0"/>
        <v>9853264</v>
      </c>
      <c r="P5" s="116" t="s">
        <v>79</v>
      </c>
      <c r="Q5" s="116">
        <v>17476600</v>
      </c>
      <c r="R5" s="116">
        <f t="shared" si="1"/>
        <v>27329864</v>
      </c>
      <c r="S5" s="116" t="e">
        <f>SUMIFS('DSOAT-T1.2025'!#REF!,'DSOAT-T1.2025'!$BH:$BH,'338888-CTV'!N5)</f>
        <v>#REF!</v>
      </c>
      <c r="T5" s="117" t="e">
        <f t="shared" si="2"/>
        <v>#REF!</v>
      </c>
    </row>
    <row r="6" spans="1:21">
      <c r="A6" s="103" t="s">
        <v>309</v>
      </c>
      <c r="N6" t="s">
        <v>87</v>
      </c>
      <c r="O6" s="116">
        <f t="shared" si="0"/>
        <v>8064000</v>
      </c>
      <c r="P6" s="116" t="s">
        <v>87</v>
      </c>
      <c r="Q6" s="116">
        <v>7561920</v>
      </c>
      <c r="R6" s="116">
        <f t="shared" si="1"/>
        <v>15625920</v>
      </c>
      <c r="S6" s="116" t="e">
        <f>SUMIFS('DSOAT-T1.2025'!#REF!,'DSOAT-T1.2025'!$BH:$BH,'338888-CTV'!N6)</f>
        <v>#REF!</v>
      </c>
      <c r="T6" s="117" t="e">
        <f t="shared" si="2"/>
        <v>#REF!</v>
      </c>
    </row>
    <row r="7" spans="1:21">
      <c r="N7" t="s">
        <v>92</v>
      </c>
      <c r="O7" s="116">
        <f t="shared" si="0"/>
        <v>5882800</v>
      </c>
      <c r="P7" s="116" t="s">
        <v>92</v>
      </c>
      <c r="Q7" s="116">
        <v>3862400</v>
      </c>
      <c r="R7" s="116">
        <f t="shared" si="1"/>
        <v>9745200</v>
      </c>
      <c r="S7" s="116" t="e">
        <f>SUMIFS('DSOAT-T1.2025'!#REF!,'DSOAT-T1.2025'!$BH:$BH,'338888-CTV'!N7)</f>
        <v>#REF!</v>
      </c>
      <c r="T7" s="117" t="e">
        <f t="shared" si="2"/>
        <v>#REF!</v>
      </c>
    </row>
    <row r="8" spans="1:21">
      <c r="A8" s="105" t="s">
        <v>226</v>
      </c>
      <c r="B8" s="106"/>
      <c r="C8" s="114"/>
      <c r="D8" s="114"/>
      <c r="E8" s="107" t="s">
        <v>227</v>
      </c>
      <c r="F8" s="105" t="s">
        <v>255</v>
      </c>
      <c r="G8" s="106"/>
      <c r="H8" s="105" t="s">
        <v>228</v>
      </c>
      <c r="I8" s="106"/>
      <c r="J8" s="105" t="s">
        <v>229</v>
      </c>
      <c r="K8" s="106"/>
      <c r="L8" s="105" t="s">
        <v>230</v>
      </c>
      <c r="M8" s="106"/>
      <c r="N8" t="s">
        <v>20</v>
      </c>
      <c r="O8" s="116">
        <f t="shared" si="0"/>
        <v>0</v>
      </c>
      <c r="P8" s="116" t="s">
        <v>20</v>
      </c>
      <c r="Q8" s="116">
        <v>0</v>
      </c>
      <c r="R8" s="116">
        <f t="shared" si="1"/>
        <v>0</v>
      </c>
      <c r="S8" s="116" t="e">
        <f>SUMIFS('DSOAT-T1.2025'!#REF!,'DSOAT-T1.2025'!$BH:$BH,'338888-CTV'!N8)</f>
        <v>#REF!</v>
      </c>
      <c r="T8" s="117" t="e">
        <f t="shared" si="2"/>
        <v>#REF!</v>
      </c>
    </row>
    <row r="9" spans="1:21">
      <c r="A9" s="99" t="s">
        <v>231</v>
      </c>
      <c r="B9" s="99" t="s">
        <v>232</v>
      </c>
      <c r="C9" s="115"/>
      <c r="D9" s="115"/>
      <c r="E9" s="108"/>
      <c r="F9" s="99" t="s">
        <v>233</v>
      </c>
      <c r="G9" s="99" t="s">
        <v>234</v>
      </c>
      <c r="H9" s="99" t="s">
        <v>233</v>
      </c>
      <c r="I9" s="99" t="s">
        <v>234</v>
      </c>
      <c r="J9" s="99" t="s">
        <v>233</v>
      </c>
      <c r="K9" s="99" t="s">
        <v>234</v>
      </c>
      <c r="L9" s="99" t="s">
        <v>233</v>
      </c>
      <c r="M9" s="99" t="s">
        <v>234</v>
      </c>
      <c r="N9" t="s">
        <v>109</v>
      </c>
      <c r="O9" s="116">
        <f t="shared" si="0"/>
        <v>0</v>
      </c>
      <c r="P9" s="116" t="s">
        <v>109</v>
      </c>
      <c r="Q9" s="116">
        <v>0</v>
      </c>
      <c r="R9" s="116">
        <f t="shared" si="1"/>
        <v>0</v>
      </c>
      <c r="S9" s="116" t="e">
        <f>SUMIFS('DSOAT-T1.2025'!#REF!,'DSOAT-T1.2025'!$BH:$BH,'338888-CTV'!N9)</f>
        <v>#REF!</v>
      </c>
      <c r="T9" s="117" t="e">
        <f t="shared" si="2"/>
        <v>#REF!</v>
      </c>
    </row>
    <row r="10" spans="1:21">
      <c r="A10" s="105" t="s">
        <v>235</v>
      </c>
      <c r="B10" s="109"/>
      <c r="C10" s="109"/>
      <c r="D10" s="109"/>
      <c r="E10" s="109"/>
      <c r="F10" s="109"/>
      <c r="G10" s="109"/>
      <c r="H10" s="109"/>
      <c r="I10" s="109"/>
      <c r="J10" s="109"/>
      <c r="K10" s="109"/>
      <c r="L10" s="109"/>
      <c r="M10" s="106"/>
      <c r="O10" s="96">
        <f t="shared" ref="O10:T10" si="3">SUM(O1:O9)</f>
        <v>121097665</v>
      </c>
      <c r="P10" s="96">
        <f t="shared" si="3"/>
        <v>0</v>
      </c>
      <c r="Q10" s="96">
        <f t="shared" si="3"/>
        <v>116504640</v>
      </c>
      <c r="R10" s="96">
        <f t="shared" si="3"/>
        <v>237602305</v>
      </c>
      <c r="S10" s="96" t="e">
        <f t="shared" si="3"/>
        <v>#REF!</v>
      </c>
      <c r="T10" s="96" t="e">
        <f t="shared" si="3"/>
        <v>#REF!</v>
      </c>
    </row>
    <row r="11" spans="1:21" s="68" customFormat="1">
      <c r="A11" s="111" t="s">
        <v>369</v>
      </c>
      <c r="B11" s="112" t="s">
        <v>370</v>
      </c>
      <c r="C11" s="112"/>
      <c r="D11" s="112"/>
      <c r="E11" s="112" t="s">
        <v>371</v>
      </c>
      <c r="F11" s="113">
        <v>0</v>
      </c>
      <c r="G11" s="113">
        <v>0</v>
      </c>
      <c r="H11" s="113">
        <v>900000</v>
      </c>
      <c r="I11" s="113">
        <v>0</v>
      </c>
      <c r="J11" s="113">
        <v>0</v>
      </c>
      <c r="K11" s="113">
        <v>0</v>
      </c>
      <c r="L11" s="79">
        <v>900000</v>
      </c>
      <c r="M11" s="113">
        <v>0</v>
      </c>
    </row>
    <row r="12" spans="1:21" s="68" customFormat="1">
      <c r="A12" s="111" t="s">
        <v>369</v>
      </c>
      <c r="B12" s="112" t="s">
        <v>372</v>
      </c>
      <c r="C12" s="112"/>
      <c r="D12" s="112"/>
      <c r="E12" s="112" t="s">
        <v>373</v>
      </c>
      <c r="F12" s="113">
        <v>0</v>
      </c>
      <c r="G12" s="113">
        <v>0</v>
      </c>
      <c r="H12" s="113">
        <v>750000</v>
      </c>
      <c r="I12" s="113">
        <v>0</v>
      </c>
      <c r="J12" s="113">
        <v>0</v>
      </c>
      <c r="K12" s="113">
        <v>0</v>
      </c>
      <c r="L12" s="79">
        <v>750000</v>
      </c>
      <c r="M12" s="113">
        <v>0</v>
      </c>
      <c r="Q12" s="70"/>
    </row>
    <row r="13" spans="1:21" s="91" customFormat="1">
      <c r="A13" s="80" t="s">
        <v>369</v>
      </c>
      <c r="B13" s="81" t="s">
        <v>317</v>
      </c>
      <c r="C13" s="81"/>
      <c r="D13" s="81"/>
      <c r="E13" s="81" t="s">
        <v>374</v>
      </c>
      <c r="F13" s="79">
        <v>0</v>
      </c>
      <c r="G13" s="79">
        <v>0</v>
      </c>
      <c r="H13" s="79">
        <v>22381170</v>
      </c>
      <c r="I13" s="79">
        <v>0</v>
      </c>
      <c r="J13" s="79">
        <v>0</v>
      </c>
      <c r="K13" s="79">
        <v>0</v>
      </c>
      <c r="L13" s="79">
        <v>22381170</v>
      </c>
      <c r="M13" s="79">
        <v>0</v>
      </c>
    </row>
    <row r="14" spans="1:21" s="68" customFormat="1">
      <c r="A14" s="111" t="s">
        <v>375</v>
      </c>
      <c r="B14" s="112" t="s">
        <v>376</v>
      </c>
      <c r="C14" s="112"/>
      <c r="D14" s="112"/>
      <c r="E14" s="112" t="s">
        <v>377</v>
      </c>
      <c r="F14" s="113">
        <v>0</v>
      </c>
      <c r="G14" s="113">
        <v>0</v>
      </c>
      <c r="H14" s="113">
        <v>860864</v>
      </c>
      <c r="I14" s="113">
        <v>0</v>
      </c>
      <c r="J14" s="113">
        <v>0</v>
      </c>
      <c r="K14" s="113">
        <v>0</v>
      </c>
      <c r="L14" s="79">
        <v>860864</v>
      </c>
      <c r="M14" s="113">
        <v>0</v>
      </c>
    </row>
    <row r="15" spans="1:21" s="68" customFormat="1">
      <c r="A15" s="111" t="s">
        <v>310</v>
      </c>
      <c r="B15" s="112" t="s">
        <v>378</v>
      </c>
      <c r="C15" s="112"/>
      <c r="D15" s="112"/>
      <c r="E15" s="112" t="s">
        <v>379</v>
      </c>
      <c r="F15" s="113">
        <v>0</v>
      </c>
      <c r="G15" s="113">
        <v>0</v>
      </c>
      <c r="H15" s="113">
        <v>3380000</v>
      </c>
      <c r="I15" s="113">
        <v>0</v>
      </c>
      <c r="J15" s="113">
        <v>0</v>
      </c>
      <c r="K15" s="113">
        <v>0</v>
      </c>
      <c r="L15" s="79">
        <v>3380000</v>
      </c>
      <c r="M15" s="113">
        <v>0</v>
      </c>
    </row>
    <row r="16" spans="1:21" s="68" customFormat="1">
      <c r="A16" s="111" t="s">
        <v>310</v>
      </c>
      <c r="B16" s="112" t="s">
        <v>380</v>
      </c>
      <c r="C16" s="112"/>
      <c r="D16" s="112"/>
      <c r="E16" s="112" t="s">
        <v>381</v>
      </c>
      <c r="F16" s="113">
        <v>0</v>
      </c>
      <c r="G16" s="113">
        <v>0</v>
      </c>
      <c r="H16" s="113">
        <v>400000</v>
      </c>
      <c r="I16" s="113">
        <v>0</v>
      </c>
      <c r="J16" s="113">
        <v>0</v>
      </c>
      <c r="K16" s="113">
        <v>0</v>
      </c>
      <c r="L16" s="79">
        <v>400000</v>
      </c>
      <c r="M16" s="113">
        <v>0</v>
      </c>
    </row>
    <row r="17" spans="1:31" s="176" customFormat="1">
      <c r="A17" s="173"/>
      <c r="B17" s="174"/>
      <c r="C17" s="174"/>
      <c r="D17" s="174"/>
      <c r="E17" s="174"/>
      <c r="F17" s="113"/>
      <c r="G17" s="113"/>
      <c r="H17" s="113"/>
      <c r="I17" s="113"/>
      <c r="J17" s="113"/>
      <c r="K17" s="113"/>
      <c r="L17" s="73"/>
      <c r="M17" s="175"/>
      <c r="N17" s="176" t="s">
        <v>236</v>
      </c>
      <c r="O17" s="176" t="s">
        <v>237</v>
      </c>
      <c r="P17" s="176" t="s">
        <v>238</v>
      </c>
      <c r="Q17" s="176" t="s">
        <v>239</v>
      </c>
      <c r="R17" s="176" t="s">
        <v>240</v>
      </c>
      <c r="S17" s="176" t="s">
        <v>241</v>
      </c>
      <c r="T17" s="176" t="s">
        <v>242</v>
      </c>
      <c r="U17" s="176" t="s">
        <v>243</v>
      </c>
      <c r="V17" s="176" t="s">
        <v>244</v>
      </c>
      <c r="W17" s="176" t="s">
        <v>285</v>
      </c>
      <c r="X17" s="176" t="s">
        <v>245</v>
      </c>
      <c r="Y17" s="176" t="s">
        <v>246</v>
      </c>
      <c r="Z17" s="176" t="s">
        <v>293</v>
      </c>
      <c r="AA17" s="176" t="s">
        <v>247</v>
      </c>
      <c r="AB17" s="176" t="s">
        <v>266</v>
      </c>
      <c r="AC17" s="176" t="s">
        <v>308</v>
      </c>
      <c r="AD17" s="176" t="s">
        <v>12</v>
      </c>
    </row>
    <row r="18" spans="1:31" s="68" customFormat="1">
      <c r="A18" s="111" t="s">
        <v>310</v>
      </c>
      <c r="B18" s="112" t="s">
        <v>311</v>
      </c>
      <c r="C18" s="112" t="str">
        <f>RIGHT(D18,3)</f>
        <v>P04</v>
      </c>
      <c r="D18" s="112" t="str">
        <f>LEFT(E18,7)</f>
        <v xml:space="preserve">  - P04</v>
      </c>
      <c r="E18" s="112" t="s">
        <v>312</v>
      </c>
      <c r="F18" s="102">
        <v>0</v>
      </c>
      <c r="G18" s="102">
        <v>0</v>
      </c>
      <c r="H18" s="102">
        <v>15386948</v>
      </c>
      <c r="I18" s="102">
        <v>0</v>
      </c>
      <c r="J18" s="102">
        <v>0</v>
      </c>
      <c r="K18" s="102">
        <v>0</v>
      </c>
      <c r="L18" s="113">
        <v>15386948</v>
      </c>
      <c r="M18" s="113">
        <v>0</v>
      </c>
      <c r="N18" s="177">
        <f>2109040+150000</f>
        <v>2259040</v>
      </c>
      <c r="O18" s="177">
        <v>10296548</v>
      </c>
      <c r="P18" s="177">
        <v>110000</v>
      </c>
      <c r="Q18" s="177"/>
      <c r="R18" s="177">
        <f>417200+60000</f>
        <v>477200</v>
      </c>
      <c r="S18" s="177"/>
      <c r="T18" s="177"/>
      <c r="U18" s="177"/>
      <c r="V18" s="177">
        <v>4180000</v>
      </c>
      <c r="W18" s="177"/>
      <c r="X18" s="177"/>
      <c r="Y18" s="177"/>
      <c r="Z18" s="177"/>
      <c r="AA18" s="177"/>
      <c r="AB18" s="177">
        <v>323200</v>
      </c>
      <c r="AC18" s="177"/>
      <c r="AD18" s="177">
        <f>SUM(N18:AC18)</f>
        <v>17645988</v>
      </c>
      <c r="AE18" s="70">
        <f>SUM(O18:AB55)</f>
        <v>242195330</v>
      </c>
    </row>
    <row r="19" spans="1:31" s="68" customFormat="1">
      <c r="A19" s="111" t="s">
        <v>310</v>
      </c>
      <c r="B19" s="112" t="s">
        <v>313</v>
      </c>
      <c r="C19" s="112" t="str">
        <f t="shared" ref="C19:C47" si="4">RIGHT(D19,3)</f>
        <v>P04</v>
      </c>
      <c r="D19" s="112" t="str">
        <f t="shared" ref="D19:D47" si="5">LEFT(E19,7)</f>
        <v xml:space="preserve">  - P04</v>
      </c>
      <c r="E19" s="112" t="s">
        <v>314</v>
      </c>
      <c r="F19" s="102">
        <v>0</v>
      </c>
      <c r="G19" s="102">
        <v>0</v>
      </c>
      <c r="H19" s="102">
        <v>1140800</v>
      </c>
      <c r="I19" s="102">
        <v>0</v>
      </c>
      <c r="J19" s="102">
        <v>0</v>
      </c>
      <c r="K19" s="102">
        <v>0</v>
      </c>
      <c r="L19" s="113">
        <v>1140800</v>
      </c>
      <c r="M19" s="113">
        <v>0</v>
      </c>
      <c r="N19" s="177">
        <v>6034240</v>
      </c>
      <c r="O19" s="177"/>
      <c r="P19" s="177"/>
      <c r="Q19" s="177"/>
      <c r="R19" s="177">
        <v>243200</v>
      </c>
      <c r="S19" s="177"/>
      <c r="T19" s="177"/>
      <c r="U19" s="177"/>
      <c r="V19" s="177"/>
      <c r="W19" s="177"/>
      <c r="X19" s="177"/>
      <c r="Y19" s="177"/>
      <c r="Z19" s="177"/>
      <c r="AA19" s="177"/>
      <c r="AB19" s="92">
        <v>897600</v>
      </c>
      <c r="AC19" s="177"/>
      <c r="AD19" s="177">
        <f t="shared" ref="AD19:AD47" si="6">SUM(N19:AC19)</f>
        <v>7175040</v>
      </c>
    </row>
    <row r="20" spans="1:31">
      <c r="A20" s="100" t="s">
        <v>310</v>
      </c>
      <c r="B20" s="101" t="s">
        <v>317</v>
      </c>
      <c r="C20" s="101" t="str">
        <f t="shared" si="4"/>
        <v>P06</v>
      </c>
      <c r="D20" s="101" t="str">
        <f t="shared" si="5"/>
        <v xml:space="preserve">  - P06</v>
      </c>
      <c r="E20" s="101" t="s">
        <v>318</v>
      </c>
      <c r="F20" s="102">
        <v>0</v>
      </c>
      <c r="G20" s="102">
        <v>0</v>
      </c>
      <c r="H20" s="102">
        <v>1674982</v>
      </c>
      <c r="I20" s="102">
        <v>0</v>
      </c>
      <c r="J20" s="102">
        <v>0</v>
      </c>
      <c r="K20" s="102">
        <v>0</v>
      </c>
      <c r="L20" s="102">
        <v>1674982</v>
      </c>
      <c r="M20" s="102">
        <v>0</v>
      </c>
      <c r="N20" s="116">
        <v>1684000</v>
      </c>
      <c r="O20" s="116">
        <v>347182</v>
      </c>
      <c r="P20" s="116"/>
      <c r="Q20" s="116"/>
      <c r="R20" s="116"/>
      <c r="S20" s="116"/>
      <c r="T20" s="116"/>
      <c r="U20" s="116"/>
      <c r="V20" s="116"/>
      <c r="W20" s="116"/>
      <c r="X20" s="116">
        <v>1000000</v>
      </c>
      <c r="Y20" s="116"/>
      <c r="Z20" s="116"/>
      <c r="AA20" s="116"/>
      <c r="AB20" s="116">
        <v>327800</v>
      </c>
      <c r="AC20" s="116"/>
      <c r="AD20" s="177">
        <f t="shared" si="6"/>
        <v>3358982</v>
      </c>
    </row>
    <row r="21" spans="1:31">
      <c r="A21" s="100" t="s">
        <v>310</v>
      </c>
      <c r="B21" s="101" t="s">
        <v>319</v>
      </c>
      <c r="C21" s="101" t="str">
        <f t="shared" si="4"/>
        <v>P06</v>
      </c>
      <c r="D21" s="101" t="str">
        <f t="shared" si="5"/>
        <v xml:space="preserve">  - P06</v>
      </c>
      <c r="E21" s="101" t="s">
        <v>320</v>
      </c>
      <c r="F21" s="102">
        <v>0</v>
      </c>
      <c r="G21" s="102">
        <v>0</v>
      </c>
      <c r="H21" s="102">
        <v>1760000</v>
      </c>
      <c r="I21" s="102">
        <v>0</v>
      </c>
      <c r="J21" s="102">
        <v>0</v>
      </c>
      <c r="K21" s="102">
        <v>0</v>
      </c>
      <c r="L21" s="102">
        <v>1760000</v>
      </c>
      <c r="M21" s="102">
        <v>0</v>
      </c>
      <c r="N21" s="116">
        <v>509200</v>
      </c>
      <c r="O21" s="116"/>
      <c r="P21" s="116"/>
      <c r="Q21" s="116"/>
      <c r="R21" s="116"/>
      <c r="S21" s="116"/>
      <c r="T21" s="116"/>
      <c r="U21" s="116"/>
      <c r="V21" s="116">
        <v>1760000</v>
      </c>
      <c r="W21" s="116"/>
      <c r="X21" s="116"/>
      <c r="Y21" s="116"/>
      <c r="Z21" s="116"/>
      <c r="AA21" s="116"/>
      <c r="AB21" s="116"/>
      <c r="AC21" s="116"/>
      <c r="AD21" s="177">
        <f t="shared" si="6"/>
        <v>2269200</v>
      </c>
    </row>
    <row r="22" spans="1:31" s="68" customFormat="1">
      <c r="A22" s="111" t="s">
        <v>321</v>
      </c>
      <c r="B22" s="112" t="s">
        <v>324</v>
      </c>
      <c r="C22" s="112" t="str">
        <f t="shared" si="4"/>
        <v>P04</v>
      </c>
      <c r="D22" s="112" t="str">
        <f t="shared" si="5"/>
        <v xml:space="preserve">  - P04</v>
      </c>
      <c r="E22" s="112" t="s">
        <v>325</v>
      </c>
      <c r="F22" s="102">
        <v>0</v>
      </c>
      <c r="G22" s="102">
        <v>0</v>
      </c>
      <c r="H22" s="102">
        <v>1000000</v>
      </c>
      <c r="I22" s="102">
        <v>0</v>
      </c>
      <c r="J22" s="102">
        <v>0</v>
      </c>
      <c r="K22" s="102">
        <v>0</v>
      </c>
      <c r="L22" s="113">
        <v>1000000</v>
      </c>
      <c r="M22" s="113">
        <v>0</v>
      </c>
      <c r="N22" s="177"/>
      <c r="O22" s="177"/>
      <c r="P22" s="177"/>
      <c r="Q22" s="177"/>
      <c r="R22" s="177"/>
      <c r="S22" s="177"/>
      <c r="T22" s="177"/>
      <c r="U22" s="177"/>
      <c r="V22" s="177"/>
      <c r="W22" s="177"/>
      <c r="X22" s="177">
        <v>1000000</v>
      </c>
      <c r="Y22" s="177"/>
      <c r="Z22" s="177"/>
      <c r="AA22" s="177"/>
      <c r="AB22" s="177"/>
      <c r="AC22" s="177"/>
      <c r="AD22" s="177">
        <f t="shared" si="6"/>
        <v>1000000</v>
      </c>
    </row>
    <row r="23" spans="1:31" s="68" customFormat="1">
      <c r="A23" s="111" t="s">
        <v>321</v>
      </c>
      <c r="B23" s="112" t="s">
        <v>326</v>
      </c>
      <c r="C23" s="112" t="str">
        <f t="shared" si="4"/>
        <v>P04</v>
      </c>
      <c r="D23" s="112" t="str">
        <f t="shared" si="5"/>
        <v xml:space="preserve">  - P04</v>
      </c>
      <c r="E23" s="112" t="s">
        <v>327</v>
      </c>
      <c r="F23" s="102">
        <v>0</v>
      </c>
      <c r="G23" s="102">
        <v>0</v>
      </c>
      <c r="H23" s="102">
        <v>92800</v>
      </c>
      <c r="I23" s="102">
        <v>0</v>
      </c>
      <c r="J23" s="102">
        <v>0</v>
      </c>
      <c r="K23" s="102">
        <v>0</v>
      </c>
      <c r="L23" s="113">
        <v>92800</v>
      </c>
      <c r="M23" s="113">
        <v>0</v>
      </c>
      <c r="N23" s="177">
        <v>1689200</v>
      </c>
      <c r="O23" s="177"/>
      <c r="P23" s="177"/>
      <c r="Q23" s="177"/>
      <c r="R23" s="177"/>
      <c r="S23" s="177"/>
      <c r="T23" s="177"/>
      <c r="U23" s="177"/>
      <c r="V23" s="177"/>
      <c r="W23" s="177"/>
      <c r="X23" s="177"/>
      <c r="Y23" s="177"/>
      <c r="Z23" s="177"/>
      <c r="AA23" s="177"/>
      <c r="AB23" s="177">
        <v>92800</v>
      </c>
      <c r="AC23" s="177"/>
      <c r="AD23" s="177">
        <f t="shared" si="6"/>
        <v>1782000</v>
      </c>
    </row>
    <row r="24" spans="1:31" s="68" customFormat="1">
      <c r="A24" s="111" t="s">
        <v>321</v>
      </c>
      <c r="B24" s="112" t="s">
        <v>328</v>
      </c>
      <c r="C24" s="112" t="str">
        <f t="shared" si="4"/>
        <v>P04</v>
      </c>
      <c r="D24" s="112" t="str">
        <f t="shared" si="5"/>
        <v xml:space="preserve">  - P04</v>
      </c>
      <c r="E24" s="112" t="s">
        <v>329</v>
      </c>
      <c r="F24" s="102">
        <v>0</v>
      </c>
      <c r="G24" s="102">
        <v>0</v>
      </c>
      <c r="H24" s="102">
        <v>789800</v>
      </c>
      <c r="I24" s="102">
        <v>0</v>
      </c>
      <c r="J24" s="102">
        <v>0</v>
      </c>
      <c r="K24" s="102">
        <v>0</v>
      </c>
      <c r="L24" s="113">
        <v>789800</v>
      </c>
      <c r="M24" s="113">
        <v>0</v>
      </c>
      <c r="N24" s="177"/>
      <c r="O24" s="177">
        <v>210000</v>
      </c>
      <c r="P24" s="177"/>
      <c r="Q24" s="177"/>
      <c r="R24" s="177"/>
      <c r="S24" s="177"/>
      <c r="T24" s="177"/>
      <c r="U24" s="177"/>
      <c r="V24" s="177"/>
      <c r="W24" s="177"/>
      <c r="X24" s="177"/>
      <c r="Y24" s="177">
        <v>394200</v>
      </c>
      <c r="Z24" s="177"/>
      <c r="AA24" s="177"/>
      <c r="AB24" s="177">
        <v>185600</v>
      </c>
      <c r="AC24" s="177"/>
      <c r="AD24" s="177">
        <f t="shared" si="6"/>
        <v>789800</v>
      </c>
    </row>
    <row r="25" spans="1:31" s="68" customFormat="1">
      <c r="A25" s="111" t="s">
        <v>321</v>
      </c>
      <c r="B25" s="112" t="s">
        <v>382</v>
      </c>
      <c r="C25" s="112" t="str">
        <f t="shared" si="4"/>
        <v>P05</v>
      </c>
      <c r="D25" s="112" t="str">
        <f t="shared" si="5"/>
        <v xml:space="preserve">  - P05</v>
      </c>
      <c r="E25" s="112" t="s">
        <v>383</v>
      </c>
      <c r="F25" s="102">
        <v>0</v>
      </c>
      <c r="G25" s="102">
        <v>0</v>
      </c>
      <c r="H25" s="102">
        <v>1000000</v>
      </c>
      <c r="I25" s="102">
        <v>0</v>
      </c>
      <c r="J25" s="102">
        <v>0</v>
      </c>
      <c r="K25" s="102">
        <v>0</v>
      </c>
      <c r="L25" s="113">
        <v>1000000</v>
      </c>
      <c r="M25" s="113">
        <v>0</v>
      </c>
      <c r="N25" s="177"/>
      <c r="O25" s="177"/>
      <c r="P25" s="177"/>
      <c r="Q25" s="177"/>
      <c r="R25" s="177"/>
      <c r="S25" s="177"/>
      <c r="T25" s="177"/>
      <c r="U25" s="177"/>
      <c r="V25" s="177"/>
      <c r="W25" s="177"/>
      <c r="X25" s="177">
        <v>1000000</v>
      </c>
      <c r="Y25" s="177"/>
      <c r="Z25" s="177"/>
      <c r="AA25" s="177"/>
      <c r="AB25" s="177"/>
      <c r="AC25" s="177"/>
      <c r="AD25" s="177">
        <f t="shared" si="6"/>
        <v>1000000</v>
      </c>
    </row>
    <row r="26" spans="1:31" s="68" customFormat="1">
      <c r="A26" s="111" t="s">
        <v>321</v>
      </c>
      <c r="B26" s="112" t="s">
        <v>384</v>
      </c>
      <c r="C26" s="112" t="str">
        <f t="shared" si="4"/>
        <v>P05</v>
      </c>
      <c r="D26" s="112" t="str">
        <f t="shared" si="5"/>
        <v xml:space="preserve">  - P05</v>
      </c>
      <c r="E26" s="112" t="s">
        <v>385</v>
      </c>
      <c r="F26" s="102">
        <v>0</v>
      </c>
      <c r="G26" s="102">
        <v>0</v>
      </c>
      <c r="H26" s="102">
        <v>1088000</v>
      </c>
      <c r="I26" s="102">
        <v>0</v>
      </c>
      <c r="J26" s="102">
        <v>0</v>
      </c>
      <c r="K26" s="102">
        <v>0</v>
      </c>
      <c r="L26" s="113">
        <v>1088000</v>
      </c>
      <c r="M26" s="113">
        <v>0</v>
      </c>
      <c r="N26" s="177"/>
      <c r="O26" s="177"/>
      <c r="P26" s="177"/>
      <c r="Q26" s="177"/>
      <c r="R26" s="177"/>
      <c r="S26" s="177"/>
      <c r="T26" s="177"/>
      <c r="U26" s="177"/>
      <c r="V26" s="177"/>
      <c r="W26" s="177"/>
      <c r="X26" s="177">
        <v>1000000</v>
      </c>
      <c r="Y26" s="177"/>
      <c r="Z26" s="177"/>
      <c r="AA26" s="177"/>
      <c r="AB26" s="177">
        <v>88000</v>
      </c>
      <c r="AC26" s="177"/>
      <c r="AD26" s="177">
        <f t="shared" si="6"/>
        <v>1088000</v>
      </c>
    </row>
    <row r="27" spans="1:31" s="68" customFormat="1">
      <c r="A27" s="111" t="s">
        <v>321</v>
      </c>
      <c r="B27" s="112" t="s">
        <v>330</v>
      </c>
      <c r="C27" s="112" t="str">
        <f t="shared" si="4"/>
        <v>P05</v>
      </c>
      <c r="D27" s="112" t="str">
        <f t="shared" si="5"/>
        <v xml:space="preserve">  - P05</v>
      </c>
      <c r="E27" s="112" t="s">
        <v>331</v>
      </c>
      <c r="F27" s="102">
        <v>0</v>
      </c>
      <c r="G27" s="102">
        <v>0</v>
      </c>
      <c r="H27" s="102">
        <v>1610015</v>
      </c>
      <c r="I27" s="102">
        <v>0</v>
      </c>
      <c r="J27" s="102">
        <v>0</v>
      </c>
      <c r="K27" s="102">
        <v>0</v>
      </c>
      <c r="L27" s="113">
        <v>1610015</v>
      </c>
      <c r="M27" s="113">
        <v>0</v>
      </c>
      <c r="N27" s="177"/>
      <c r="O27" s="177"/>
      <c r="P27" s="177"/>
      <c r="Q27" s="177">
        <v>82575</v>
      </c>
      <c r="R27" s="177">
        <v>1284000</v>
      </c>
      <c r="S27" s="177"/>
      <c r="T27" s="177"/>
      <c r="U27" s="177"/>
      <c r="V27" s="177"/>
      <c r="W27" s="177"/>
      <c r="X27" s="177"/>
      <c r="Y27" s="177"/>
      <c r="Z27" s="177"/>
      <c r="AA27" s="177"/>
      <c r="AB27" s="177">
        <v>243440</v>
      </c>
      <c r="AC27" s="177"/>
      <c r="AD27" s="177">
        <f t="shared" si="6"/>
        <v>1610015</v>
      </c>
    </row>
    <row r="28" spans="1:31" s="68" customFormat="1">
      <c r="A28" s="111" t="s">
        <v>321</v>
      </c>
      <c r="B28" s="112" t="s">
        <v>332</v>
      </c>
      <c r="C28" s="112" t="str">
        <f t="shared" si="4"/>
        <v>P05</v>
      </c>
      <c r="D28" s="112" t="str">
        <f t="shared" si="5"/>
        <v xml:space="preserve">  - P05</v>
      </c>
      <c r="E28" s="112" t="s">
        <v>333</v>
      </c>
      <c r="F28" s="102">
        <v>0</v>
      </c>
      <c r="G28" s="102">
        <v>0</v>
      </c>
      <c r="H28" s="102">
        <v>380815</v>
      </c>
      <c r="I28" s="102">
        <v>0</v>
      </c>
      <c r="J28" s="102">
        <v>0</v>
      </c>
      <c r="K28" s="102">
        <v>0</v>
      </c>
      <c r="L28" s="113">
        <v>380815</v>
      </c>
      <c r="M28" s="113">
        <v>0</v>
      </c>
      <c r="N28" s="177"/>
      <c r="O28" s="177"/>
      <c r="P28" s="177"/>
      <c r="Q28" s="177">
        <v>82575</v>
      </c>
      <c r="R28" s="177"/>
      <c r="S28" s="177"/>
      <c r="T28" s="177"/>
      <c r="U28" s="177"/>
      <c r="V28" s="177"/>
      <c r="W28" s="177"/>
      <c r="X28" s="177"/>
      <c r="Y28" s="177"/>
      <c r="Z28" s="177"/>
      <c r="AA28" s="177"/>
      <c r="AB28" s="177">
        <v>298240</v>
      </c>
      <c r="AC28" s="177"/>
      <c r="AD28" s="177">
        <f t="shared" si="6"/>
        <v>380815</v>
      </c>
    </row>
    <row r="29" spans="1:31" s="68" customFormat="1">
      <c r="A29" s="111" t="s">
        <v>321</v>
      </c>
      <c r="B29" s="112" t="s">
        <v>334</v>
      </c>
      <c r="C29" s="112" t="str">
        <f t="shared" si="4"/>
        <v>P05</v>
      </c>
      <c r="D29" s="112" t="str">
        <f t="shared" si="5"/>
        <v xml:space="preserve">  - P05</v>
      </c>
      <c r="E29" s="112" t="s">
        <v>335</v>
      </c>
      <c r="F29" s="102">
        <v>0</v>
      </c>
      <c r="G29" s="102">
        <v>0</v>
      </c>
      <c r="H29" s="102">
        <v>28452875</v>
      </c>
      <c r="I29" s="102">
        <v>0</v>
      </c>
      <c r="J29" s="102">
        <v>0</v>
      </c>
      <c r="K29" s="102">
        <v>0</v>
      </c>
      <c r="L29" s="113">
        <v>28452875</v>
      </c>
      <c r="M29" s="113">
        <v>0</v>
      </c>
      <c r="N29" s="177">
        <v>6749280</v>
      </c>
      <c r="O29" s="177"/>
      <c r="P29" s="177">
        <v>110000</v>
      </c>
      <c r="Q29" s="177">
        <v>82575</v>
      </c>
      <c r="R29" s="177">
        <v>273900</v>
      </c>
      <c r="S29" s="177"/>
      <c r="T29" s="177"/>
      <c r="U29" s="177">
        <v>27500000</v>
      </c>
      <c r="V29" s="177"/>
      <c r="W29" s="177"/>
      <c r="X29" s="177"/>
      <c r="Y29" s="177"/>
      <c r="Z29" s="177"/>
      <c r="AA29" s="177"/>
      <c r="AB29" s="177">
        <v>486400</v>
      </c>
      <c r="AC29" s="177"/>
      <c r="AD29" s="177">
        <f t="shared" si="6"/>
        <v>35202155</v>
      </c>
    </row>
    <row r="30" spans="1:31">
      <c r="A30" s="100" t="s">
        <v>321</v>
      </c>
      <c r="B30" s="101" t="s">
        <v>336</v>
      </c>
      <c r="C30" s="101" t="str">
        <f t="shared" si="4"/>
        <v>P05</v>
      </c>
      <c r="D30" s="101" t="str">
        <f t="shared" si="5"/>
        <v xml:space="preserve">  - P05</v>
      </c>
      <c r="E30" s="101" t="s">
        <v>337</v>
      </c>
      <c r="F30" s="102">
        <v>0</v>
      </c>
      <c r="G30" s="102">
        <v>0</v>
      </c>
      <c r="H30" s="102">
        <v>10422848</v>
      </c>
      <c r="I30" s="102">
        <v>0</v>
      </c>
      <c r="J30" s="102">
        <v>0</v>
      </c>
      <c r="K30" s="102">
        <v>0</v>
      </c>
      <c r="L30" s="102">
        <v>10422848</v>
      </c>
      <c r="M30" s="102">
        <v>0</v>
      </c>
      <c r="N30" s="116">
        <f>16330400</f>
        <v>16330400</v>
      </c>
      <c r="O30" s="116"/>
      <c r="P30" s="177">
        <v>440000</v>
      </c>
      <c r="Q30" s="116">
        <v>82575</v>
      </c>
      <c r="R30" s="116">
        <v>8094273</v>
      </c>
      <c r="S30" s="116"/>
      <c r="T30" s="116"/>
      <c r="U30" s="116"/>
      <c r="V30" s="116"/>
      <c r="W30" s="116"/>
      <c r="X30" s="116"/>
      <c r="Y30" s="116"/>
      <c r="Z30" s="116"/>
      <c r="AA30" s="116"/>
      <c r="AB30" s="116">
        <v>1806000</v>
      </c>
      <c r="AC30" s="116"/>
      <c r="AD30" s="177">
        <f t="shared" si="6"/>
        <v>26753248</v>
      </c>
    </row>
    <row r="31" spans="1:31">
      <c r="A31" s="100" t="s">
        <v>321</v>
      </c>
      <c r="B31" s="101" t="s">
        <v>338</v>
      </c>
      <c r="C31" s="101" t="str">
        <f t="shared" si="4"/>
        <v>P06</v>
      </c>
      <c r="D31" s="101" t="str">
        <f t="shared" si="5"/>
        <v xml:space="preserve">  - P06</v>
      </c>
      <c r="E31" s="101" t="s">
        <v>339</v>
      </c>
      <c r="F31" s="102">
        <v>0</v>
      </c>
      <c r="G31" s="102">
        <v>0</v>
      </c>
      <c r="H31" s="102">
        <v>1869200</v>
      </c>
      <c r="I31" s="102">
        <v>0</v>
      </c>
      <c r="J31" s="102">
        <v>0</v>
      </c>
      <c r="K31" s="102">
        <v>0</v>
      </c>
      <c r="L31" s="102">
        <v>1869200</v>
      </c>
      <c r="M31" s="102">
        <v>0</v>
      </c>
      <c r="N31" s="116">
        <f>2489600+154000</f>
        <v>2643600</v>
      </c>
      <c r="O31" s="116">
        <v>210000</v>
      </c>
      <c r="P31" s="116"/>
      <c r="Q31" s="116"/>
      <c r="R31" s="116"/>
      <c r="S31" s="116"/>
      <c r="T31" s="116"/>
      <c r="U31" s="116">
        <v>500000</v>
      </c>
      <c r="V31" s="116">
        <v>330000</v>
      </c>
      <c r="W31" s="116"/>
      <c r="X31" s="116">
        <v>76800</v>
      </c>
      <c r="Y31" s="116"/>
      <c r="Z31" s="116"/>
      <c r="AA31" s="116"/>
      <c r="AB31" s="116">
        <v>752400</v>
      </c>
      <c r="AC31" s="116"/>
      <c r="AD31" s="177">
        <f t="shared" si="6"/>
        <v>4512800</v>
      </c>
    </row>
    <row r="32" spans="1:31">
      <c r="A32" s="100" t="s">
        <v>321</v>
      </c>
      <c r="B32" s="101" t="s">
        <v>340</v>
      </c>
      <c r="C32" s="101" t="str">
        <f t="shared" si="4"/>
        <v>P06</v>
      </c>
      <c r="D32" s="101" t="str">
        <f t="shared" si="5"/>
        <v xml:space="preserve">  - P06</v>
      </c>
      <c r="E32" s="101" t="s">
        <v>341</v>
      </c>
      <c r="F32" s="102">
        <v>0</v>
      </c>
      <c r="G32" s="102">
        <v>0</v>
      </c>
      <c r="H32" s="102">
        <v>347182</v>
      </c>
      <c r="I32" s="102">
        <v>0</v>
      </c>
      <c r="J32" s="102">
        <v>0</v>
      </c>
      <c r="K32" s="102">
        <v>0</v>
      </c>
      <c r="L32" s="102">
        <v>347182</v>
      </c>
      <c r="M32" s="102">
        <v>0</v>
      </c>
      <c r="N32" s="116">
        <v>876000</v>
      </c>
      <c r="O32" s="116">
        <v>347182</v>
      </c>
      <c r="P32" s="116"/>
      <c r="Q32" s="116"/>
      <c r="R32" s="116"/>
      <c r="S32" s="116"/>
      <c r="T32" s="116"/>
      <c r="U32" s="116"/>
      <c r="V32" s="116"/>
      <c r="W32" s="116"/>
      <c r="X32" s="116"/>
      <c r="Y32" s="116"/>
      <c r="Z32" s="116"/>
      <c r="AA32" s="116"/>
      <c r="AB32" s="116"/>
      <c r="AC32" s="116"/>
      <c r="AD32" s="177">
        <f t="shared" si="6"/>
        <v>1223182</v>
      </c>
    </row>
    <row r="33" spans="1:30">
      <c r="A33" s="100" t="s">
        <v>321</v>
      </c>
      <c r="B33" s="101" t="s">
        <v>342</v>
      </c>
      <c r="C33" s="101" t="str">
        <f t="shared" si="4"/>
        <v>P06</v>
      </c>
      <c r="D33" s="101" t="str">
        <f t="shared" si="5"/>
        <v xml:space="preserve">  - P06</v>
      </c>
      <c r="E33" s="101" t="s">
        <v>343</v>
      </c>
      <c r="F33" s="102">
        <v>0</v>
      </c>
      <c r="G33" s="102">
        <v>0</v>
      </c>
      <c r="H33" s="102">
        <v>586800</v>
      </c>
      <c r="I33" s="102">
        <v>0</v>
      </c>
      <c r="J33" s="102">
        <v>0</v>
      </c>
      <c r="K33" s="102">
        <v>0</v>
      </c>
      <c r="L33" s="102">
        <v>586800</v>
      </c>
      <c r="M33" s="102">
        <v>0</v>
      </c>
      <c r="N33" s="116">
        <v>5916400</v>
      </c>
      <c r="O33" s="116"/>
      <c r="P33" s="116"/>
      <c r="Q33" s="116"/>
      <c r="R33" s="116">
        <f>114000+320800</f>
        <v>434800</v>
      </c>
      <c r="S33" s="116"/>
      <c r="T33" s="116"/>
      <c r="U33" s="116"/>
      <c r="V33" s="116"/>
      <c r="W33" s="116"/>
      <c r="X33" s="116"/>
      <c r="Y33" s="116"/>
      <c r="Z33" s="116"/>
      <c r="AA33" s="116"/>
      <c r="AB33" s="116">
        <f>152000</f>
        <v>152000</v>
      </c>
      <c r="AC33" s="116"/>
      <c r="AD33" s="177">
        <f t="shared" si="6"/>
        <v>6503200</v>
      </c>
    </row>
    <row r="34" spans="1:30">
      <c r="A34" s="100" t="s">
        <v>321</v>
      </c>
      <c r="B34" s="101" t="s">
        <v>344</v>
      </c>
      <c r="C34" s="101" t="str">
        <f t="shared" si="4"/>
        <v>P06</v>
      </c>
      <c r="D34" s="101" t="str">
        <f t="shared" si="5"/>
        <v xml:space="preserve">  - P06</v>
      </c>
      <c r="E34" s="101" t="s">
        <v>345</v>
      </c>
      <c r="F34" s="102">
        <v>0</v>
      </c>
      <c r="G34" s="102">
        <v>0</v>
      </c>
      <c r="H34" s="102">
        <v>3615100</v>
      </c>
      <c r="I34" s="102">
        <v>0</v>
      </c>
      <c r="J34" s="102">
        <v>0</v>
      </c>
      <c r="K34" s="102">
        <v>0</v>
      </c>
      <c r="L34" s="102">
        <v>3615100</v>
      </c>
      <c r="M34" s="102">
        <v>0</v>
      </c>
      <c r="N34" s="116">
        <f>4163600+1244800</f>
        <v>5408400</v>
      </c>
      <c r="O34" s="116">
        <v>105000</v>
      </c>
      <c r="P34" s="116"/>
      <c r="Q34" s="116"/>
      <c r="R34" s="116">
        <v>320100</v>
      </c>
      <c r="S34" s="116"/>
      <c r="T34" s="116"/>
      <c r="U34" s="116"/>
      <c r="V34" s="116">
        <v>3190000</v>
      </c>
      <c r="W34" s="116"/>
      <c r="X34" s="116"/>
      <c r="Y34" s="116"/>
      <c r="Z34" s="116"/>
      <c r="AA34" s="116"/>
      <c r="AB34" s="116"/>
      <c r="AC34" s="116"/>
      <c r="AD34" s="177">
        <f t="shared" si="6"/>
        <v>9023500</v>
      </c>
    </row>
    <row r="35" spans="1:30" s="68" customFormat="1">
      <c r="A35" s="111" t="s">
        <v>346</v>
      </c>
      <c r="B35" s="112" t="s">
        <v>347</v>
      </c>
      <c r="C35" s="112" t="str">
        <f t="shared" si="4"/>
        <v>P08</v>
      </c>
      <c r="D35" s="112" t="str">
        <f t="shared" si="5"/>
        <v xml:space="preserve">  - P08</v>
      </c>
      <c r="E35" s="112" t="s">
        <v>348</v>
      </c>
      <c r="F35" s="102">
        <v>0</v>
      </c>
      <c r="G35" s="102">
        <v>0</v>
      </c>
      <c r="H35" s="102">
        <v>250800</v>
      </c>
      <c r="I35" s="102">
        <v>0</v>
      </c>
      <c r="J35" s="102">
        <v>0</v>
      </c>
      <c r="K35" s="102">
        <v>0</v>
      </c>
      <c r="L35" s="113">
        <v>250800</v>
      </c>
      <c r="M35" s="113">
        <v>0</v>
      </c>
      <c r="N35" s="177"/>
      <c r="O35" s="177"/>
      <c r="P35" s="177"/>
      <c r="Q35" s="177"/>
      <c r="R35" s="177"/>
      <c r="S35" s="177"/>
      <c r="T35" s="177"/>
      <c r="U35" s="177"/>
      <c r="V35" s="177"/>
      <c r="W35" s="177"/>
      <c r="X35" s="177"/>
      <c r="Y35" s="177"/>
      <c r="Z35" s="177"/>
      <c r="AA35" s="177"/>
      <c r="AB35" s="177">
        <v>250800</v>
      </c>
      <c r="AC35" s="177"/>
      <c r="AD35" s="177">
        <f t="shared" si="6"/>
        <v>250800</v>
      </c>
    </row>
    <row r="36" spans="1:30">
      <c r="A36" s="100" t="s">
        <v>349</v>
      </c>
      <c r="B36" s="101" t="s">
        <v>350</v>
      </c>
      <c r="C36" s="101" t="str">
        <f t="shared" si="4"/>
        <v>P03</v>
      </c>
      <c r="D36" s="101" t="str">
        <f t="shared" si="5"/>
        <v xml:space="preserve">  - P03</v>
      </c>
      <c r="E36" s="101" t="s">
        <v>351</v>
      </c>
      <c r="F36" s="102">
        <v>0</v>
      </c>
      <c r="G36" s="102">
        <v>0</v>
      </c>
      <c r="H36" s="102">
        <v>35232700</v>
      </c>
      <c r="I36" s="102">
        <v>0</v>
      </c>
      <c r="J36" s="102">
        <v>0</v>
      </c>
      <c r="K36" s="102">
        <v>0</v>
      </c>
      <c r="L36" s="102">
        <v>35232700</v>
      </c>
      <c r="M36" s="102">
        <v>0</v>
      </c>
      <c r="N36" s="116">
        <f>6123120+8157400</f>
        <v>14280520</v>
      </c>
      <c r="O36" s="116">
        <f>22050000+9090000</f>
        <v>31140000</v>
      </c>
      <c r="P36" s="116">
        <f>330000+1540000</f>
        <v>1870000</v>
      </c>
      <c r="Q36" s="116"/>
      <c r="R36" s="116">
        <v>1069500</v>
      </c>
      <c r="S36" s="116"/>
      <c r="T36" s="116">
        <v>60000</v>
      </c>
      <c r="U36" s="116"/>
      <c r="V36" s="116"/>
      <c r="W36" s="116"/>
      <c r="X36" s="116"/>
      <c r="Y36" s="116"/>
      <c r="Z36" s="116"/>
      <c r="AA36" s="116"/>
      <c r="AB36" s="116">
        <f>873200+220000</f>
        <v>1093200</v>
      </c>
      <c r="AC36" s="116"/>
      <c r="AD36" s="177">
        <f t="shared" si="6"/>
        <v>49513220</v>
      </c>
    </row>
    <row r="37" spans="1:30" s="68" customFormat="1">
      <c r="A37" s="111" t="s">
        <v>349</v>
      </c>
      <c r="B37" s="112" t="s">
        <v>352</v>
      </c>
      <c r="C37" s="112" t="str">
        <f t="shared" si="4"/>
        <v>P04</v>
      </c>
      <c r="D37" s="112" t="str">
        <f t="shared" si="5"/>
        <v xml:space="preserve">  - P04</v>
      </c>
      <c r="E37" s="112" t="s">
        <v>353</v>
      </c>
      <c r="F37" s="102">
        <v>0</v>
      </c>
      <c r="G37" s="102">
        <v>0</v>
      </c>
      <c r="H37" s="102">
        <v>456800</v>
      </c>
      <c r="I37" s="102">
        <v>0</v>
      </c>
      <c r="J37" s="102">
        <v>0</v>
      </c>
      <c r="K37" s="102">
        <v>0</v>
      </c>
      <c r="L37" s="113">
        <v>456800</v>
      </c>
      <c r="M37" s="113">
        <v>0</v>
      </c>
      <c r="N37" s="177">
        <f>11134040</f>
        <v>11134040</v>
      </c>
      <c r="O37" s="177"/>
      <c r="P37" s="177"/>
      <c r="Q37" s="177"/>
      <c r="R37" s="177">
        <f>153600+60000</f>
        <v>213600</v>
      </c>
      <c r="S37" s="177"/>
      <c r="T37" s="177"/>
      <c r="U37" s="177"/>
      <c r="V37" s="177"/>
      <c r="W37" s="177"/>
      <c r="X37" s="177"/>
      <c r="Y37" s="177"/>
      <c r="Z37" s="177"/>
      <c r="AA37" s="177"/>
      <c r="AB37" s="177">
        <v>243200</v>
      </c>
      <c r="AC37" s="177"/>
      <c r="AD37" s="177">
        <f t="shared" si="6"/>
        <v>11590840</v>
      </c>
    </row>
    <row r="38" spans="1:30" s="68" customFormat="1">
      <c r="A38" s="111" t="s">
        <v>349</v>
      </c>
      <c r="B38" s="112" t="s">
        <v>354</v>
      </c>
      <c r="C38" s="112" t="str">
        <f t="shared" si="4"/>
        <v>P04</v>
      </c>
      <c r="D38" s="112" t="str">
        <f t="shared" si="5"/>
        <v xml:space="preserve">  - P04</v>
      </c>
      <c r="E38" s="112" t="s">
        <v>355</v>
      </c>
      <c r="F38" s="102">
        <v>0</v>
      </c>
      <c r="G38" s="102">
        <v>0</v>
      </c>
      <c r="H38" s="102">
        <v>243200</v>
      </c>
      <c r="I38" s="102">
        <v>0</v>
      </c>
      <c r="J38" s="102">
        <v>0</v>
      </c>
      <c r="K38" s="102">
        <v>0</v>
      </c>
      <c r="L38" s="113">
        <v>243200</v>
      </c>
      <c r="M38" s="113">
        <v>0</v>
      </c>
      <c r="N38" s="177"/>
      <c r="O38" s="177"/>
      <c r="P38" s="177"/>
      <c r="Q38" s="177"/>
      <c r="R38" s="177"/>
      <c r="S38" s="177"/>
      <c r="T38" s="177"/>
      <c r="U38" s="177"/>
      <c r="V38" s="177"/>
      <c r="W38" s="177"/>
      <c r="X38" s="177"/>
      <c r="Y38" s="177"/>
      <c r="Z38" s="177"/>
      <c r="AA38" s="177"/>
      <c r="AB38" s="177">
        <v>243200</v>
      </c>
      <c r="AC38" s="177"/>
      <c r="AD38" s="177">
        <f t="shared" si="6"/>
        <v>243200</v>
      </c>
    </row>
    <row r="39" spans="1:30" s="68" customFormat="1">
      <c r="A39" s="111" t="s">
        <v>349</v>
      </c>
      <c r="B39" s="112" t="s">
        <v>356</v>
      </c>
      <c r="C39" s="112" t="str">
        <f t="shared" si="4"/>
        <v>P07</v>
      </c>
      <c r="D39" s="112" t="str">
        <f t="shared" si="5"/>
        <v xml:space="preserve">  - P07</v>
      </c>
      <c r="E39" s="112" t="s">
        <v>357</v>
      </c>
      <c r="F39" s="102">
        <v>0</v>
      </c>
      <c r="G39" s="102">
        <v>0</v>
      </c>
      <c r="H39" s="102">
        <v>5393400</v>
      </c>
      <c r="I39" s="102">
        <v>0</v>
      </c>
      <c r="J39" s="102">
        <v>0</v>
      </c>
      <c r="K39" s="102">
        <v>0</v>
      </c>
      <c r="L39" s="113">
        <v>5393400</v>
      </c>
      <c r="M39" s="113">
        <v>0</v>
      </c>
      <c r="N39" s="177"/>
      <c r="O39" s="177"/>
      <c r="P39" s="177"/>
      <c r="Q39" s="177"/>
      <c r="R39" s="177"/>
      <c r="S39" s="177"/>
      <c r="T39" s="177"/>
      <c r="U39" s="177">
        <v>5393400</v>
      </c>
      <c r="V39" s="177"/>
      <c r="W39" s="177"/>
      <c r="X39" s="177"/>
      <c r="Y39" s="177"/>
      <c r="Z39" s="177"/>
      <c r="AA39" s="177"/>
      <c r="AB39" s="177"/>
      <c r="AC39" s="177"/>
      <c r="AD39" s="177">
        <f t="shared" si="6"/>
        <v>5393400</v>
      </c>
    </row>
    <row r="40" spans="1:30" s="68" customFormat="1">
      <c r="A40" s="111" t="s">
        <v>349</v>
      </c>
      <c r="B40" s="112" t="s">
        <v>386</v>
      </c>
      <c r="C40" s="112" t="str">
        <f t="shared" si="4"/>
        <v>P07</v>
      </c>
      <c r="D40" s="112" t="str">
        <f t="shared" si="5"/>
        <v xml:space="preserve">  - P07</v>
      </c>
      <c r="E40" s="112" t="s">
        <v>357</v>
      </c>
      <c r="F40" s="102">
        <v>0</v>
      </c>
      <c r="G40" s="102">
        <v>0</v>
      </c>
      <c r="H40" s="102">
        <v>606600</v>
      </c>
      <c r="I40" s="102">
        <v>0</v>
      </c>
      <c r="J40" s="102">
        <v>0</v>
      </c>
      <c r="K40" s="102">
        <v>0</v>
      </c>
      <c r="L40" s="113">
        <v>606600</v>
      </c>
      <c r="M40" s="113">
        <v>0</v>
      </c>
      <c r="N40" s="177"/>
      <c r="O40" s="177"/>
      <c r="P40" s="177"/>
      <c r="Q40" s="177"/>
      <c r="R40" s="177"/>
      <c r="S40" s="177"/>
      <c r="T40" s="177"/>
      <c r="U40" s="177">
        <v>606600</v>
      </c>
      <c r="V40" s="177"/>
      <c r="W40" s="177"/>
      <c r="X40" s="177"/>
      <c r="Y40" s="177"/>
      <c r="Z40" s="177"/>
      <c r="AA40" s="177"/>
      <c r="AB40" s="177"/>
      <c r="AC40" s="177"/>
      <c r="AD40" s="177">
        <f t="shared" si="6"/>
        <v>606600</v>
      </c>
    </row>
    <row r="41" spans="1:30" s="68" customFormat="1">
      <c r="A41" s="111" t="s">
        <v>349</v>
      </c>
      <c r="B41" s="112" t="s">
        <v>358</v>
      </c>
      <c r="C41" s="112" t="str">
        <f t="shared" si="4"/>
        <v>P07</v>
      </c>
      <c r="D41" s="112" t="str">
        <f t="shared" si="5"/>
        <v xml:space="preserve">  - P07</v>
      </c>
      <c r="E41" s="112" t="s">
        <v>359</v>
      </c>
      <c r="F41" s="102">
        <v>0</v>
      </c>
      <c r="G41" s="102">
        <v>0</v>
      </c>
      <c r="H41" s="102">
        <v>71776</v>
      </c>
      <c r="I41" s="102">
        <v>0</v>
      </c>
      <c r="J41" s="102">
        <v>0</v>
      </c>
      <c r="K41" s="102">
        <v>0</v>
      </c>
      <c r="L41" s="79">
        <v>71776</v>
      </c>
      <c r="M41" s="113">
        <v>0</v>
      </c>
      <c r="N41" s="177"/>
      <c r="O41" s="177"/>
      <c r="P41" s="177"/>
      <c r="Q41" s="177"/>
      <c r="R41" s="177"/>
      <c r="S41" s="177"/>
      <c r="T41" s="177"/>
      <c r="U41" s="177"/>
      <c r="V41" s="177"/>
      <c r="W41" s="177"/>
      <c r="X41" s="177"/>
      <c r="Y41" s="177"/>
      <c r="Z41" s="177"/>
      <c r="AA41" s="177"/>
      <c r="AB41" s="177">
        <v>71776</v>
      </c>
      <c r="AC41" s="177"/>
      <c r="AD41" s="177">
        <f t="shared" si="6"/>
        <v>71776</v>
      </c>
    </row>
    <row r="42" spans="1:30" s="68" customFormat="1">
      <c r="A42" s="111" t="s">
        <v>349</v>
      </c>
      <c r="B42" s="112" t="s">
        <v>387</v>
      </c>
      <c r="C42" s="112" t="str">
        <f t="shared" si="4"/>
        <v>P07</v>
      </c>
      <c r="D42" s="112" t="str">
        <f t="shared" si="5"/>
        <v xml:space="preserve">  - P07</v>
      </c>
      <c r="E42" s="112" t="s">
        <v>388</v>
      </c>
      <c r="F42" s="102">
        <v>0</v>
      </c>
      <c r="G42" s="102">
        <v>0</v>
      </c>
      <c r="H42" s="102">
        <v>171424</v>
      </c>
      <c r="I42" s="102">
        <v>0</v>
      </c>
      <c r="J42" s="102">
        <v>0</v>
      </c>
      <c r="K42" s="102">
        <v>0</v>
      </c>
      <c r="L42" s="79">
        <v>171424</v>
      </c>
      <c r="M42" s="113">
        <v>0</v>
      </c>
      <c r="N42" s="177"/>
      <c r="O42" s="177"/>
      <c r="P42" s="177"/>
      <c r="Q42" s="177"/>
      <c r="R42" s="177"/>
      <c r="S42" s="177"/>
      <c r="T42" s="177"/>
      <c r="U42" s="177"/>
      <c r="V42" s="177"/>
      <c r="W42" s="177"/>
      <c r="X42" s="177"/>
      <c r="Y42" s="177"/>
      <c r="Z42" s="177"/>
      <c r="AA42" s="177"/>
      <c r="AB42" s="177">
        <v>171424</v>
      </c>
      <c r="AC42" s="177"/>
      <c r="AD42" s="177">
        <f t="shared" si="6"/>
        <v>171424</v>
      </c>
    </row>
    <row r="43" spans="1:30">
      <c r="A43" s="100" t="s">
        <v>349</v>
      </c>
      <c r="B43" s="101" t="s">
        <v>360</v>
      </c>
      <c r="C43" s="101" t="str">
        <f t="shared" si="4"/>
        <v>P07</v>
      </c>
      <c r="D43" s="101" t="str">
        <f t="shared" si="5"/>
        <v xml:space="preserve">  - P07</v>
      </c>
      <c r="E43" s="101" t="s">
        <v>361</v>
      </c>
      <c r="F43" s="102">
        <v>0</v>
      </c>
      <c r="G43" s="102">
        <v>0</v>
      </c>
      <c r="H43" s="102">
        <v>1115752</v>
      </c>
      <c r="I43" s="102">
        <v>0</v>
      </c>
      <c r="J43" s="102">
        <v>0</v>
      </c>
      <c r="K43" s="102">
        <v>0</v>
      </c>
      <c r="L43" s="69">
        <v>1115752</v>
      </c>
      <c r="M43" s="102">
        <v>0</v>
      </c>
      <c r="N43" s="116"/>
      <c r="O43" s="116"/>
      <c r="P43" s="116"/>
      <c r="Q43" s="116"/>
      <c r="R43" s="116">
        <v>334400</v>
      </c>
      <c r="S43" s="116"/>
      <c r="T43" s="116"/>
      <c r="U43" s="116"/>
      <c r="V43" s="116"/>
      <c r="W43" s="116"/>
      <c r="X43" s="116">
        <v>1000000</v>
      </c>
      <c r="Y43" s="116"/>
      <c r="Z43" s="116"/>
      <c r="AA43" s="116"/>
      <c r="AB43" s="116"/>
      <c r="AC43" s="116"/>
      <c r="AD43" s="177">
        <f t="shared" si="6"/>
        <v>1334400</v>
      </c>
    </row>
    <row r="44" spans="1:30">
      <c r="A44" s="100" t="s">
        <v>349</v>
      </c>
      <c r="B44" s="101" t="s">
        <v>389</v>
      </c>
      <c r="C44" s="101" t="str">
        <f t="shared" si="4"/>
        <v>P07</v>
      </c>
      <c r="D44" s="101" t="str">
        <f t="shared" si="5"/>
        <v xml:space="preserve">  - P07</v>
      </c>
      <c r="E44" s="101" t="s">
        <v>390</v>
      </c>
      <c r="F44" s="102">
        <v>0</v>
      </c>
      <c r="G44" s="102">
        <v>0</v>
      </c>
      <c r="H44" s="102">
        <v>705048</v>
      </c>
      <c r="I44" s="102">
        <v>0</v>
      </c>
      <c r="J44" s="102">
        <v>0</v>
      </c>
      <c r="K44" s="102">
        <v>0</v>
      </c>
      <c r="L44" s="69">
        <v>705048</v>
      </c>
      <c r="M44" s="102">
        <v>0</v>
      </c>
      <c r="N44" s="116"/>
      <c r="O44" s="116"/>
      <c r="P44" s="116"/>
      <c r="Q44" s="116"/>
      <c r="R44" s="116"/>
      <c r="S44" s="116"/>
      <c r="T44" s="116"/>
      <c r="U44" s="116"/>
      <c r="V44" s="116"/>
      <c r="W44" s="116"/>
      <c r="X44" s="116"/>
      <c r="Y44" s="116"/>
      <c r="Z44" s="116"/>
      <c r="AA44" s="116"/>
      <c r="AB44" s="116">
        <v>486400</v>
      </c>
      <c r="AC44" s="116"/>
      <c r="AD44" s="177">
        <f t="shared" si="6"/>
        <v>486400</v>
      </c>
    </row>
    <row r="45" spans="1:30">
      <c r="A45" s="100" t="s">
        <v>349</v>
      </c>
      <c r="B45" s="101" t="s">
        <v>391</v>
      </c>
      <c r="C45" s="101" t="str">
        <f t="shared" si="4"/>
        <v>P08</v>
      </c>
      <c r="D45" s="101" t="str">
        <f t="shared" si="5"/>
        <v xml:space="preserve">  - P08</v>
      </c>
      <c r="E45" s="101" t="s">
        <v>392</v>
      </c>
      <c r="F45" s="102">
        <v>0</v>
      </c>
      <c r="G45" s="102">
        <v>0</v>
      </c>
      <c r="H45" s="102">
        <v>1380000</v>
      </c>
      <c r="I45" s="102">
        <v>0</v>
      </c>
      <c r="J45" s="102">
        <v>0</v>
      </c>
      <c r="K45" s="102">
        <v>0</v>
      </c>
      <c r="L45" s="102">
        <v>1380000</v>
      </c>
      <c r="M45" s="102">
        <v>0</v>
      </c>
      <c r="N45" s="116"/>
      <c r="O45" s="116">
        <v>1380000</v>
      </c>
      <c r="P45" s="116"/>
      <c r="Q45" s="116"/>
      <c r="R45" s="116"/>
      <c r="S45" s="116"/>
      <c r="T45" s="116"/>
      <c r="U45" s="116"/>
      <c r="V45" s="116"/>
      <c r="W45" s="116"/>
      <c r="X45" s="116"/>
      <c r="Y45" s="116"/>
      <c r="Z45" s="116"/>
      <c r="AA45" s="116"/>
      <c r="AB45" s="116"/>
      <c r="AC45" s="116"/>
      <c r="AD45" s="177">
        <f t="shared" si="6"/>
        <v>1380000</v>
      </c>
    </row>
    <row r="46" spans="1:30">
      <c r="A46" s="100" t="s">
        <v>349</v>
      </c>
      <c r="B46" s="101" t="s">
        <v>393</v>
      </c>
      <c r="C46" s="101" t="str">
        <f t="shared" si="4"/>
        <v>P08</v>
      </c>
      <c r="D46" s="101" t="str">
        <f t="shared" si="5"/>
        <v xml:space="preserve">  - P08</v>
      </c>
      <c r="E46" s="101" t="s">
        <v>394</v>
      </c>
      <c r="F46" s="102">
        <v>0</v>
      </c>
      <c r="G46" s="102">
        <v>0</v>
      </c>
      <c r="H46" s="102">
        <v>3000000</v>
      </c>
      <c r="I46" s="102">
        <v>0</v>
      </c>
      <c r="J46" s="102">
        <v>0</v>
      </c>
      <c r="K46" s="102">
        <v>0</v>
      </c>
      <c r="L46" s="102">
        <v>3000000</v>
      </c>
      <c r="M46" s="102">
        <v>0</v>
      </c>
      <c r="N46" s="116"/>
      <c r="O46" s="116"/>
      <c r="P46" s="116"/>
      <c r="Q46" s="116"/>
      <c r="R46" s="116"/>
      <c r="S46" s="116"/>
      <c r="T46" s="116"/>
      <c r="U46" s="116"/>
      <c r="V46" s="116"/>
      <c r="W46" s="116"/>
      <c r="X46" s="116">
        <v>3000000</v>
      </c>
      <c r="Y46" s="116"/>
      <c r="Z46" s="116"/>
      <c r="AA46" s="116"/>
      <c r="AB46" s="116"/>
      <c r="AC46" s="116"/>
      <c r="AD46" s="177">
        <f t="shared" si="6"/>
        <v>3000000</v>
      </c>
    </row>
    <row r="47" spans="1:30">
      <c r="A47" s="100" t="s">
        <v>349</v>
      </c>
      <c r="B47" s="101" t="s">
        <v>366</v>
      </c>
      <c r="C47" s="101" t="str">
        <f t="shared" si="4"/>
        <v>P08</v>
      </c>
      <c r="D47" s="101" t="str">
        <f t="shared" si="5"/>
        <v xml:space="preserve">  - P08</v>
      </c>
      <c r="E47" s="101" t="s">
        <v>367</v>
      </c>
      <c r="F47" s="102">
        <v>0</v>
      </c>
      <c r="G47" s="102">
        <v>0</v>
      </c>
      <c r="H47" s="102">
        <v>1252000</v>
      </c>
      <c r="I47" s="102">
        <v>0</v>
      </c>
      <c r="J47" s="102">
        <v>0</v>
      </c>
      <c r="K47" s="102">
        <v>0</v>
      </c>
      <c r="L47" s="102">
        <v>1252000</v>
      </c>
      <c r="M47" s="102">
        <v>0</v>
      </c>
      <c r="N47" s="116"/>
      <c r="O47" s="116"/>
      <c r="P47" s="116"/>
      <c r="Q47" s="116"/>
      <c r="R47" s="116"/>
      <c r="S47" s="116"/>
      <c r="T47" s="116"/>
      <c r="U47" s="116"/>
      <c r="V47" s="116">
        <v>110000</v>
      </c>
      <c r="W47" s="116"/>
      <c r="X47" s="116">
        <v>1000000</v>
      </c>
      <c r="Y47" s="116"/>
      <c r="Z47" s="116"/>
      <c r="AA47" s="116"/>
      <c r="AB47" s="116">
        <v>142000</v>
      </c>
      <c r="AC47" s="116"/>
      <c r="AD47" s="177">
        <f t="shared" si="6"/>
        <v>1252000</v>
      </c>
    </row>
    <row r="48" spans="1:30" s="68" customFormat="1">
      <c r="A48" s="111" t="s">
        <v>349</v>
      </c>
      <c r="B48" s="112" t="s">
        <v>395</v>
      </c>
      <c r="C48" s="112"/>
      <c r="D48" s="112"/>
      <c r="E48" s="112" t="s">
        <v>396</v>
      </c>
      <c r="F48" s="113">
        <v>0</v>
      </c>
      <c r="G48" s="113">
        <v>0</v>
      </c>
      <c r="H48" s="113">
        <v>2425000</v>
      </c>
      <c r="I48" s="113">
        <v>0</v>
      </c>
      <c r="J48" s="113">
        <v>0</v>
      </c>
      <c r="K48" s="113">
        <v>0</v>
      </c>
      <c r="L48" s="79">
        <v>2425000</v>
      </c>
      <c r="M48" s="113">
        <v>0</v>
      </c>
    </row>
    <row r="49" spans="1:30" s="68" customFormat="1">
      <c r="A49" s="111" t="s">
        <v>397</v>
      </c>
      <c r="B49" s="112" t="s">
        <v>398</v>
      </c>
      <c r="C49" s="112"/>
      <c r="D49" s="112"/>
      <c r="E49" s="112" t="s">
        <v>399</v>
      </c>
      <c r="F49" s="113">
        <v>0</v>
      </c>
      <c r="G49" s="113">
        <v>0</v>
      </c>
      <c r="H49" s="113">
        <v>4401617</v>
      </c>
      <c r="I49" s="113">
        <v>0</v>
      </c>
      <c r="J49" s="113">
        <v>0</v>
      </c>
      <c r="K49" s="113">
        <v>0</v>
      </c>
      <c r="L49" s="79">
        <v>4401617</v>
      </c>
      <c r="M49" s="113">
        <v>0</v>
      </c>
    </row>
    <row r="50" spans="1:30" s="68" customFormat="1">
      <c r="A50" s="111" t="s">
        <v>397</v>
      </c>
      <c r="B50" s="112" t="s">
        <v>400</v>
      </c>
      <c r="C50" s="112"/>
      <c r="D50" s="112"/>
      <c r="E50" s="112" t="s">
        <v>401</v>
      </c>
      <c r="F50" s="113">
        <v>0</v>
      </c>
      <c r="G50" s="113">
        <v>0</v>
      </c>
      <c r="H50" s="113">
        <v>12672150</v>
      </c>
      <c r="I50" s="113">
        <v>0</v>
      </c>
      <c r="J50" s="113">
        <v>0</v>
      </c>
      <c r="K50" s="113">
        <v>0</v>
      </c>
      <c r="L50" s="79">
        <v>12672150</v>
      </c>
      <c r="M50" s="113">
        <v>0</v>
      </c>
    </row>
    <row r="51" spans="1:30" s="68" customFormat="1">
      <c r="A51" s="111" t="s">
        <v>397</v>
      </c>
      <c r="B51" s="112" t="s">
        <v>402</v>
      </c>
      <c r="C51" s="112"/>
      <c r="D51" s="112"/>
      <c r="E51" s="112" t="s">
        <v>403</v>
      </c>
      <c r="F51" s="113">
        <v>0</v>
      </c>
      <c r="G51" s="113">
        <v>0</v>
      </c>
      <c r="H51" s="113">
        <v>6776150</v>
      </c>
      <c r="I51" s="113">
        <v>0</v>
      </c>
      <c r="J51" s="113">
        <v>0</v>
      </c>
      <c r="K51" s="113">
        <v>0</v>
      </c>
      <c r="L51" s="79">
        <v>6776150</v>
      </c>
      <c r="M51" s="113">
        <v>0</v>
      </c>
    </row>
    <row r="52" spans="1:30">
      <c r="A52" s="105" t="s">
        <v>404</v>
      </c>
      <c r="B52" s="109"/>
      <c r="C52" s="109"/>
      <c r="D52" s="109"/>
      <c r="E52" s="106"/>
      <c r="F52" s="102">
        <v>0</v>
      </c>
      <c r="G52" s="102">
        <v>0</v>
      </c>
      <c r="H52" s="102">
        <v>176044616</v>
      </c>
      <c r="I52" s="102">
        <v>0</v>
      </c>
      <c r="J52" s="102">
        <v>0</v>
      </c>
      <c r="K52" s="102">
        <v>0</v>
      </c>
      <c r="L52" s="102">
        <v>176044616</v>
      </c>
      <c r="M52" s="102">
        <v>0</v>
      </c>
    </row>
    <row r="53" spans="1:30">
      <c r="A53" s="105" t="s">
        <v>257</v>
      </c>
      <c r="B53" s="109"/>
      <c r="C53" s="109"/>
      <c r="D53" s="109"/>
      <c r="E53" s="106"/>
      <c r="F53" s="102">
        <v>0</v>
      </c>
      <c r="G53" s="102">
        <v>0</v>
      </c>
      <c r="H53" s="102">
        <v>176044616</v>
      </c>
      <c r="I53" s="102">
        <v>0</v>
      </c>
      <c r="J53" s="102">
        <v>0</v>
      </c>
      <c r="K53" s="102">
        <v>0</v>
      </c>
      <c r="L53" s="102">
        <v>176044616</v>
      </c>
      <c r="M53" s="102">
        <v>0</v>
      </c>
    </row>
    <row r="54" spans="1:30">
      <c r="A54" s="105" t="s">
        <v>258</v>
      </c>
      <c r="B54" s="109"/>
      <c r="C54" s="109"/>
      <c r="D54" s="109"/>
      <c r="E54" s="106"/>
      <c r="F54" s="102">
        <v>0</v>
      </c>
      <c r="G54" s="102">
        <v>0</v>
      </c>
      <c r="H54" s="102">
        <v>176044616</v>
      </c>
      <c r="I54" s="102">
        <v>0</v>
      </c>
      <c r="J54" s="102">
        <v>0</v>
      </c>
      <c r="K54" s="102">
        <v>0</v>
      </c>
      <c r="L54" s="102">
        <v>176044616</v>
      </c>
      <c r="M54" s="102">
        <v>0</v>
      </c>
    </row>
    <row r="55" spans="1:30">
      <c r="N55" s="66">
        <f>N18+N19+N20+N21+N22+N23+N24+N25+N26+N27+N28+N29+N30+N31+N32+N33+N34+N35+N36+N37+N38+N39+N40+N41+N42+N43+N44+N45+N46+N47</f>
        <v>75514320</v>
      </c>
      <c r="O55" s="96">
        <f t="shared" ref="O55:AD55" si="7">O18+O19+O20+O21+O22+O23+O24+O25+O26+O27+O28+O29+O30+O31+O32+O33+O34+O35+O36+O37+O38+O39+O40+O41+O42+O43+O44+O45+O46+O47</f>
        <v>44035912</v>
      </c>
      <c r="P55" s="96">
        <f t="shared" si="7"/>
        <v>2530000</v>
      </c>
      <c r="Q55" s="96">
        <f t="shared" si="7"/>
        <v>330300</v>
      </c>
      <c r="R55" s="96">
        <f t="shared" si="7"/>
        <v>12744973</v>
      </c>
      <c r="S55" s="96">
        <f t="shared" si="7"/>
        <v>0</v>
      </c>
      <c r="T55" s="96">
        <f t="shared" si="7"/>
        <v>60000</v>
      </c>
      <c r="U55" s="96">
        <f t="shared" si="7"/>
        <v>34000000</v>
      </c>
      <c r="V55" s="96">
        <f t="shared" si="7"/>
        <v>9570000</v>
      </c>
      <c r="W55" s="96">
        <f t="shared" si="7"/>
        <v>0</v>
      </c>
      <c r="X55" s="96">
        <f t="shared" si="7"/>
        <v>9076800</v>
      </c>
      <c r="Y55" s="96">
        <f t="shared" si="7"/>
        <v>394200</v>
      </c>
      <c r="Z55" s="96">
        <f t="shared" si="7"/>
        <v>0</v>
      </c>
      <c r="AA55" s="96">
        <f t="shared" si="7"/>
        <v>0</v>
      </c>
      <c r="AB55" s="96">
        <f t="shared" si="7"/>
        <v>8355480</v>
      </c>
      <c r="AC55" s="96">
        <f t="shared" si="7"/>
        <v>0</v>
      </c>
      <c r="AD55" s="66">
        <f t="shared" si="7"/>
        <v>196611985</v>
      </c>
    </row>
    <row r="56" spans="1:30">
      <c r="L56" s="110" t="s">
        <v>368</v>
      </c>
    </row>
    <row r="57" spans="1:30">
      <c r="E57" s="103" t="s">
        <v>248</v>
      </c>
      <c r="L57" s="103" t="s">
        <v>249</v>
      </c>
    </row>
    <row r="58" spans="1:30">
      <c r="E58" s="103" t="s">
        <v>250</v>
      </c>
      <c r="L58" s="103" t="s">
        <v>251</v>
      </c>
    </row>
    <row r="60" spans="1:30">
      <c r="L60" s="67">
        <f>L18+L19+L20+L21+L22+L23+L24+L25+L26+L27+L28+L29+L30+L31+L32+L33+L34+L36+L37+L38+L39+L40+L41+L42+L43+L44+L45+L46+L47</f>
        <v>120846865</v>
      </c>
    </row>
    <row r="63" spans="1:30">
      <c r="E63" s="103" t="s">
        <v>252</v>
      </c>
      <c r="L63" s="103" t="s">
        <v>253</v>
      </c>
    </row>
  </sheetData>
  <pageMargins left="0.2" right="0.2" top="0.25" bottom="0.2" header="0.3" footer="0.3"/>
  <pageSetup paperSize="9" scale="65" orientation="landscape"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1"/>
  <sheetViews>
    <sheetView topLeftCell="A19" workbookViewId="0">
      <selection activeCell="E25" sqref="E25"/>
    </sheetView>
  </sheetViews>
  <sheetFormatPr defaultColWidth="9.140625" defaultRowHeight="15"/>
  <cols>
    <col min="2" max="2" width="14.42578125" customWidth="1"/>
    <col min="3" max="3" width="6.140625" customWidth="1"/>
    <col min="4" max="4" width="8.85546875" customWidth="1"/>
    <col min="5" max="5" width="93.140625" customWidth="1"/>
    <col min="6" max="6" width="6.5703125" hidden="1" customWidth="1"/>
    <col min="7" max="7" width="6.42578125" hidden="1" customWidth="1"/>
    <col min="8" max="8" width="12.5703125" hidden="1" customWidth="1"/>
    <col min="9" max="9" width="0" hidden="1" customWidth="1"/>
    <col min="10" max="10" width="12.5703125" customWidth="1"/>
    <col min="11" max="13" width="0" hidden="1" customWidth="1"/>
    <col min="16" max="18" width="14.28515625" bestFit="1" customWidth="1"/>
    <col min="19" max="19" width="13.28515625" bestFit="1" customWidth="1"/>
  </cols>
  <sheetData>
    <row r="1" spans="1:16">
      <c r="A1" s="103" t="s">
        <v>225</v>
      </c>
      <c r="O1" t="s">
        <v>23</v>
      </c>
      <c r="P1" s="116">
        <f>SUMIFS($J:$J,$C:$C,O1)</f>
        <v>663200</v>
      </c>
    </row>
    <row r="2" spans="1:16">
      <c r="A2" s="103" t="s">
        <v>225</v>
      </c>
      <c r="O2" t="s">
        <v>42</v>
      </c>
      <c r="P2" s="116">
        <f t="shared" ref="P2:P9" si="0">SUMIFS($J:$J,$C:$C,O2)</f>
        <v>23674040</v>
      </c>
    </row>
    <row r="3" spans="1:16">
      <c r="O3" t="s">
        <v>63</v>
      </c>
      <c r="P3" s="116">
        <f t="shared" si="0"/>
        <v>29189400</v>
      </c>
    </row>
    <row r="4" spans="1:16" ht="18.75">
      <c r="A4" s="104" t="s">
        <v>254</v>
      </c>
      <c r="O4" t="s">
        <v>70</v>
      </c>
      <c r="P4" s="116">
        <f t="shared" si="0"/>
        <v>34077080</v>
      </c>
    </row>
    <row r="5" spans="1:16">
      <c r="A5" s="103" t="s">
        <v>309</v>
      </c>
      <c r="O5" t="s">
        <v>79</v>
      </c>
      <c r="P5" s="116">
        <f t="shared" si="0"/>
        <v>17476600</v>
      </c>
    </row>
    <row r="6" spans="1:16">
      <c r="O6" t="s">
        <v>87</v>
      </c>
      <c r="P6" s="116">
        <f t="shared" si="0"/>
        <v>7561920</v>
      </c>
    </row>
    <row r="7" spans="1:16">
      <c r="A7" s="105" t="s">
        <v>226</v>
      </c>
      <c r="B7" s="106"/>
      <c r="C7" s="114"/>
      <c r="D7" s="114"/>
      <c r="E7" s="107" t="s">
        <v>227</v>
      </c>
      <c r="F7" s="105" t="s">
        <v>255</v>
      </c>
      <c r="G7" s="106"/>
      <c r="H7" s="105" t="s">
        <v>228</v>
      </c>
      <c r="I7" s="106"/>
      <c r="J7" s="105" t="s">
        <v>229</v>
      </c>
      <c r="K7" s="106"/>
      <c r="L7" s="105" t="s">
        <v>230</v>
      </c>
      <c r="M7" s="106"/>
      <c r="N7" s="103"/>
      <c r="O7" t="s">
        <v>92</v>
      </c>
      <c r="P7" s="116">
        <f t="shared" si="0"/>
        <v>3862400</v>
      </c>
    </row>
    <row r="8" spans="1:16">
      <c r="A8" s="99" t="s">
        <v>231</v>
      </c>
      <c r="B8" s="99" t="s">
        <v>232</v>
      </c>
      <c r="C8" s="115"/>
      <c r="D8" s="115"/>
      <c r="E8" s="108"/>
      <c r="F8" s="99" t="s">
        <v>233</v>
      </c>
      <c r="G8" s="99" t="s">
        <v>234</v>
      </c>
      <c r="H8" s="99" t="s">
        <v>233</v>
      </c>
      <c r="I8" s="99" t="s">
        <v>234</v>
      </c>
      <c r="J8" s="99" t="s">
        <v>233</v>
      </c>
      <c r="K8" s="99" t="s">
        <v>234</v>
      </c>
      <c r="L8" s="99" t="s">
        <v>233</v>
      </c>
      <c r="M8" s="99" t="s">
        <v>234</v>
      </c>
      <c r="N8" s="119"/>
      <c r="O8" t="s">
        <v>20</v>
      </c>
      <c r="P8" s="116">
        <f t="shared" si="0"/>
        <v>0</v>
      </c>
    </row>
    <row r="9" spans="1:16">
      <c r="A9" s="105" t="s">
        <v>235</v>
      </c>
      <c r="B9" s="109"/>
      <c r="C9" s="109"/>
      <c r="D9" s="109"/>
      <c r="E9" s="109"/>
      <c r="F9" s="109"/>
      <c r="G9" s="109"/>
      <c r="H9" s="109"/>
      <c r="I9" s="109"/>
      <c r="J9" s="109"/>
      <c r="K9" s="109"/>
      <c r="L9" s="109"/>
      <c r="M9" s="106"/>
      <c r="N9" s="103"/>
      <c r="O9" t="s">
        <v>109</v>
      </c>
      <c r="P9" s="116">
        <f t="shared" si="0"/>
        <v>0</v>
      </c>
    </row>
    <row r="10" spans="1:16" s="68" customFormat="1">
      <c r="A10" s="111" t="s">
        <v>310</v>
      </c>
      <c r="B10" s="112" t="s">
        <v>311</v>
      </c>
      <c r="C10" s="112" t="str">
        <f>RIGHT(D10,3)</f>
        <v>P04</v>
      </c>
      <c r="D10" s="112" t="str">
        <f>LEFT(E10,7)</f>
        <v xml:space="preserve">  - P04</v>
      </c>
      <c r="E10" s="112" t="s">
        <v>312</v>
      </c>
      <c r="F10" s="102">
        <v>0</v>
      </c>
      <c r="G10" s="102">
        <v>0</v>
      </c>
      <c r="H10" s="102">
        <v>2259040</v>
      </c>
      <c r="I10" s="102">
        <v>0</v>
      </c>
      <c r="J10" s="113">
        <v>2259040</v>
      </c>
      <c r="K10" s="102">
        <v>0</v>
      </c>
      <c r="L10" s="102">
        <v>0</v>
      </c>
      <c r="M10" s="102">
        <v>0</v>
      </c>
      <c r="N10" s="122"/>
    </row>
    <row r="11" spans="1:16" s="68" customFormat="1">
      <c r="A11" s="111" t="s">
        <v>310</v>
      </c>
      <c r="B11" s="112" t="s">
        <v>313</v>
      </c>
      <c r="C11" s="112" t="str">
        <f t="shared" ref="C11:C36" si="1">RIGHT(D11,3)</f>
        <v>P04</v>
      </c>
      <c r="D11" s="112" t="str">
        <f t="shared" ref="D11:D36" si="2">LEFT(E11,7)</f>
        <v xml:space="preserve">  - P04</v>
      </c>
      <c r="E11" s="112" t="s">
        <v>314</v>
      </c>
      <c r="F11" s="102">
        <v>0</v>
      </c>
      <c r="G11" s="102">
        <v>0</v>
      </c>
      <c r="H11" s="102">
        <v>6034240</v>
      </c>
      <c r="I11" s="102">
        <v>0</v>
      </c>
      <c r="J11" s="113">
        <v>6034240</v>
      </c>
      <c r="K11" s="102">
        <v>0</v>
      </c>
      <c r="L11" s="102">
        <v>0</v>
      </c>
      <c r="M11" s="102">
        <v>0</v>
      </c>
      <c r="N11" s="122"/>
    </row>
    <row r="12" spans="1:16">
      <c r="A12" s="100" t="s">
        <v>310</v>
      </c>
      <c r="B12" s="101" t="s">
        <v>315</v>
      </c>
      <c r="C12" s="101" t="str">
        <f t="shared" si="1"/>
        <v>P04</v>
      </c>
      <c r="D12" s="101" t="str">
        <f t="shared" si="2"/>
        <v xml:space="preserve">  - P04</v>
      </c>
      <c r="E12" s="101" t="s">
        <v>316</v>
      </c>
      <c r="F12" s="102">
        <v>0</v>
      </c>
      <c r="G12" s="102">
        <v>0</v>
      </c>
      <c r="H12" s="102">
        <v>3997440</v>
      </c>
      <c r="I12" s="102">
        <v>0</v>
      </c>
      <c r="J12" s="102">
        <v>3997440</v>
      </c>
      <c r="K12" s="102">
        <v>0</v>
      </c>
      <c r="L12" s="102">
        <v>0</v>
      </c>
      <c r="M12" s="102">
        <v>0</v>
      </c>
      <c r="N12" s="120"/>
    </row>
    <row r="13" spans="1:16">
      <c r="A13" s="100" t="s">
        <v>310</v>
      </c>
      <c r="B13" s="101" t="s">
        <v>317</v>
      </c>
      <c r="C13" s="101" t="str">
        <f t="shared" si="1"/>
        <v>P06</v>
      </c>
      <c r="D13" s="101" t="str">
        <f t="shared" si="2"/>
        <v xml:space="preserve">  - P06</v>
      </c>
      <c r="E13" s="101" t="s">
        <v>318</v>
      </c>
      <c r="F13" s="102">
        <v>0</v>
      </c>
      <c r="G13" s="102">
        <v>0</v>
      </c>
      <c r="H13" s="102">
        <v>1684000</v>
      </c>
      <c r="I13" s="102">
        <v>0</v>
      </c>
      <c r="J13" s="102">
        <v>1684000</v>
      </c>
      <c r="K13" s="102">
        <v>0</v>
      </c>
      <c r="L13" s="102">
        <v>0</v>
      </c>
      <c r="M13" s="102">
        <v>0</v>
      </c>
      <c r="N13" s="120"/>
    </row>
    <row r="14" spans="1:16">
      <c r="A14" s="100" t="s">
        <v>310</v>
      </c>
      <c r="B14" s="101" t="s">
        <v>319</v>
      </c>
      <c r="C14" s="101" t="str">
        <f t="shared" si="1"/>
        <v>P06</v>
      </c>
      <c r="D14" s="101" t="str">
        <f t="shared" si="2"/>
        <v xml:space="preserve">  - P06</v>
      </c>
      <c r="E14" s="101" t="s">
        <v>320</v>
      </c>
      <c r="F14" s="102">
        <v>0</v>
      </c>
      <c r="G14" s="102">
        <v>0</v>
      </c>
      <c r="H14" s="102">
        <v>509200</v>
      </c>
      <c r="I14" s="102">
        <v>0</v>
      </c>
      <c r="J14" s="102">
        <v>509200</v>
      </c>
      <c r="K14" s="102">
        <v>0</v>
      </c>
      <c r="L14" s="102">
        <v>0</v>
      </c>
      <c r="M14" s="102">
        <v>0</v>
      </c>
      <c r="N14" s="120"/>
    </row>
    <row r="15" spans="1:16" s="91" customFormat="1" ht="36" customHeight="1">
      <c r="A15" s="80" t="s">
        <v>321</v>
      </c>
      <c r="B15" s="81" t="s">
        <v>322</v>
      </c>
      <c r="C15" s="81" t="str">
        <f t="shared" si="1"/>
        <v>P02</v>
      </c>
      <c r="D15" s="81" t="str">
        <f t="shared" si="2"/>
        <v xml:space="preserve">  - P02</v>
      </c>
      <c r="E15" s="93" t="s">
        <v>323</v>
      </c>
      <c r="F15" s="79">
        <v>0</v>
      </c>
      <c r="G15" s="79">
        <v>0</v>
      </c>
      <c r="H15" s="79">
        <v>663200</v>
      </c>
      <c r="I15" s="79">
        <v>0</v>
      </c>
      <c r="J15" s="79">
        <v>663200</v>
      </c>
      <c r="K15" s="79">
        <v>0</v>
      </c>
      <c r="L15" s="79">
        <v>0</v>
      </c>
      <c r="M15" s="79">
        <v>0</v>
      </c>
      <c r="N15" s="121">
        <v>66000</v>
      </c>
      <c r="O15" s="91" t="s">
        <v>405</v>
      </c>
      <c r="P15" s="91" t="s">
        <v>406</v>
      </c>
    </row>
    <row r="16" spans="1:16" s="68" customFormat="1">
      <c r="A16" s="111" t="s">
        <v>321</v>
      </c>
      <c r="B16" s="112" t="s">
        <v>324</v>
      </c>
      <c r="C16" s="112" t="str">
        <f t="shared" si="1"/>
        <v>P04</v>
      </c>
      <c r="D16" s="112" t="str">
        <f t="shared" si="2"/>
        <v xml:space="preserve">  - P04</v>
      </c>
      <c r="E16" s="112" t="s">
        <v>325</v>
      </c>
      <c r="F16" s="102">
        <v>0</v>
      </c>
      <c r="G16" s="102">
        <v>0</v>
      </c>
      <c r="H16" s="102">
        <v>374000</v>
      </c>
      <c r="I16" s="102">
        <v>0</v>
      </c>
      <c r="J16" s="113">
        <v>374000</v>
      </c>
      <c r="K16" s="102">
        <v>0</v>
      </c>
      <c r="L16" s="102">
        <v>0</v>
      </c>
      <c r="M16" s="102">
        <v>0</v>
      </c>
      <c r="N16" s="122"/>
    </row>
    <row r="17" spans="1:19" s="68" customFormat="1">
      <c r="A17" s="111" t="s">
        <v>321</v>
      </c>
      <c r="B17" s="112" t="s">
        <v>326</v>
      </c>
      <c r="C17" s="112" t="str">
        <f t="shared" si="1"/>
        <v>P04</v>
      </c>
      <c r="D17" s="112" t="str">
        <f t="shared" si="2"/>
        <v xml:space="preserve">  - P04</v>
      </c>
      <c r="E17" s="112" t="s">
        <v>327</v>
      </c>
      <c r="F17" s="102">
        <v>0</v>
      </c>
      <c r="G17" s="102">
        <v>0</v>
      </c>
      <c r="H17" s="102">
        <v>1689200</v>
      </c>
      <c r="I17" s="102">
        <v>0</v>
      </c>
      <c r="J17" s="113">
        <v>1689200</v>
      </c>
      <c r="K17" s="102">
        <v>0</v>
      </c>
      <c r="L17" s="102">
        <v>0</v>
      </c>
      <c r="M17" s="102">
        <v>0</v>
      </c>
      <c r="N17" s="122"/>
    </row>
    <row r="18" spans="1:19" s="68" customFormat="1">
      <c r="A18" s="111" t="s">
        <v>321</v>
      </c>
      <c r="B18" s="112" t="s">
        <v>328</v>
      </c>
      <c r="C18" s="112" t="str">
        <f t="shared" si="1"/>
        <v>P04</v>
      </c>
      <c r="D18" s="112" t="str">
        <f t="shared" si="2"/>
        <v xml:space="preserve">  - P04</v>
      </c>
      <c r="E18" s="112" t="s">
        <v>329</v>
      </c>
      <c r="F18" s="102">
        <v>0</v>
      </c>
      <c r="G18" s="102">
        <v>0</v>
      </c>
      <c r="H18" s="102">
        <v>2366400</v>
      </c>
      <c r="I18" s="102">
        <v>0</v>
      </c>
      <c r="J18" s="113">
        <v>2366400</v>
      </c>
      <c r="K18" s="102">
        <v>0</v>
      </c>
      <c r="L18" s="102">
        <v>0</v>
      </c>
      <c r="M18" s="102">
        <v>0</v>
      </c>
      <c r="N18" s="122"/>
    </row>
    <row r="19" spans="1:19" s="68" customFormat="1">
      <c r="A19" s="111" t="s">
        <v>321</v>
      </c>
      <c r="B19" s="112" t="s">
        <v>330</v>
      </c>
      <c r="C19" s="112" t="str">
        <f t="shared" si="1"/>
        <v>P05</v>
      </c>
      <c r="D19" s="112" t="str">
        <f t="shared" si="2"/>
        <v xml:space="preserve">  - P05</v>
      </c>
      <c r="E19" s="112" t="s">
        <v>331</v>
      </c>
      <c r="F19" s="102">
        <v>0</v>
      </c>
      <c r="G19" s="102">
        <v>0</v>
      </c>
      <c r="H19" s="102">
        <v>8894400</v>
      </c>
      <c r="I19" s="102">
        <v>0</v>
      </c>
      <c r="J19" s="113">
        <v>8894400</v>
      </c>
      <c r="K19" s="102">
        <v>0</v>
      </c>
      <c r="L19" s="102">
        <v>0</v>
      </c>
      <c r="M19" s="102">
        <v>0</v>
      </c>
      <c r="N19" s="122"/>
    </row>
    <row r="20" spans="1:19" s="68" customFormat="1">
      <c r="A20" s="111" t="s">
        <v>321</v>
      </c>
      <c r="B20" s="112" t="s">
        <v>332</v>
      </c>
      <c r="C20" s="112" t="str">
        <f t="shared" si="1"/>
        <v>P05</v>
      </c>
      <c r="D20" s="112" t="str">
        <f t="shared" si="2"/>
        <v xml:space="preserve">  - P05</v>
      </c>
      <c r="E20" s="112" t="s">
        <v>333</v>
      </c>
      <c r="F20" s="102">
        <v>0</v>
      </c>
      <c r="G20" s="102">
        <v>0</v>
      </c>
      <c r="H20" s="102">
        <v>2103000</v>
      </c>
      <c r="I20" s="102">
        <v>0</v>
      </c>
      <c r="J20" s="113">
        <v>2103000</v>
      </c>
      <c r="K20" s="102">
        <v>0</v>
      </c>
      <c r="L20" s="102">
        <v>0</v>
      </c>
      <c r="M20" s="102">
        <v>0</v>
      </c>
      <c r="N20" s="122"/>
    </row>
    <row r="21" spans="1:19" s="68" customFormat="1">
      <c r="A21" s="111" t="s">
        <v>321</v>
      </c>
      <c r="B21" s="112" t="s">
        <v>334</v>
      </c>
      <c r="C21" s="112" t="str">
        <f t="shared" si="1"/>
        <v>P05</v>
      </c>
      <c r="D21" s="112" t="str">
        <f t="shared" si="2"/>
        <v xml:space="preserve">  - P05</v>
      </c>
      <c r="E21" s="112" t="s">
        <v>335</v>
      </c>
      <c r="F21" s="102">
        <v>0</v>
      </c>
      <c r="G21" s="102">
        <v>0</v>
      </c>
      <c r="H21" s="102">
        <v>6749280</v>
      </c>
      <c r="I21" s="102">
        <v>0</v>
      </c>
      <c r="J21" s="113">
        <v>6749280</v>
      </c>
      <c r="K21" s="102">
        <v>0</v>
      </c>
      <c r="L21" s="102">
        <v>0</v>
      </c>
      <c r="M21" s="102">
        <v>0</v>
      </c>
      <c r="N21" s="122"/>
    </row>
    <row r="22" spans="1:19">
      <c r="A22" s="100" t="s">
        <v>321</v>
      </c>
      <c r="B22" s="101" t="s">
        <v>336</v>
      </c>
      <c r="C22" s="101" t="str">
        <f t="shared" si="1"/>
        <v>P05</v>
      </c>
      <c r="D22" s="101" t="str">
        <f t="shared" si="2"/>
        <v xml:space="preserve">  - P05</v>
      </c>
      <c r="E22" s="101" t="s">
        <v>337</v>
      </c>
      <c r="F22" s="102">
        <v>0</v>
      </c>
      <c r="G22" s="102">
        <v>0</v>
      </c>
      <c r="H22" s="102">
        <v>16330400</v>
      </c>
      <c r="I22" s="102">
        <v>0</v>
      </c>
      <c r="J22" s="102">
        <v>16330400</v>
      </c>
      <c r="K22" s="102">
        <v>0</v>
      </c>
      <c r="L22" s="102">
        <v>0</v>
      </c>
      <c r="M22" s="102">
        <v>0</v>
      </c>
      <c r="N22" s="120"/>
    </row>
    <row r="23" spans="1:19">
      <c r="A23" s="100" t="s">
        <v>321</v>
      </c>
      <c r="B23" s="101" t="s">
        <v>338</v>
      </c>
      <c r="C23" s="101" t="str">
        <f t="shared" si="1"/>
        <v>P06</v>
      </c>
      <c r="D23" s="101" t="str">
        <f t="shared" si="2"/>
        <v xml:space="preserve">  - P06</v>
      </c>
      <c r="E23" s="101" t="s">
        <v>339</v>
      </c>
      <c r="F23" s="102">
        <v>0</v>
      </c>
      <c r="G23" s="102">
        <v>0</v>
      </c>
      <c r="H23" s="102">
        <v>2643600</v>
      </c>
      <c r="I23" s="102">
        <v>0</v>
      </c>
      <c r="J23" s="102">
        <v>2643600</v>
      </c>
      <c r="K23" s="102">
        <v>0</v>
      </c>
      <c r="L23" s="102">
        <v>0</v>
      </c>
      <c r="M23" s="102">
        <v>0</v>
      </c>
      <c r="N23" s="120"/>
    </row>
    <row r="24" spans="1:19">
      <c r="A24" s="100" t="s">
        <v>321</v>
      </c>
      <c r="B24" s="101" t="s">
        <v>340</v>
      </c>
      <c r="C24" s="101" t="str">
        <f t="shared" si="1"/>
        <v>P06</v>
      </c>
      <c r="D24" s="101" t="str">
        <f t="shared" si="2"/>
        <v xml:space="preserve">  - P06</v>
      </c>
      <c r="E24" s="101" t="s">
        <v>341</v>
      </c>
      <c r="F24" s="102">
        <v>0</v>
      </c>
      <c r="G24" s="102">
        <v>0</v>
      </c>
      <c r="H24" s="102">
        <v>876000</v>
      </c>
      <c r="I24" s="102">
        <v>0</v>
      </c>
      <c r="J24" s="102">
        <v>876000</v>
      </c>
      <c r="K24" s="102">
        <v>0</v>
      </c>
      <c r="L24" s="102">
        <v>0</v>
      </c>
      <c r="M24" s="102">
        <v>0</v>
      </c>
      <c r="N24" s="120"/>
    </row>
    <row r="25" spans="1:19">
      <c r="A25" s="100" t="s">
        <v>321</v>
      </c>
      <c r="B25" s="101" t="s">
        <v>342</v>
      </c>
      <c r="C25" s="101" t="str">
        <f t="shared" si="1"/>
        <v>P06</v>
      </c>
      <c r="D25" s="101" t="str">
        <f t="shared" si="2"/>
        <v xml:space="preserve">  - P06</v>
      </c>
      <c r="E25" s="101" t="s">
        <v>343</v>
      </c>
      <c r="F25" s="102">
        <v>0</v>
      </c>
      <c r="G25" s="102">
        <v>0</v>
      </c>
      <c r="H25" s="102">
        <v>6355400</v>
      </c>
      <c r="I25" s="102">
        <v>0</v>
      </c>
      <c r="J25" s="102">
        <v>6355400</v>
      </c>
      <c r="K25" s="102">
        <v>0</v>
      </c>
      <c r="L25" s="102">
        <v>0</v>
      </c>
      <c r="M25" s="102">
        <v>0</v>
      </c>
      <c r="N25" s="120"/>
    </row>
    <row r="26" spans="1:19">
      <c r="A26" s="100" t="s">
        <v>321</v>
      </c>
      <c r="B26" s="101" t="s">
        <v>344</v>
      </c>
      <c r="C26" s="101" t="str">
        <f t="shared" si="1"/>
        <v>P06</v>
      </c>
      <c r="D26" s="101" t="str">
        <f t="shared" si="2"/>
        <v xml:space="preserve">  - P06</v>
      </c>
      <c r="E26" s="101" t="s">
        <v>345</v>
      </c>
      <c r="F26" s="102">
        <v>0</v>
      </c>
      <c r="G26" s="102">
        <v>0</v>
      </c>
      <c r="H26" s="102">
        <v>5408400</v>
      </c>
      <c r="I26" s="102">
        <v>0</v>
      </c>
      <c r="J26" s="102">
        <v>5408400</v>
      </c>
      <c r="K26" s="102">
        <v>0</v>
      </c>
      <c r="L26" s="102">
        <v>0</v>
      </c>
      <c r="M26" s="102">
        <v>0</v>
      </c>
      <c r="N26" s="120"/>
    </row>
    <row r="27" spans="1:19" s="91" customFormat="1">
      <c r="A27" s="80" t="s">
        <v>346</v>
      </c>
      <c r="B27" s="81" t="s">
        <v>347</v>
      </c>
      <c r="C27" s="81" t="str">
        <f t="shared" si="1"/>
        <v>P08</v>
      </c>
      <c r="D27" s="81" t="str">
        <f t="shared" si="2"/>
        <v xml:space="preserve">  - P08</v>
      </c>
      <c r="E27" s="81" t="s">
        <v>348</v>
      </c>
      <c r="F27" s="102">
        <v>0</v>
      </c>
      <c r="G27" s="102">
        <v>0</v>
      </c>
      <c r="H27" s="102">
        <v>3304800</v>
      </c>
      <c r="I27" s="102">
        <v>0</v>
      </c>
      <c r="J27" s="79">
        <v>3304800</v>
      </c>
      <c r="K27" s="102">
        <v>0</v>
      </c>
      <c r="L27" s="102">
        <v>0</v>
      </c>
      <c r="M27" s="102">
        <v>0</v>
      </c>
      <c r="N27" s="121">
        <v>600000</v>
      </c>
    </row>
    <row r="28" spans="1:19" s="91" customFormat="1" ht="41.25" customHeight="1">
      <c r="A28" s="80" t="s">
        <v>349</v>
      </c>
      <c r="B28" s="81" t="s">
        <v>350</v>
      </c>
      <c r="C28" s="81" t="str">
        <f t="shared" si="1"/>
        <v>P03</v>
      </c>
      <c r="D28" s="81" t="str">
        <f t="shared" si="2"/>
        <v xml:space="preserve">  - P03</v>
      </c>
      <c r="E28" s="93" t="s">
        <v>351</v>
      </c>
      <c r="F28" s="79">
        <v>0</v>
      </c>
      <c r="G28" s="79">
        <v>0</v>
      </c>
      <c r="H28" s="79">
        <v>23674040</v>
      </c>
      <c r="I28" s="79">
        <v>0</v>
      </c>
      <c r="J28" s="79">
        <v>23674040</v>
      </c>
      <c r="K28" s="79">
        <v>0</v>
      </c>
      <c r="L28" s="79">
        <v>0</v>
      </c>
      <c r="M28" s="79">
        <v>0</v>
      </c>
      <c r="N28" s="118">
        <v>9393520</v>
      </c>
      <c r="O28" s="118">
        <v>9393520</v>
      </c>
      <c r="P28" s="91" t="s">
        <v>406</v>
      </c>
      <c r="Q28" s="92">
        <f>J28+'338888-CTV'!L36</f>
        <v>58906740</v>
      </c>
      <c r="R28" s="92">
        <v>49513220</v>
      </c>
      <c r="S28" s="92">
        <f>Q28-R28</f>
        <v>9393520</v>
      </c>
    </row>
    <row r="29" spans="1:19" s="68" customFormat="1">
      <c r="A29" s="111" t="s">
        <v>349</v>
      </c>
      <c r="B29" s="112" t="s">
        <v>352</v>
      </c>
      <c r="C29" s="112" t="str">
        <f t="shared" si="1"/>
        <v>P04</v>
      </c>
      <c r="D29" s="112" t="str">
        <f t="shared" si="2"/>
        <v xml:space="preserve">  - P04</v>
      </c>
      <c r="E29" s="112" t="s">
        <v>353</v>
      </c>
      <c r="F29" s="102">
        <v>0</v>
      </c>
      <c r="G29" s="102">
        <v>0</v>
      </c>
      <c r="H29" s="102">
        <v>11284040</v>
      </c>
      <c r="I29" s="102">
        <v>0</v>
      </c>
      <c r="J29" s="113">
        <v>11284040</v>
      </c>
      <c r="K29" s="102">
        <v>0</v>
      </c>
      <c r="L29" s="102">
        <v>0</v>
      </c>
      <c r="M29" s="102">
        <v>0</v>
      </c>
      <c r="N29" s="122"/>
    </row>
    <row r="30" spans="1:19" s="68" customFormat="1">
      <c r="A30" s="111" t="s">
        <v>349</v>
      </c>
      <c r="B30" s="112" t="s">
        <v>354</v>
      </c>
      <c r="C30" s="112" t="str">
        <f t="shared" si="1"/>
        <v>P04</v>
      </c>
      <c r="D30" s="112" t="str">
        <f t="shared" si="2"/>
        <v xml:space="preserve">  - P04</v>
      </c>
      <c r="E30" s="112" t="s">
        <v>355</v>
      </c>
      <c r="F30" s="102">
        <v>0</v>
      </c>
      <c r="G30" s="102">
        <v>0</v>
      </c>
      <c r="H30" s="102">
        <v>1185040</v>
      </c>
      <c r="I30" s="102">
        <v>0</v>
      </c>
      <c r="J30" s="113">
        <v>1185040</v>
      </c>
      <c r="K30" s="102">
        <v>0</v>
      </c>
      <c r="L30" s="102">
        <v>0</v>
      </c>
      <c r="M30" s="102">
        <v>0</v>
      </c>
      <c r="N30" s="122"/>
    </row>
    <row r="31" spans="1:19" s="68" customFormat="1">
      <c r="A31" s="111" t="s">
        <v>349</v>
      </c>
      <c r="B31" s="112" t="s">
        <v>356</v>
      </c>
      <c r="C31" s="112" t="str">
        <f t="shared" si="1"/>
        <v>P07</v>
      </c>
      <c r="D31" s="112" t="str">
        <f t="shared" si="2"/>
        <v xml:space="preserve">  - P07</v>
      </c>
      <c r="E31" s="112" t="s">
        <v>357</v>
      </c>
      <c r="F31" s="102">
        <v>0</v>
      </c>
      <c r="G31" s="102">
        <v>0</v>
      </c>
      <c r="H31" s="102">
        <v>66000</v>
      </c>
      <c r="I31" s="102">
        <v>0</v>
      </c>
      <c r="J31" s="113">
        <v>66000</v>
      </c>
      <c r="K31" s="102">
        <v>0</v>
      </c>
      <c r="L31" s="102">
        <v>0</v>
      </c>
      <c r="M31" s="102">
        <v>0</v>
      </c>
      <c r="N31" s="122"/>
    </row>
    <row r="32" spans="1:19" s="68" customFormat="1">
      <c r="A32" s="111" t="s">
        <v>349</v>
      </c>
      <c r="B32" s="112" t="s">
        <v>358</v>
      </c>
      <c r="C32" s="112" t="str">
        <f t="shared" si="1"/>
        <v>P07</v>
      </c>
      <c r="D32" s="112" t="str">
        <f t="shared" si="2"/>
        <v xml:space="preserve">  - P07</v>
      </c>
      <c r="E32" s="112" t="s">
        <v>359</v>
      </c>
      <c r="F32" s="102">
        <v>0</v>
      </c>
      <c r="G32" s="102">
        <v>0</v>
      </c>
      <c r="H32" s="102">
        <v>1471040</v>
      </c>
      <c r="I32" s="102">
        <v>0</v>
      </c>
      <c r="J32" s="113">
        <v>1471040</v>
      </c>
      <c r="K32" s="102">
        <v>0</v>
      </c>
      <c r="L32" s="102">
        <v>0</v>
      </c>
      <c r="M32" s="102">
        <v>0</v>
      </c>
      <c r="N32" s="122"/>
    </row>
    <row r="33" spans="1:14">
      <c r="A33" s="100" t="s">
        <v>349</v>
      </c>
      <c r="B33" s="101" t="s">
        <v>360</v>
      </c>
      <c r="C33" s="101" t="str">
        <f t="shared" si="1"/>
        <v>P07</v>
      </c>
      <c r="D33" s="101" t="str">
        <f t="shared" si="2"/>
        <v xml:space="preserve">  - P07</v>
      </c>
      <c r="E33" s="101" t="s">
        <v>361</v>
      </c>
      <c r="F33" s="102">
        <v>0</v>
      </c>
      <c r="G33" s="102">
        <v>0</v>
      </c>
      <c r="H33" s="102">
        <v>5229680</v>
      </c>
      <c r="I33" s="102">
        <v>0</v>
      </c>
      <c r="J33" s="102">
        <v>5229680</v>
      </c>
      <c r="K33" s="102">
        <v>0</v>
      </c>
      <c r="L33" s="102">
        <v>0</v>
      </c>
      <c r="M33" s="102">
        <v>0</v>
      </c>
      <c r="N33" s="120"/>
    </row>
    <row r="34" spans="1:14">
      <c r="A34" s="100" t="s">
        <v>349</v>
      </c>
      <c r="B34" s="101" t="s">
        <v>362</v>
      </c>
      <c r="C34" s="101" t="str">
        <f t="shared" si="1"/>
        <v>P07</v>
      </c>
      <c r="D34" s="101" t="str">
        <f t="shared" si="2"/>
        <v xml:space="preserve">  - P07</v>
      </c>
      <c r="E34" s="101" t="s">
        <v>363</v>
      </c>
      <c r="F34" s="102">
        <v>0</v>
      </c>
      <c r="G34" s="102">
        <v>0</v>
      </c>
      <c r="H34" s="102">
        <v>715680</v>
      </c>
      <c r="I34" s="102">
        <v>0</v>
      </c>
      <c r="J34" s="102">
        <v>715680</v>
      </c>
      <c r="K34" s="102">
        <v>0</v>
      </c>
      <c r="L34" s="102">
        <v>0</v>
      </c>
      <c r="M34" s="102">
        <v>0</v>
      </c>
      <c r="N34" s="120"/>
    </row>
    <row r="35" spans="1:14">
      <c r="A35" s="100" t="s">
        <v>349</v>
      </c>
      <c r="B35" s="101" t="s">
        <v>364</v>
      </c>
      <c r="C35" s="101" t="str">
        <f t="shared" si="1"/>
        <v>P07</v>
      </c>
      <c r="D35" s="101" t="str">
        <f t="shared" si="2"/>
        <v xml:space="preserve">  - P07</v>
      </c>
      <c r="E35" s="101" t="s">
        <v>365</v>
      </c>
      <c r="F35" s="102">
        <v>0</v>
      </c>
      <c r="G35" s="102">
        <v>0</v>
      </c>
      <c r="H35" s="102">
        <v>79520</v>
      </c>
      <c r="I35" s="102">
        <v>0</v>
      </c>
      <c r="J35" s="102">
        <v>79520</v>
      </c>
      <c r="K35" s="102">
        <v>0</v>
      </c>
      <c r="L35" s="102">
        <v>0</v>
      </c>
      <c r="M35" s="102">
        <v>0</v>
      </c>
      <c r="N35" s="120"/>
    </row>
    <row r="36" spans="1:14">
      <c r="A36" s="100" t="s">
        <v>349</v>
      </c>
      <c r="B36" s="101" t="s">
        <v>366</v>
      </c>
      <c r="C36" s="101" t="str">
        <f t="shared" si="1"/>
        <v>P08</v>
      </c>
      <c r="D36" s="101" t="str">
        <f t="shared" si="2"/>
        <v xml:space="preserve">  - P08</v>
      </c>
      <c r="E36" s="101" t="s">
        <v>367</v>
      </c>
      <c r="F36" s="102">
        <v>0</v>
      </c>
      <c r="G36" s="102">
        <v>0</v>
      </c>
      <c r="H36" s="102">
        <v>557600</v>
      </c>
      <c r="I36" s="102">
        <v>0</v>
      </c>
      <c r="J36" s="102">
        <v>557600</v>
      </c>
      <c r="K36" s="102">
        <v>0</v>
      </c>
      <c r="L36" s="102">
        <v>0</v>
      </c>
      <c r="M36" s="102">
        <v>0</v>
      </c>
      <c r="N36" s="120"/>
    </row>
    <row r="37" spans="1:14">
      <c r="A37" s="105" t="s">
        <v>256</v>
      </c>
      <c r="B37" s="109"/>
      <c r="C37" s="109"/>
      <c r="D37" s="109"/>
      <c r="E37" s="106"/>
      <c r="F37" s="102">
        <v>0</v>
      </c>
      <c r="G37" s="102">
        <v>0</v>
      </c>
      <c r="H37" s="102">
        <v>116504640</v>
      </c>
      <c r="I37" s="102">
        <v>0</v>
      </c>
      <c r="J37" s="102">
        <v>116504640</v>
      </c>
      <c r="K37" s="102">
        <v>0</v>
      </c>
      <c r="L37" s="102">
        <v>0</v>
      </c>
      <c r="M37" s="102">
        <v>0</v>
      </c>
      <c r="N37" s="120"/>
    </row>
    <row r="38" spans="1:14">
      <c r="A38" s="105" t="s">
        <v>257</v>
      </c>
      <c r="B38" s="109"/>
      <c r="C38" s="109"/>
      <c r="D38" s="109"/>
      <c r="E38" s="106"/>
      <c r="F38" s="102">
        <v>0</v>
      </c>
      <c r="G38" s="102">
        <v>0</v>
      </c>
      <c r="H38" s="102">
        <v>116504640</v>
      </c>
      <c r="I38" s="102">
        <v>0</v>
      </c>
      <c r="J38" s="102">
        <v>116504640</v>
      </c>
      <c r="K38" s="102">
        <v>0</v>
      </c>
      <c r="L38" s="102">
        <v>0</v>
      </c>
      <c r="M38" s="102">
        <v>0</v>
      </c>
      <c r="N38" s="120"/>
    </row>
    <row r="39" spans="1:14">
      <c r="A39" s="105" t="s">
        <v>258</v>
      </c>
      <c r="B39" s="109"/>
      <c r="C39" s="109"/>
      <c r="D39" s="109"/>
      <c r="E39" s="106"/>
      <c r="F39" s="102">
        <v>0</v>
      </c>
      <c r="G39" s="102">
        <v>0</v>
      </c>
      <c r="H39" s="102">
        <v>116504640</v>
      </c>
      <c r="I39" s="102">
        <v>0</v>
      </c>
      <c r="J39" s="72">
        <v>116504640</v>
      </c>
      <c r="K39" s="102">
        <v>0</v>
      </c>
      <c r="L39" s="102">
        <v>0</v>
      </c>
      <c r="M39" s="102">
        <v>0</v>
      </c>
      <c r="N39" s="120"/>
    </row>
    <row r="41" spans="1:14">
      <c r="L41" s="110" t="s">
        <v>368</v>
      </c>
    </row>
    <row r="42" spans="1:14">
      <c r="B42" t="s">
        <v>311</v>
      </c>
      <c r="E42" s="103" t="s">
        <v>248</v>
      </c>
      <c r="L42" s="103" t="s">
        <v>249</v>
      </c>
    </row>
    <row r="43" spans="1:14">
      <c r="B43" t="s">
        <v>313</v>
      </c>
      <c r="E43" s="103" t="s">
        <v>250</v>
      </c>
      <c r="L43" s="103" t="s">
        <v>251</v>
      </c>
    </row>
    <row r="44" spans="1:14">
      <c r="B44" t="s">
        <v>317</v>
      </c>
    </row>
    <row r="45" spans="1:14">
      <c r="B45" t="s">
        <v>319</v>
      </c>
    </row>
    <row r="46" spans="1:14">
      <c r="B46" t="s">
        <v>324</v>
      </c>
    </row>
    <row r="47" spans="1:14">
      <c r="B47" t="s">
        <v>326</v>
      </c>
    </row>
    <row r="48" spans="1:14">
      <c r="B48" t="s">
        <v>328</v>
      </c>
      <c r="E48" s="103" t="s">
        <v>252</v>
      </c>
      <c r="L48" s="103" t="s">
        <v>253</v>
      </c>
    </row>
    <row r="49" spans="2:2">
      <c r="B49" t="s">
        <v>382</v>
      </c>
    </row>
    <row r="50" spans="2:2">
      <c r="B50" t="s">
        <v>384</v>
      </c>
    </row>
    <row r="51" spans="2:2">
      <c r="B51" t="s">
        <v>330</v>
      </c>
    </row>
    <row r="52" spans="2:2">
      <c r="B52" t="s">
        <v>332</v>
      </c>
    </row>
    <row r="53" spans="2:2">
      <c r="B53" t="s">
        <v>334</v>
      </c>
    </row>
    <row r="54" spans="2:2">
      <c r="B54" t="s">
        <v>336</v>
      </c>
    </row>
    <row r="55" spans="2:2">
      <c r="B55" t="s">
        <v>338</v>
      </c>
    </row>
    <row r="56" spans="2:2">
      <c r="B56" t="s">
        <v>340</v>
      </c>
    </row>
    <row r="57" spans="2:2">
      <c r="B57" t="s">
        <v>342</v>
      </c>
    </row>
    <row r="58" spans="2:2">
      <c r="B58" t="s">
        <v>344</v>
      </c>
    </row>
    <row r="59" spans="2:2">
      <c r="B59" t="s">
        <v>347</v>
      </c>
    </row>
    <row r="60" spans="2:2">
      <c r="B60" t="s">
        <v>350</v>
      </c>
    </row>
    <row r="61" spans="2:2">
      <c r="B61" t="s">
        <v>352</v>
      </c>
    </row>
    <row r="62" spans="2:2">
      <c r="B62" t="s">
        <v>354</v>
      </c>
    </row>
    <row r="63" spans="2:2">
      <c r="B63" t="s">
        <v>356</v>
      </c>
    </row>
    <row r="64" spans="2:2">
      <c r="B64" t="s">
        <v>386</v>
      </c>
    </row>
    <row r="65" spans="2:2">
      <c r="B65" t="s">
        <v>358</v>
      </c>
    </row>
    <row r="66" spans="2:2">
      <c r="B66" t="s">
        <v>387</v>
      </c>
    </row>
    <row r="67" spans="2:2">
      <c r="B67" t="s">
        <v>360</v>
      </c>
    </row>
    <row r="68" spans="2:2">
      <c r="B68" t="s">
        <v>389</v>
      </c>
    </row>
    <row r="69" spans="2:2">
      <c r="B69" t="s">
        <v>391</v>
      </c>
    </row>
    <row r="70" spans="2:2">
      <c r="B70" t="s">
        <v>393</v>
      </c>
    </row>
    <row r="71" spans="2:2">
      <c r="B71" t="s">
        <v>366</v>
      </c>
    </row>
  </sheetData>
  <conditionalFormatting sqref="B1:D1048576">
    <cfRule type="duplicateValues" dxfId="76" priority="1" stopIfTrue="1"/>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U12"/>
  <sheetViews>
    <sheetView topLeftCell="D1" workbookViewId="0">
      <selection activeCell="K22" sqref="K22"/>
    </sheetView>
  </sheetViews>
  <sheetFormatPr defaultRowHeight="15"/>
  <cols>
    <col min="1" max="3" width="0" hidden="1" customWidth="1"/>
    <col min="5" max="5" width="0" hidden="1" customWidth="1"/>
    <col min="6" max="6" width="14.28515625" bestFit="1" customWidth="1"/>
    <col min="7" max="7" width="13" customWidth="1"/>
    <col min="9" max="9" width="11.5703125" customWidth="1"/>
    <col min="10" max="10" width="0" hidden="1" customWidth="1"/>
    <col min="12" max="12" width="13" customWidth="1"/>
    <col min="13" max="13" width="12.85546875" customWidth="1"/>
    <col min="14" max="14" width="0" hidden="1" customWidth="1"/>
    <col min="15" max="15" width="11.7109375" customWidth="1"/>
    <col min="17" max="18" width="0" hidden="1" customWidth="1"/>
    <col min="19" max="19" width="12.28515625" customWidth="1"/>
    <col min="20" max="20" width="0" hidden="1" customWidth="1"/>
    <col min="21" max="21" width="12.7109375" customWidth="1"/>
  </cols>
  <sheetData>
    <row r="3" spans="4:21">
      <c r="E3" t="s">
        <v>236</v>
      </c>
      <c r="F3" t="s">
        <v>237</v>
      </c>
      <c r="G3" t="s">
        <v>238</v>
      </c>
      <c r="H3" t="s">
        <v>239</v>
      </c>
      <c r="I3" t="s">
        <v>240</v>
      </c>
      <c r="J3" t="s">
        <v>241</v>
      </c>
      <c r="K3" t="s">
        <v>242</v>
      </c>
      <c r="L3" t="s">
        <v>243</v>
      </c>
      <c r="M3" t="s">
        <v>244</v>
      </c>
      <c r="N3" t="s">
        <v>285</v>
      </c>
      <c r="O3" t="s">
        <v>245</v>
      </c>
      <c r="P3" t="s">
        <v>246</v>
      </c>
      <c r="Q3" t="s">
        <v>293</v>
      </c>
      <c r="R3" t="s">
        <v>247</v>
      </c>
      <c r="S3" t="s">
        <v>266</v>
      </c>
      <c r="T3" t="s">
        <v>308</v>
      </c>
      <c r="U3" s="65" t="s">
        <v>12</v>
      </c>
    </row>
    <row r="4" spans="4:21">
      <c r="D4" t="s">
        <v>23</v>
      </c>
      <c r="F4" s="116">
        <f>SUMIFS('338888-CTV'!$O:$O,'338888-CTV'!$C:$C,Sheet23!D4)</f>
        <v>0</v>
      </c>
      <c r="G4" s="116">
        <f>SUMIFS('338888-CTV'!$P:$P,'338888-CTV'!$C:$C,Sheet23!D4)</f>
        <v>0</v>
      </c>
      <c r="H4" s="116">
        <f>SUMIFS('338888-CTV'!$Q:$Q,'338888-CTV'!$C:$C,Sheet23!D4)</f>
        <v>0</v>
      </c>
      <c r="I4" s="116">
        <f>SUMIFS('338888-CTV'!$R:$R,'338888-CTV'!$C:$C,Sheet23!D4)</f>
        <v>0</v>
      </c>
      <c r="J4" s="116"/>
      <c r="K4" s="116">
        <f>SUMIFS('338888-CTV'!$T:$T,'338888-CTV'!$C:$C,Sheet23!D4)</f>
        <v>0</v>
      </c>
      <c r="L4" s="116">
        <f>SUMIFS('338888-CTV'!$U:$U,'338888-CTV'!$C:$C,Sheet23!D4)</f>
        <v>0</v>
      </c>
      <c r="M4" s="116">
        <f>SUMIFS('338888-CTV'!$V:$V,'338888-CTV'!$C:$C,Sheet23!D4)</f>
        <v>0</v>
      </c>
      <c r="N4" s="116"/>
      <c r="O4" s="116">
        <f>SUMIFS('338888-CTV'!$X:$X,'338888-CTV'!$C:$C,Sheet23!D4)</f>
        <v>0</v>
      </c>
      <c r="P4" s="116">
        <f>SUMIFS('338888-CTV'!$Y:$Y,'338888-CTV'!$C:$C,Sheet23!D4)</f>
        <v>0</v>
      </c>
      <c r="Q4" s="116"/>
      <c r="R4" s="116"/>
      <c r="S4" s="116">
        <f>SUMIFS('338888-CTV'!$AB:$AB,'338888-CTV'!$C:$C,Sheet23!D4)</f>
        <v>0</v>
      </c>
      <c r="T4" s="116"/>
      <c r="U4" s="64">
        <f>SUM(E4:T4)</f>
        <v>0</v>
      </c>
    </row>
    <row r="5" spans="4:21">
      <c r="D5" t="s">
        <v>42</v>
      </c>
      <c r="F5" s="116">
        <f>SUMIFS('338888-CTV'!$O:$O,'338888-CTV'!$C:$C,Sheet23!D5)</f>
        <v>31140000</v>
      </c>
      <c r="G5" s="116">
        <f>SUMIFS('338888-CTV'!$P:$P,'338888-CTV'!$C:$C,Sheet23!D5)</f>
        <v>1870000</v>
      </c>
      <c r="H5" s="116">
        <f>SUMIFS('338888-CTV'!$Q:$Q,'338888-CTV'!$C:$C,Sheet23!D5)</f>
        <v>0</v>
      </c>
      <c r="I5" s="116">
        <f>SUMIFS('338888-CTV'!$R:$R,'338888-CTV'!$C:$C,Sheet23!D5)</f>
        <v>1069500</v>
      </c>
      <c r="J5" s="116"/>
      <c r="K5" s="116">
        <f>SUMIFS('338888-CTV'!$T:$T,'338888-CTV'!$C:$C,Sheet23!D5)</f>
        <v>60000</v>
      </c>
      <c r="L5" s="116">
        <f>SUMIFS('338888-CTV'!$U:$U,'338888-CTV'!$C:$C,Sheet23!D5)</f>
        <v>0</v>
      </c>
      <c r="M5" s="116">
        <f>SUMIFS('338888-CTV'!$V:$V,'338888-CTV'!$C:$C,Sheet23!D5)</f>
        <v>0</v>
      </c>
      <c r="N5" s="116"/>
      <c r="O5" s="116">
        <f>SUMIFS('338888-CTV'!$X:$X,'338888-CTV'!$C:$C,Sheet23!D5)</f>
        <v>0</v>
      </c>
      <c r="P5" s="116">
        <f>SUMIFS('338888-CTV'!$Y:$Y,'338888-CTV'!$C:$C,Sheet23!D5)</f>
        <v>0</v>
      </c>
      <c r="Q5" s="116"/>
      <c r="R5" s="116"/>
      <c r="S5" s="116">
        <f>SUMIFS('338888-CTV'!$AB:$AB,'338888-CTV'!$C:$C,Sheet23!D5)</f>
        <v>1093200</v>
      </c>
      <c r="T5" s="116"/>
      <c r="U5" s="64">
        <f t="shared" ref="U5:U12" si="0">SUM(E5:T5)</f>
        <v>35232700</v>
      </c>
    </row>
    <row r="6" spans="4:21">
      <c r="D6" t="s">
        <v>63</v>
      </c>
      <c r="F6" s="116">
        <f>SUMIFS('338888-CTV'!$O:$O,'338888-CTV'!$C:$C,Sheet23!D6)</f>
        <v>10506548</v>
      </c>
      <c r="G6" s="116">
        <f>SUMIFS('338888-CTV'!$P:$P,'338888-CTV'!$C:$C,Sheet23!D6)</f>
        <v>110000</v>
      </c>
      <c r="H6" s="116">
        <f>SUMIFS('338888-CTV'!$Q:$Q,'338888-CTV'!$C:$C,Sheet23!D6)</f>
        <v>0</v>
      </c>
      <c r="I6" s="116">
        <f>SUMIFS('338888-CTV'!$R:$R,'338888-CTV'!$C:$C,Sheet23!D6)</f>
        <v>934000</v>
      </c>
      <c r="J6" s="116"/>
      <c r="K6" s="116">
        <f>SUMIFS('338888-CTV'!$T:$T,'338888-CTV'!$C:$C,Sheet23!D6)</f>
        <v>0</v>
      </c>
      <c r="L6" s="116">
        <f>SUMIFS('338888-CTV'!$U:$U,'338888-CTV'!$C:$C,Sheet23!D6)</f>
        <v>0</v>
      </c>
      <c r="M6" s="116">
        <f>SUMIFS('338888-CTV'!$V:$V,'338888-CTV'!$C:$C,Sheet23!D6)</f>
        <v>4180000</v>
      </c>
      <c r="N6" s="116"/>
      <c r="O6" s="116">
        <f>SUMIFS('338888-CTV'!$X:$X,'338888-CTV'!$C:$C,Sheet23!D6)</f>
        <v>1000000</v>
      </c>
      <c r="P6" s="116">
        <f>SUMIFS('338888-CTV'!$Y:$Y,'338888-CTV'!$C:$C,Sheet23!D6)</f>
        <v>394200</v>
      </c>
      <c r="Q6" s="116"/>
      <c r="R6" s="116"/>
      <c r="S6" s="116">
        <f>SUMIFS('338888-CTV'!$AB:$AB,'338888-CTV'!$C:$C,Sheet23!D6)</f>
        <v>1985600</v>
      </c>
      <c r="T6" s="116"/>
      <c r="U6" s="64">
        <f t="shared" si="0"/>
        <v>19110348</v>
      </c>
    </row>
    <row r="7" spans="4:21">
      <c r="D7" t="s">
        <v>70</v>
      </c>
      <c r="F7" s="116">
        <f>SUMIFS('338888-CTV'!$O:$O,'338888-CTV'!$C:$C,Sheet23!D7)</f>
        <v>0</v>
      </c>
      <c r="G7" s="116">
        <f>SUMIFS('338888-CTV'!$P:$P,'338888-CTV'!$C:$C,Sheet23!D7)</f>
        <v>550000</v>
      </c>
      <c r="H7" s="116">
        <f>SUMIFS('338888-CTV'!$Q:$Q,'338888-CTV'!$C:$C,Sheet23!D7)</f>
        <v>330300</v>
      </c>
      <c r="I7" s="116">
        <f>SUMIFS('338888-CTV'!$R:$R,'338888-CTV'!$C:$C,Sheet23!D7)</f>
        <v>9652173</v>
      </c>
      <c r="J7" s="116"/>
      <c r="K7" s="116">
        <f>SUMIFS('338888-CTV'!$T:$T,'338888-CTV'!$C:$C,Sheet23!D7)</f>
        <v>0</v>
      </c>
      <c r="L7" s="116">
        <f>SUMIFS('338888-CTV'!$U:$U,'338888-CTV'!$C:$C,Sheet23!D7)</f>
        <v>27500000</v>
      </c>
      <c r="M7" s="116">
        <f>SUMIFS('338888-CTV'!$V:$V,'338888-CTV'!$C:$C,Sheet23!D7)</f>
        <v>0</v>
      </c>
      <c r="N7" s="116"/>
      <c r="O7" s="116">
        <f>SUMIFS('338888-CTV'!$X:$X,'338888-CTV'!$C:$C,Sheet23!D7)</f>
        <v>2000000</v>
      </c>
      <c r="P7" s="116">
        <f>SUMIFS('338888-CTV'!$Y:$Y,'338888-CTV'!$C:$C,Sheet23!D7)</f>
        <v>0</v>
      </c>
      <c r="Q7" s="116"/>
      <c r="R7" s="116"/>
      <c r="S7" s="116">
        <f>SUMIFS('338888-CTV'!$AB:$AB,'338888-CTV'!$C:$C,Sheet23!D7)</f>
        <v>2922080</v>
      </c>
      <c r="T7" s="116"/>
      <c r="U7" s="64">
        <f t="shared" si="0"/>
        <v>42954553</v>
      </c>
    </row>
    <row r="8" spans="4:21">
      <c r="D8" t="s">
        <v>79</v>
      </c>
      <c r="F8" s="116">
        <f>SUMIFS('338888-CTV'!$O:$O,'338888-CTV'!$C:$C,Sheet23!D8)</f>
        <v>1009364</v>
      </c>
      <c r="G8" s="116">
        <f>SUMIFS('338888-CTV'!$P:$P,'338888-CTV'!$C:$C,Sheet23!D8)</f>
        <v>0</v>
      </c>
      <c r="H8" s="116">
        <f>SUMIFS('338888-CTV'!$Q:$Q,'338888-CTV'!$C:$C,Sheet23!D8)</f>
        <v>0</v>
      </c>
      <c r="I8" s="116">
        <f>SUMIFS('338888-CTV'!$R:$R,'338888-CTV'!$C:$C,Sheet23!D8)</f>
        <v>754900</v>
      </c>
      <c r="J8" s="116"/>
      <c r="K8" s="116">
        <f>SUMIFS('338888-CTV'!$T:$T,'338888-CTV'!$C:$C,Sheet23!D8)</f>
        <v>0</v>
      </c>
      <c r="L8" s="116">
        <f>SUMIFS('338888-CTV'!$U:$U,'338888-CTV'!$C:$C,Sheet23!D8)</f>
        <v>500000</v>
      </c>
      <c r="M8" s="116">
        <f>SUMIFS('338888-CTV'!$V:$V,'338888-CTV'!$C:$C,Sheet23!D8)</f>
        <v>5280000</v>
      </c>
      <c r="N8" s="116"/>
      <c r="O8" s="116">
        <f>SUMIFS('338888-CTV'!$X:$X,'338888-CTV'!$C:$C,Sheet23!D8)</f>
        <v>1076800</v>
      </c>
      <c r="P8" s="116">
        <f>SUMIFS('338888-CTV'!$Y:$Y,'338888-CTV'!$C:$C,Sheet23!D8)</f>
        <v>0</v>
      </c>
      <c r="Q8" s="116"/>
      <c r="R8" s="116"/>
      <c r="S8" s="116">
        <f>SUMIFS('338888-CTV'!$AB:$AB,'338888-CTV'!$C:$C,Sheet23!D8)</f>
        <v>1232200</v>
      </c>
      <c r="T8" s="116"/>
      <c r="U8" s="64">
        <f t="shared" si="0"/>
        <v>9853264</v>
      </c>
    </row>
    <row r="9" spans="4:21">
      <c r="D9" t="s">
        <v>87</v>
      </c>
      <c r="F9" s="116">
        <f>SUMIFS('338888-CTV'!$O:$O,'338888-CTV'!$C:$C,Sheet23!D9)</f>
        <v>0</v>
      </c>
      <c r="G9" s="116">
        <f>SUMIFS('338888-CTV'!$P:$P,'338888-CTV'!$C:$C,Sheet23!D9)</f>
        <v>0</v>
      </c>
      <c r="H9" s="116">
        <f>SUMIFS('338888-CTV'!$Q:$Q,'338888-CTV'!$C:$C,Sheet23!D9)</f>
        <v>0</v>
      </c>
      <c r="I9" s="116">
        <f>SUMIFS('338888-CTV'!$R:$R,'338888-CTV'!$C:$C,Sheet23!D9)</f>
        <v>334400</v>
      </c>
      <c r="J9" s="116"/>
      <c r="K9" s="116">
        <f>SUMIFS('338888-CTV'!$T:$T,'338888-CTV'!$C:$C,Sheet23!D9)</f>
        <v>0</v>
      </c>
      <c r="L9" s="116">
        <f>SUMIFS('338888-CTV'!$U:$U,'338888-CTV'!$C:$C,Sheet23!D9)</f>
        <v>6000000</v>
      </c>
      <c r="M9" s="116">
        <f>SUMIFS('338888-CTV'!$V:$V,'338888-CTV'!$C:$C,Sheet23!D9)</f>
        <v>0</v>
      </c>
      <c r="N9" s="116"/>
      <c r="O9" s="116">
        <f>SUMIFS('338888-CTV'!$X:$X,'338888-CTV'!$C:$C,Sheet23!D9)</f>
        <v>1000000</v>
      </c>
      <c r="P9" s="116">
        <f>SUMIFS('338888-CTV'!$Y:$Y,'338888-CTV'!$C:$C,Sheet23!D9)</f>
        <v>0</v>
      </c>
      <c r="Q9" s="116"/>
      <c r="R9" s="116"/>
      <c r="S9" s="116">
        <f>SUMIFS('338888-CTV'!$AB:$AB,'338888-CTV'!$C:$C,Sheet23!D9)</f>
        <v>729600</v>
      </c>
      <c r="T9" s="116"/>
      <c r="U9" s="64">
        <f t="shared" si="0"/>
        <v>8064000</v>
      </c>
    </row>
    <row r="10" spans="4:21">
      <c r="D10" t="s">
        <v>92</v>
      </c>
      <c r="F10" s="116">
        <f>SUMIFS('338888-CTV'!$O:$O,'338888-CTV'!$C:$C,Sheet23!D10)</f>
        <v>1380000</v>
      </c>
      <c r="G10" s="116">
        <f>SUMIFS('338888-CTV'!$P:$P,'338888-CTV'!$C:$C,Sheet23!D10)</f>
        <v>0</v>
      </c>
      <c r="H10" s="116">
        <f>SUMIFS('338888-CTV'!$Q:$Q,'338888-CTV'!$C:$C,Sheet23!D10)</f>
        <v>0</v>
      </c>
      <c r="I10" s="116">
        <f>SUMIFS('338888-CTV'!$R:$R,'338888-CTV'!$C:$C,Sheet23!D10)</f>
        <v>0</v>
      </c>
      <c r="J10" s="116"/>
      <c r="K10" s="116">
        <f>SUMIFS('338888-CTV'!$T:$T,'338888-CTV'!$C:$C,Sheet23!D10)</f>
        <v>0</v>
      </c>
      <c r="L10" s="116">
        <f>SUMIFS('338888-CTV'!$U:$U,'338888-CTV'!$C:$C,Sheet23!D10)</f>
        <v>0</v>
      </c>
      <c r="M10" s="116">
        <f>SUMIFS('338888-CTV'!$V:$V,'338888-CTV'!$C:$C,Sheet23!D10)</f>
        <v>110000</v>
      </c>
      <c r="N10" s="116"/>
      <c r="O10" s="116">
        <f>SUMIFS('338888-CTV'!$X:$X,'338888-CTV'!$C:$C,Sheet23!D10)</f>
        <v>4000000</v>
      </c>
      <c r="P10" s="116">
        <f>SUMIFS('338888-CTV'!$Y:$Y,'338888-CTV'!$C:$C,Sheet23!D10)</f>
        <v>0</v>
      </c>
      <c r="Q10" s="116"/>
      <c r="R10" s="116"/>
      <c r="S10" s="116">
        <f>SUMIFS('338888-CTV'!$AB:$AB,'338888-CTV'!$C:$C,Sheet23!D10)</f>
        <v>392800</v>
      </c>
      <c r="T10" s="116"/>
      <c r="U10" s="64">
        <f t="shared" si="0"/>
        <v>5882800</v>
      </c>
    </row>
    <row r="11" spans="4:21">
      <c r="D11" t="s">
        <v>20</v>
      </c>
      <c r="F11" s="116">
        <f>SUMIFS('338888-CTV'!$O:$O,'338888-CTV'!$C:$C,Sheet23!D11)</f>
        <v>0</v>
      </c>
      <c r="G11" s="116">
        <f>SUMIFS('338888-CTV'!$P:$P,'338888-CTV'!$C:$C,Sheet23!D11)</f>
        <v>0</v>
      </c>
      <c r="H11" s="116">
        <f>SUMIFS('338888-CTV'!$Q:$Q,'338888-CTV'!$C:$C,Sheet23!D11)</f>
        <v>0</v>
      </c>
      <c r="I11" s="116">
        <f>SUMIFS('338888-CTV'!$R:$R,'338888-CTV'!$C:$C,Sheet23!D11)</f>
        <v>0</v>
      </c>
      <c r="J11" s="116"/>
      <c r="K11" s="116">
        <f>SUMIFS('338888-CTV'!$T:$T,'338888-CTV'!$C:$C,Sheet23!D11)</f>
        <v>0</v>
      </c>
      <c r="L11" s="116">
        <f>SUMIFS('338888-CTV'!$U:$U,'338888-CTV'!$C:$C,Sheet23!D11)</f>
        <v>0</v>
      </c>
      <c r="M11" s="116">
        <f>SUMIFS('338888-CTV'!$V:$V,'338888-CTV'!$C:$C,Sheet23!D11)</f>
        <v>0</v>
      </c>
      <c r="N11" s="116"/>
      <c r="O11" s="116">
        <f>SUMIFS('338888-CTV'!$X:$X,'338888-CTV'!$C:$C,Sheet23!D11)</f>
        <v>0</v>
      </c>
      <c r="P11" s="116">
        <f>SUMIFS('338888-CTV'!$Y:$Y,'338888-CTV'!$C:$C,Sheet23!D11)</f>
        <v>0</v>
      </c>
      <c r="Q11" s="116"/>
      <c r="R11" s="116"/>
      <c r="S11" s="116">
        <f>SUMIFS('338888-CTV'!$AB:$AB,'338888-CTV'!$C:$C,Sheet23!D11)</f>
        <v>0</v>
      </c>
      <c r="T11" s="116"/>
      <c r="U11" s="64">
        <f t="shared" si="0"/>
        <v>0</v>
      </c>
    </row>
    <row r="12" spans="4:21" s="65" customFormat="1">
      <c r="F12" s="71">
        <f>SUM(F4:F11)</f>
        <v>44035912</v>
      </c>
      <c r="G12" s="71">
        <f t="shared" ref="G12:T12" si="1">SUM(G4:G11)</f>
        <v>2530000</v>
      </c>
      <c r="H12" s="71">
        <f t="shared" si="1"/>
        <v>330300</v>
      </c>
      <c r="I12" s="71">
        <f t="shared" si="1"/>
        <v>12744973</v>
      </c>
      <c r="J12" s="71">
        <f t="shared" si="1"/>
        <v>0</v>
      </c>
      <c r="K12" s="71">
        <f t="shared" si="1"/>
        <v>60000</v>
      </c>
      <c r="L12" s="71">
        <f t="shared" si="1"/>
        <v>34000000</v>
      </c>
      <c r="M12" s="71">
        <f t="shared" si="1"/>
        <v>9570000</v>
      </c>
      <c r="N12" s="71">
        <f t="shared" si="1"/>
        <v>0</v>
      </c>
      <c r="O12" s="71">
        <f t="shared" si="1"/>
        <v>9076800</v>
      </c>
      <c r="P12" s="71">
        <f t="shared" si="1"/>
        <v>394200</v>
      </c>
      <c r="Q12" s="71">
        <f t="shared" si="1"/>
        <v>0</v>
      </c>
      <c r="R12" s="71">
        <f t="shared" si="1"/>
        <v>0</v>
      </c>
      <c r="S12" s="71">
        <f t="shared" si="1"/>
        <v>8355480</v>
      </c>
      <c r="T12" s="71">
        <f t="shared" si="1"/>
        <v>0</v>
      </c>
      <c r="U12" s="64">
        <f t="shared" si="0"/>
        <v>121097665</v>
      </c>
    </row>
  </sheetData>
  <pageMargins left="0.33" right="0.2" top="0.75" bottom="0.75" header="0.3" footer="0.3"/>
  <pageSetup paperSize="9" orientation="landscape"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
  <sheetViews>
    <sheetView topLeftCell="A91" workbookViewId="0">
      <selection activeCell="J103" sqref="J103"/>
    </sheetView>
  </sheetViews>
  <sheetFormatPr defaultColWidth="11.42578125" defaultRowHeight="15.75"/>
  <cols>
    <col min="1" max="1" width="14" style="20" customWidth="1"/>
    <col min="2" max="2" width="12.42578125" style="20" customWidth="1"/>
    <col min="3" max="3" width="5.140625" style="20" customWidth="1"/>
    <col min="4" max="4" width="27.85546875" style="20" customWidth="1"/>
    <col min="5" max="7" width="7.140625" style="20" customWidth="1"/>
    <col min="8" max="8" width="13.28515625" style="20" customWidth="1"/>
    <col min="9" max="9" width="14" style="20" customWidth="1"/>
    <col min="10" max="10" width="11.85546875" style="20" customWidth="1"/>
    <col min="11" max="11" width="13.7109375" style="20" customWidth="1"/>
    <col min="12" max="12" width="13.28515625" style="20" customWidth="1"/>
    <col min="13" max="13" width="12.140625" style="20" customWidth="1"/>
    <col min="14" max="14" width="11.42578125" style="20" customWidth="1"/>
    <col min="15" max="15" width="13.5703125" style="20" customWidth="1"/>
    <col min="16" max="16" width="13.28515625" style="20" customWidth="1"/>
    <col min="17" max="17" width="13.5703125" style="20" customWidth="1"/>
    <col min="18" max="18" width="16.140625" style="59" customWidth="1"/>
    <col min="19" max="19" width="14.28515625" style="20" bestFit="1" customWidth="1"/>
    <col min="20" max="16384" width="11.42578125" style="20"/>
  </cols>
  <sheetData>
    <row r="1" spans="1:19">
      <c r="C1" s="1488" t="s">
        <v>111</v>
      </c>
      <c r="D1" s="1488"/>
      <c r="E1" s="1488"/>
      <c r="I1" s="1489" t="s">
        <v>112</v>
      </c>
      <c r="J1" s="1489"/>
      <c r="K1" s="1489"/>
      <c r="L1" s="1489"/>
      <c r="M1" s="1489"/>
      <c r="N1" s="1489"/>
      <c r="O1" s="1489"/>
    </row>
    <row r="2" spans="1:19" ht="16.5">
      <c r="C2" s="1488" t="s">
        <v>113</v>
      </c>
      <c r="D2" s="1488"/>
      <c r="E2" s="1488"/>
      <c r="I2" s="1490" t="s">
        <v>114</v>
      </c>
      <c r="J2" s="1490"/>
      <c r="K2" s="1490"/>
      <c r="L2" s="1490"/>
      <c r="M2" s="1490"/>
      <c r="N2" s="1490"/>
      <c r="O2" s="1490"/>
    </row>
    <row r="3" spans="1:19" ht="16.5">
      <c r="C3" s="1490" t="s">
        <v>115</v>
      </c>
      <c r="D3" s="1490"/>
      <c r="E3" s="1490"/>
    </row>
    <row r="4" spans="1:19" ht="16.5">
      <c r="C4" s="1490" t="s">
        <v>116</v>
      </c>
      <c r="D4" s="1490"/>
      <c r="E4" s="1490"/>
    </row>
    <row r="5" spans="1:19" ht="16.5">
      <c r="C5" s="123"/>
      <c r="D5" s="123"/>
      <c r="E5" s="123"/>
    </row>
    <row r="6" spans="1:19" ht="25.5" customHeight="1">
      <c r="E6" s="1491" t="s">
        <v>117</v>
      </c>
      <c r="F6" s="1491"/>
      <c r="G6" s="1491"/>
      <c r="H6" s="1491"/>
      <c r="I6" s="1491"/>
      <c r="J6" s="1491"/>
      <c r="K6" s="1491"/>
      <c r="L6" s="1491"/>
      <c r="M6" s="1491"/>
      <c r="N6" s="124"/>
    </row>
    <row r="7" spans="1:19" ht="18.75">
      <c r="E7" s="1492" t="s">
        <v>2080</v>
      </c>
      <c r="F7" s="1492"/>
      <c r="G7" s="1492"/>
      <c r="H7" s="1492"/>
      <c r="I7" s="1492"/>
      <c r="J7" s="1492"/>
      <c r="K7" s="1492"/>
      <c r="L7" s="1492"/>
      <c r="M7" s="1492"/>
      <c r="N7" s="125"/>
    </row>
    <row r="9" spans="1:19" ht="31.5">
      <c r="A9" s="829" t="s">
        <v>118</v>
      </c>
      <c r="B9" s="829" t="s">
        <v>119</v>
      </c>
      <c r="C9" s="830" t="s">
        <v>120</v>
      </c>
      <c r="D9" s="830" t="s">
        <v>121</v>
      </c>
      <c r="E9" s="830" t="s">
        <v>122</v>
      </c>
      <c r="F9" s="830" t="s">
        <v>123</v>
      </c>
      <c r="G9" s="42" t="s">
        <v>124</v>
      </c>
      <c r="H9" s="42" t="s">
        <v>125</v>
      </c>
      <c r="I9" s="42" t="s">
        <v>126</v>
      </c>
      <c r="J9" s="42" t="s">
        <v>208</v>
      </c>
      <c r="K9" s="42" t="s">
        <v>127</v>
      </c>
      <c r="L9" s="42" t="s">
        <v>128</v>
      </c>
      <c r="M9" s="42" t="s">
        <v>129</v>
      </c>
      <c r="N9" s="42" t="s">
        <v>130</v>
      </c>
      <c r="O9" s="42" t="s">
        <v>140</v>
      </c>
      <c r="P9" s="42" t="s">
        <v>131</v>
      </c>
      <c r="Q9" s="43" t="s">
        <v>172</v>
      </c>
      <c r="R9" s="60" t="s">
        <v>173</v>
      </c>
    </row>
    <row r="10" spans="1:19" ht="18" customHeight="1">
      <c r="A10" s="15" t="s">
        <v>174</v>
      </c>
      <c r="B10" s="45" t="s">
        <v>167</v>
      </c>
      <c r="C10" s="46">
        <v>1</v>
      </c>
      <c r="D10" s="47" t="s">
        <v>145</v>
      </c>
      <c r="E10" s="48">
        <v>196</v>
      </c>
      <c r="F10" s="49">
        <v>1</v>
      </c>
      <c r="G10" s="50">
        <v>24</v>
      </c>
      <c r="H10" s="16">
        <v>4294979</v>
      </c>
      <c r="I10" s="16">
        <v>0</v>
      </c>
      <c r="J10" s="16">
        <v>0</v>
      </c>
      <c r="K10" s="16">
        <v>4294979</v>
      </c>
      <c r="L10" s="16">
        <v>2000000</v>
      </c>
      <c r="M10" s="16">
        <v>495464</v>
      </c>
      <c r="N10" s="16">
        <v>47187</v>
      </c>
      <c r="O10" s="16">
        <v>257652</v>
      </c>
      <c r="P10" s="16">
        <v>1494676</v>
      </c>
      <c r="Q10" s="44">
        <v>4293855</v>
      </c>
      <c r="R10" s="61">
        <v>1124</v>
      </c>
      <c r="S10" s="20" t="s">
        <v>167</v>
      </c>
    </row>
    <row r="11" spans="1:19" ht="18" customHeight="1">
      <c r="A11" s="15" t="s">
        <v>175</v>
      </c>
      <c r="B11" s="45" t="s">
        <v>13</v>
      </c>
      <c r="C11" s="46">
        <v>2</v>
      </c>
      <c r="D11" s="47" t="s">
        <v>14</v>
      </c>
      <c r="E11" s="48">
        <v>489</v>
      </c>
      <c r="F11" s="49">
        <v>1</v>
      </c>
      <c r="G11" s="50">
        <v>24</v>
      </c>
      <c r="H11" s="16">
        <v>10715534</v>
      </c>
      <c r="I11" s="16">
        <v>150603</v>
      </c>
      <c r="J11" s="16">
        <v>0</v>
      </c>
      <c r="K11" s="16">
        <v>10866137</v>
      </c>
      <c r="L11" s="16">
        <v>2000000</v>
      </c>
      <c r="M11" s="16">
        <v>495464</v>
      </c>
      <c r="N11" s="16">
        <v>47187</v>
      </c>
      <c r="O11" s="16">
        <v>829124</v>
      </c>
      <c r="P11" s="16">
        <v>7494362</v>
      </c>
      <c r="Q11" s="44">
        <v>10842183</v>
      </c>
      <c r="R11" s="61">
        <v>23954</v>
      </c>
      <c r="S11" s="20" t="s">
        <v>13</v>
      </c>
    </row>
    <row r="12" spans="1:19" ht="18" customHeight="1">
      <c r="A12" s="15" t="s">
        <v>183</v>
      </c>
      <c r="B12" s="45" t="s">
        <v>103</v>
      </c>
      <c r="C12" s="46">
        <v>3</v>
      </c>
      <c r="D12" s="47" t="s">
        <v>104</v>
      </c>
      <c r="E12" s="48">
        <v>570</v>
      </c>
      <c r="F12" s="49">
        <v>1.02</v>
      </c>
      <c r="G12" s="50">
        <v>24</v>
      </c>
      <c r="H12" s="16">
        <v>12728144</v>
      </c>
      <c r="I12" s="16">
        <v>141056</v>
      </c>
      <c r="J12" s="16">
        <v>0</v>
      </c>
      <c r="K12" s="16">
        <v>12869200</v>
      </c>
      <c r="L12" s="16">
        <v>2000000</v>
      </c>
      <c r="M12" s="16">
        <v>495464</v>
      </c>
      <c r="N12" s="16">
        <v>47187</v>
      </c>
      <c r="O12" s="16">
        <v>1297612</v>
      </c>
      <c r="P12" s="16">
        <v>9028937</v>
      </c>
      <c r="Q12" s="44">
        <v>13005900</v>
      </c>
      <c r="R12" s="61">
        <v>-136700</v>
      </c>
      <c r="S12" s="20" t="s">
        <v>103</v>
      </c>
    </row>
    <row r="13" spans="1:19" ht="18" customHeight="1">
      <c r="A13" s="15" t="s">
        <v>175</v>
      </c>
      <c r="B13" s="45" t="s">
        <v>21</v>
      </c>
      <c r="C13" s="46">
        <v>4</v>
      </c>
      <c r="D13" s="47" t="s">
        <v>22</v>
      </c>
      <c r="E13" s="48">
        <v>290</v>
      </c>
      <c r="F13" s="49">
        <v>1.05</v>
      </c>
      <c r="G13" s="50">
        <v>24</v>
      </c>
      <c r="H13" s="16">
        <v>6672556</v>
      </c>
      <c r="I13" s="16">
        <v>199549</v>
      </c>
      <c r="J13" s="16">
        <v>0</v>
      </c>
      <c r="K13" s="16">
        <v>6872105</v>
      </c>
      <c r="L13" s="16">
        <v>2000000</v>
      </c>
      <c r="M13" s="16">
        <v>495464</v>
      </c>
      <c r="N13" s="16">
        <v>47187</v>
      </c>
      <c r="O13" s="16">
        <v>515365</v>
      </c>
      <c r="P13" s="16">
        <v>3814089</v>
      </c>
      <c r="Q13" s="44">
        <v>6740996</v>
      </c>
      <c r="R13" s="61">
        <v>131109</v>
      </c>
      <c r="S13" s="20" t="s">
        <v>21</v>
      </c>
    </row>
    <row r="14" spans="1:19" ht="18" customHeight="1">
      <c r="A14" s="15" t="s">
        <v>175</v>
      </c>
      <c r="B14" s="45" t="s">
        <v>1310</v>
      </c>
      <c r="C14" s="46">
        <v>5</v>
      </c>
      <c r="D14" s="47" t="s">
        <v>1313</v>
      </c>
      <c r="E14" s="48">
        <v>415</v>
      </c>
      <c r="F14" s="49">
        <v>0.99</v>
      </c>
      <c r="G14" s="50">
        <v>24</v>
      </c>
      <c r="H14" s="16">
        <v>9003020</v>
      </c>
      <c r="I14" s="16">
        <v>0</v>
      </c>
      <c r="J14" s="16">
        <v>0</v>
      </c>
      <c r="K14" s="16">
        <v>9003020</v>
      </c>
      <c r="L14" s="16">
        <v>2000000</v>
      </c>
      <c r="M14" s="16">
        <v>495464</v>
      </c>
      <c r="N14" s="16">
        <v>47187</v>
      </c>
      <c r="O14" s="16">
        <v>0</v>
      </c>
      <c r="P14" s="16">
        <v>6460369</v>
      </c>
      <c r="Q14" s="44">
        <v>9182497</v>
      </c>
      <c r="R14" s="61">
        <v>-179477</v>
      </c>
      <c r="S14" s="20" t="s">
        <v>1310</v>
      </c>
    </row>
    <row r="15" spans="1:19" ht="18" customHeight="1">
      <c r="A15" s="15" t="s">
        <v>176</v>
      </c>
      <c r="B15" s="45" t="s">
        <v>16</v>
      </c>
      <c r="C15" s="46">
        <v>6</v>
      </c>
      <c r="D15" s="47" t="s">
        <v>17</v>
      </c>
      <c r="E15" s="48">
        <v>379</v>
      </c>
      <c r="F15" s="49">
        <v>1.2</v>
      </c>
      <c r="G15" s="50">
        <v>24</v>
      </c>
      <c r="H15" s="16">
        <v>9966104</v>
      </c>
      <c r="I15" s="16">
        <v>0</v>
      </c>
      <c r="J15" s="16">
        <v>0</v>
      </c>
      <c r="K15" s="16">
        <v>9966104</v>
      </c>
      <c r="L15" s="16">
        <v>2000000</v>
      </c>
      <c r="M15" s="16">
        <v>495464</v>
      </c>
      <c r="N15" s="16">
        <v>47187</v>
      </c>
      <c r="O15" s="16">
        <v>1034676</v>
      </c>
      <c r="P15" s="16">
        <v>6388777</v>
      </c>
      <c r="Q15" s="44">
        <v>11238807</v>
      </c>
      <c r="R15" s="61">
        <v>-1272703</v>
      </c>
      <c r="S15" s="20" t="s">
        <v>16</v>
      </c>
    </row>
    <row r="16" spans="1:19" ht="18" customHeight="1">
      <c r="A16" s="15" t="s">
        <v>176</v>
      </c>
      <c r="B16" s="45" t="s">
        <v>157</v>
      </c>
      <c r="C16" s="46">
        <v>7</v>
      </c>
      <c r="D16" s="47" t="s">
        <v>144</v>
      </c>
      <c r="E16" s="48">
        <v>379</v>
      </c>
      <c r="F16" s="49">
        <v>1.18</v>
      </c>
      <c r="G16" s="50">
        <v>24</v>
      </c>
      <c r="H16" s="16">
        <v>9800002</v>
      </c>
      <c r="I16" s="16">
        <v>2044036</v>
      </c>
      <c r="J16" s="16">
        <v>0</v>
      </c>
      <c r="K16" s="16">
        <v>11844038</v>
      </c>
      <c r="L16" s="16">
        <v>2000000</v>
      </c>
      <c r="M16" s="16">
        <v>495464</v>
      </c>
      <c r="N16" s="16">
        <v>47187</v>
      </c>
      <c r="O16" s="16">
        <v>1922955</v>
      </c>
      <c r="P16" s="16">
        <v>7378432</v>
      </c>
      <c r="Q16" s="44">
        <v>19368246</v>
      </c>
      <c r="R16" s="61">
        <v>-7524208</v>
      </c>
      <c r="S16" s="20" t="s">
        <v>157</v>
      </c>
    </row>
    <row r="17" spans="1:19" ht="18" customHeight="1">
      <c r="A17" s="15" t="s">
        <v>177</v>
      </c>
      <c r="B17" s="45" t="s">
        <v>107</v>
      </c>
      <c r="C17" s="46">
        <v>8</v>
      </c>
      <c r="D17" s="47" t="s">
        <v>108</v>
      </c>
      <c r="E17" s="48">
        <v>543</v>
      </c>
      <c r="F17" s="49">
        <v>1.28</v>
      </c>
      <c r="G17" s="50">
        <v>24</v>
      </c>
      <c r="H17" s="16">
        <v>15214542</v>
      </c>
      <c r="I17" s="16">
        <v>0</v>
      </c>
      <c r="J17" s="16">
        <v>0</v>
      </c>
      <c r="K17" s="16">
        <v>15214542</v>
      </c>
      <c r="L17" s="16">
        <v>2000000</v>
      </c>
      <c r="M17" s="16">
        <v>495464</v>
      </c>
      <c r="N17" s="16">
        <v>47187</v>
      </c>
      <c r="O17" s="16">
        <v>1649413</v>
      </c>
      <c r="P17" s="16">
        <v>11022478</v>
      </c>
      <c r="Q17" s="44">
        <v>13446814</v>
      </c>
      <c r="R17" s="61">
        <v>1767728</v>
      </c>
      <c r="S17" s="20" t="s">
        <v>107</v>
      </c>
    </row>
    <row r="18" spans="1:19" ht="18" customHeight="1">
      <c r="A18" s="15" t="s">
        <v>175</v>
      </c>
      <c r="B18" s="45" t="s">
        <v>36</v>
      </c>
      <c r="C18" s="46">
        <v>9</v>
      </c>
      <c r="D18" s="47" t="s">
        <v>37</v>
      </c>
      <c r="E18" s="48">
        <v>489</v>
      </c>
      <c r="F18" s="49">
        <v>1</v>
      </c>
      <c r="G18" s="50">
        <v>24</v>
      </c>
      <c r="H18" s="16">
        <v>10715534</v>
      </c>
      <c r="I18" s="16">
        <v>8070</v>
      </c>
      <c r="J18" s="16">
        <v>0</v>
      </c>
      <c r="K18" s="16">
        <v>10723604</v>
      </c>
      <c r="L18" s="16">
        <v>2000000</v>
      </c>
      <c r="M18" s="16">
        <v>495464</v>
      </c>
      <c r="N18" s="16">
        <v>47187</v>
      </c>
      <c r="O18" s="16">
        <v>975773</v>
      </c>
      <c r="P18" s="16">
        <v>7205180</v>
      </c>
      <c r="Q18" s="44">
        <v>10930551</v>
      </c>
      <c r="R18" s="61">
        <v>-206947</v>
      </c>
      <c r="S18" s="20" t="s">
        <v>36</v>
      </c>
    </row>
    <row r="19" spans="1:19" ht="18" customHeight="1">
      <c r="A19" s="15" t="s">
        <v>189</v>
      </c>
      <c r="B19" s="45" t="s">
        <v>156</v>
      </c>
      <c r="C19" s="46">
        <v>10</v>
      </c>
      <c r="D19" s="47" t="s">
        <v>143</v>
      </c>
      <c r="E19" s="48">
        <v>355</v>
      </c>
      <c r="F19" s="49">
        <v>1.22</v>
      </c>
      <c r="G19" s="50">
        <v>24</v>
      </c>
      <c r="H19" s="16">
        <v>3554657</v>
      </c>
      <c r="I19" s="16">
        <v>14173038</v>
      </c>
      <c r="J19" s="16">
        <v>0</v>
      </c>
      <c r="K19" s="16">
        <v>17727695</v>
      </c>
      <c r="L19" s="16">
        <v>2000000</v>
      </c>
      <c r="M19" s="16">
        <v>495464</v>
      </c>
      <c r="N19" s="16">
        <v>47187</v>
      </c>
      <c r="O19" s="16">
        <v>2368948</v>
      </c>
      <c r="P19" s="16">
        <v>12816096</v>
      </c>
      <c r="Q19" s="44">
        <v>10633485</v>
      </c>
      <c r="R19" s="61">
        <v>7094210</v>
      </c>
      <c r="S19" s="20" t="s">
        <v>156</v>
      </c>
    </row>
    <row r="20" spans="1:19" ht="18" customHeight="1">
      <c r="A20" s="15" t="s">
        <v>189</v>
      </c>
      <c r="B20" s="45" t="s">
        <v>155</v>
      </c>
      <c r="C20" s="46">
        <v>11</v>
      </c>
      <c r="D20" s="47" t="s">
        <v>142</v>
      </c>
      <c r="E20" s="48">
        <v>355</v>
      </c>
      <c r="F20" s="49">
        <v>1.04</v>
      </c>
      <c r="G20" s="50">
        <v>24</v>
      </c>
      <c r="H20" s="16">
        <v>3030199</v>
      </c>
      <c r="I20" s="16">
        <v>15982166</v>
      </c>
      <c r="J20" s="16">
        <v>0</v>
      </c>
      <c r="K20" s="16">
        <v>19012365</v>
      </c>
      <c r="L20" s="16">
        <v>2000000</v>
      </c>
      <c r="M20" s="16">
        <v>495464</v>
      </c>
      <c r="N20" s="16">
        <v>47187</v>
      </c>
      <c r="O20" s="16">
        <v>2806871</v>
      </c>
      <c r="P20" s="16">
        <v>13662843</v>
      </c>
      <c r="Q20" s="44">
        <v>12728922</v>
      </c>
      <c r="R20" s="61">
        <v>6283443</v>
      </c>
      <c r="S20" s="20" t="s">
        <v>155</v>
      </c>
    </row>
    <row r="21" spans="1:19" ht="18" customHeight="1">
      <c r="A21" s="15" t="s">
        <v>178</v>
      </c>
      <c r="B21" s="45" t="s">
        <v>34</v>
      </c>
      <c r="C21" s="46">
        <v>12</v>
      </c>
      <c r="D21" s="47" t="s">
        <v>35</v>
      </c>
      <c r="E21" s="48">
        <v>438</v>
      </c>
      <c r="F21" s="49">
        <v>1.06</v>
      </c>
      <c r="G21" s="50">
        <v>24</v>
      </c>
      <c r="H21" s="16">
        <v>10157600</v>
      </c>
      <c r="I21" s="16">
        <v>1846631</v>
      </c>
      <c r="J21" s="16">
        <v>0</v>
      </c>
      <c r="K21" s="16">
        <v>12004231</v>
      </c>
      <c r="L21" s="16">
        <v>2000000</v>
      </c>
      <c r="M21" s="16">
        <v>495464</v>
      </c>
      <c r="N21" s="16">
        <v>47187</v>
      </c>
      <c r="O21" s="16">
        <v>1167867</v>
      </c>
      <c r="P21" s="16">
        <v>8293713</v>
      </c>
      <c r="Q21" s="44">
        <v>12775948</v>
      </c>
      <c r="R21" s="61">
        <v>-771717</v>
      </c>
      <c r="S21" s="20" t="s">
        <v>34</v>
      </c>
    </row>
    <row r="22" spans="1:19" ht="18" customHeight="1">
      <c r="A22" s="15" t="s">
        <v>178</v>
      </c>
      <c r="B22" s="45" t="s">
        <v>38</v>
      </c>
      <c r="C22" s="46">
        <v>13</v>
      </c>
      <c r="D22" s="47" t="s">
        <v>39</v>
      </c>
      <c r="E22" s="48">
        <v>418</v>
      </c>
      <c r="F22" s="49">
        <v>1.29</v>
      </c>
      <c r="G22" s="50">
        <v>27</v>
      </c>
      <c r="H22" s="16">
        <v>4418569</v>
      </c>
      <c r="I22" s="16">
        <v>32761045</v>
      </c>
      <c r="J22" s="16">
        <v>0</v>
      </c>
      <c r="K22" s="16">
        <v>37179614</v>
      </c>
      <c r="L22" s="16">
        <v>2000000</v>
      </c>
      <c r="M22" s="16">
        <v>495464</v>
      </c>
      <c r="N22" s="16">
        <v>47187</v>
      </c>
      <c r="O22" s="16">
        <v>8150176</v>
      </c>
      <c r="P22" s="16">
        <v>26486787</v>
      </c>
      <c r="Q22" s="44">
        <v>22528284</v>
      </c>
      <c r="R22" s="61">
        <v>14651330</v>
      </c>
      <c r="S22" s="20" t="s">
        <v>38</v>
      </c>
    </row>
    <row r="23" spans="1:19" ht="18" customHeight="1">
      <c r="A23" s="15" t="s">
        <v>178</v>
      </c>
      <c r="B23" s="45" t="s">
        <v>24</v>
      </c>
      <c r="C23" s="46">
        <v>14</v>
      </c>
      <c r="D23" s="47" t="s">
        <v>25</v>
      </c>
      <c r="E23" s="48">
        <v>394</v>
      </c>
      <c r="F23" s="49">
        <v>1.04</v>
      </c>
      <c r="G23" s="50">
        <v>24</v>
      </c>
      <c r="H23" s="16">
        <v>8964802</v>
      </c>
      <c r="I23" s="16">
        <v>1879998</v>
      </c>
      <c r="J23" s="16">
        <v>0</v>
      </c>
      <c r="K23" s="16">
        <v>10844800</v>
      </c>
      <c r="L23" s="16">
        <v>2000000</v>
      </c>
      <c r="M23" s="16">
        <v>495464</v>
      </c>
      <c r="N23" s="16">
        <v>47187</v>
      </c>
      <c r="O23" s="16">
        <v>1001902</v>
      </c>
      <c r="P23" s="16">
        <v>7300247</v>
      </c>
      <c r="Q23" s="44">
        <v>9904353</v>
      </c>
      <c r="R23" s="61">
        <v>940447</v>
      </c>
      <c r="S23" s="20" t="s">
        <v>24</v>
      </c>
    </row>
    <row r="24" spans="1:19" ht="18" customHeight="1">
      <c r="A24" s="15" t="s">
        <v>183</v>
      </c>
      <c r="B24" s="45" t="s">
        <v>26</v>
      </c>
      <c r="C24" s="46">
        <v>15</v>
      </c>
      <c r="D24" s="47" t="s">
        <v>27</v>
      </c>
      <c r="E24" s="48">
        <v>418</v>
      </c>
      <c r="F24" s="49">
        <v>1.1299999999999999</v>
      </c>
      <c r="G24" s="50">
        <v>29</v>
      </c>
      <c r="H24" s="16">
        <v>3873016</v>
      </c>
      <c r="I24" s="16">
        <v>9172098</v>
      </c>
      <c r="J24" s="16">
        <v>0</v>
      </c>
      <c r="K24" s="16">
        <v>13045114</v>
      </c>
      <c r="L24" s="16">
        <v>2000000</v>
      </c>
      <c r="M24" s="16">
        <v>495464</v>
      </c>
      <c r="N24" s="16">
        <v>47187</v>
      </c>
      <c r="O24" s="16">
        <v>1711665</v>
      </c>
      <c r="P24" s="16">
        <v>8790798</v>
      </c>
      <c r="Q24" s="44">
        <v>11020392</v>
      </c>
      <c r="R24" s="61">
        <v>2024722</v>
      </c>
      <c r="S24" s="20" t="s">
        <v>26</v>
      </c>
    </row>
    <row r="25" spans="1:19" ht="18" customHeight="1">
      <c r="A25" s="15" t="s">
        <v>178</v>
      </c>
      <c r="B25" s="45" t="s">
        <v>28</v>
      </c>
      <c r="C25" s="46">
        <v>16</v>
      </c>
      <c r="D25" s="47" t="s">
        <v>29</v>
      </c>
      <c r="E25" s="48">
        <v>418</v>
      </c>
      <c r="F25" s="49">
        <v>1.31</v>
      </c>
      <c r="G25" s="50">
        <v>26</v>
      </c>
      <c r="H25" s="16">
        <v>4487074</v>
      </c>
      <c r="I25" s="16">
        <v>15061145</v>
      </c>
      <c r="J25" s="16">
        <v>0</v>
      </c>
      <c r="K25" s="16">
        <v>19548219</v>
      </c>
      <c r="L25" s="16">
        <v>2000000</v>
      </c>
      <c r="M25" s="16">
        <v>495464</v>
      </c>
      <c r="N25" s="16">
        <v>47187</v>
      </c>
      <c r="O25" s="16">
        <v>2785281</v>
      </c>
      <c r="P25" s="16">
        <v>14220287</v>
      </c>
      <c r="Q25" s="44">
        <v>10174918</v>
      </c>
      <c r="R25" s="61">
        <v>9373301</v>
      </c>
      <c r="S25" s="20" t="s">
        <v>28</v>
      </c>
    </row>
    <row r="26" spans="1:19" ht="18" customHeight="1">
      <c r="A26" s="15" t="s">
        <v>178</v>
      </c>
      <c r="B26" s="45" t="s">
        <v>30</v>
      </c>
      <c r="C26" s="46">
        <v>17</v>
      </c>
      <c r="D26" s="47" t="s">
        <v>31</v>
      </c>
      <c r="E26" s="48">
        <v>418</v>
      </c>
      <c r="F26" s="49">
        <v>1.0900000000000001</v>
      </c>
      <c r="G26" s="50">
        <v>26</v>
      </c>
      <c r="H26" s="16">
        <v>3733520</v>
      </c>
      <c r="I26" s="16">
        <v>8776224</v>
      </c>
      <c r="J26" s="16">
        <v>0</v>
      </c>
      <c r="K26" s="16">
        <v>12509744</v>
      </c>
      <c r="L26" s="16">
        <v>2000000</v>
      </c>
      <c r="M26" s="16">
        <v>495464</v>
      </c>
      <c r="N26" s="16">
        <v>47187</v>
      </c>
      <c r="O26" s="16">
        <v>1516572</v>
      </c>
      <c r="P26" s="16">
        <v>8450521</v>
      </c>
      <c r="Q26" s="44">
        <v>9400223</v>
      </c>
      <c r="R26" s="61">
        <v>3109521</v>
      </c>
      <c r="S26" s="20" t="s">
        <v>30</v>
      </c>
    </row>
    <row r="27" spans="1:19" ht="18" customHeight="1">
      <c r="A27" s="15" t="s">
        <v>176</v>
      </c>
      <c r="B27" s="45" t="s">
        <v>32</v>
      </c>
      <c r="C27" s="46">
        <v>18</v>
      </c>
      <c r="D27" s="47" t="s">
        <v>33</v>
      </c>
      <c r="E27" s="48">
        <v>418</v>
      </c>
      <c r="F27" s="49">
        <v>1.31</v>
      </c>
      <c r="G27" s="50">
        <v>24</v>
      </c>
      <c r="H27" s="16">
        <v>12046760</v>
      </c>
      <c r="I27" s="16">
        <v>0</v>
      </c>
      <c r="J27" s="16">
        <v>0</v>
      </c>
      <c r="K27" s="16">
        <v>12046760</v>
      </c>
      <c r="L27" s="16">
        <v>2000000</v>
      </c>
      <c r="M27" s="16">
        <v>495464</v>
      </c>
      <c r="N27" s="16">
        <v>47187</v>
      </c>
      <c r="O27" s="16">
        <v>1174246</v>
      </c>
      <c r="P27" s="16">
        <v>8329863</v>
      </c>
      <c r="Q27" s="44">
        <v>9981460</v>
      </c>
      <c r="R27" s="61">
        <v>2065300</v>
      </c>
      <c r="S27" s="20" t="s">
        <v>32</v>
      </c>
    </row>
    <row r="28" spans="1:19" ht="18" customHeight="1">
      <c r="A28" s="15" t="s">
        <v>178</v>
      </c>
      <c r="B28" s="45" t="s">
        <v>272</v>
      </c>
      <c r="C28" s="46">
        <v>19</v>
      </c>
      <c r="D28" s="47" t="s">
        <v>273</v>
      </c>
      <c r="E28" s="48">
        <v>478</v>
      </c>
      <c r="F28" s="49">
        <v>0.94</v>
      </c>
      <c r="G28" s="50">
        <v>22</v>
      </c>
      <c r="H28" s="16">
        <v>3375071</v>
      </c>
      <c r="I28" s="16">
        <v>11052754</v>
      </c>
      <c r="J28" s="16">
        <v>0</v>
      </c>
      <c r="K28" s="16">
        <v>14427825</v>
      </c>
      <c r="L28" s="16">
        <v>2000000</v>
      </c>
      <c r="M28" s="16">
        <v>495464</v>
      </c>
      <c r="N28" s="16">
        <v>47187</v>
      </c>
      <c r="O28" s="16">
        <v>1389327</v>
      </c>
      <c r="P28" s="16">
        <v>10495847</v>
      </c>
      <c r="Q28" s="44">
        <v>13805943</v>
      </c>
      <c r="R28" s="61">
        <v>621882</v>
      </c>
      <c r="S28" s="20" t="s">
        <v>272</v>
      </c>
    </row>
    <row r="29" spans="1:19" ht="18" customHeight="1">
      <c r="A29" s="15" t="s">
        <v>184</v>
      </c>
      <c r="B29" s="45" t="s">
        <v>271</v>
      </c>
      <c r="C29" s="46">
        <v>20</v>
      </c>
      <c r="D29" s="47" t="s">
        <v>269</v>
      </c>
      <c r="E29" s="48">
        <v>431</v>
      </c>
      <c r="F29" s="49">
        <v>0.45</v>
      </c>
      <c r="G29" s="50">
        <v>24</v>
      </c>
      <c r="H29" s="16">
        <v>1587600</v>
      </c>
      <c r="I29" s="16">
        <v>6329363</v>
      </c>
      <c r="J29" s="16">
        <v>0</v>
      </c>
      <c r="K29" s="16">
        <v>7916963</v>
      </c>
      <c r="L29" s="16">
        <v>2000000</v>
      </c>
      <c r="M29" s="16">
        <v>387608</v>
      </c>
      <c r="N29" s="16">
        <v>36915</v>
      </c>
      <c r="O29" s="16">
        <v>569617</v>
      </c>
      <c r="P29" s="16">
        <v>4922823</v>
      </c>
      <c r="Q29" s="44">
        <v>12290996</v>
      </c>
      <c r="R29" s="61">
        <v>-4374033</v>
      </c>
      <c r="S29" s="20" t="s">
        <v>271</v>
      </c>
    </row>
    <row r="30" spans="1:19" ht="18" customHeight="1">
      <c r="A30" s="15" t="s">
        <v>178</v>
      </c>
      <c r="B30" s="45" t="s">
        <v>212</v>
      </c>
      <c r="C30" s="46">
        <v>21</v>
      </c>
      <c r="D30" s="47" t="s">
        <v>213</v>
      </c>
      <c r="E30" s="48">
        <v>418</v>
      </c>
      <c r="F30" s="49">
        <v>1.28</v>
      </c>
      <c r="G30" s="50">
        <v>27</v>
      </c>
      <c r="H30" s="16">
        <v>4384317</v>
      </c>
      <c r="I30" s="16">
        <v>8582059</v>
      </c>
      <c r="J30" s="16">
        <v>0</v>
      </c>
      <c r="K30" s="16">
        <v>12966376</v>
      </c>
      <c r="L30" s="16">
        <v>2000000</v>
      </c>
      <c r="M30" s="16">
        <v>495464</v>
      </c>
      <c r="N30" s="16">
        <v>47187</v>
      </c>
      <c r="O30" s="16">
        <v>1680392</v>
      </c>
      <c r="P30" s="16">
        <v>8743333</v>
      </c>
      <c r="Q30" s="44">
        <v>10579694</v>
      </c>
      <c r="R30" s="61">
        <v>2386682</v>
      </c>
      <c r="S30" s="20" t="s">
        <v>212</v>
      </c>
    </row>
    <row r="31" spans="1:19" ht="18" customHeight="1">
      <c r="A31" s="15" t="s">
        <v>175</v>
      </c>
      <c r="B31" s="45" t="s">
        <v>217</v>
      </c>
      <c r="C31" s="46">
        <v>22</v>
      </c>
      <c r="D31" s="47" t="s">
        <v>216</v>
      </c>
      <c r="E31" s="48">
        <v>415</v>
      </c>
      <c r="F31" s="49">
        <v>1</v>
      </c>
      <c r="G31" s="50">
        <v>24</v>
      </c>
      <c r="H31" s="16">
        <v>9093960</v>
      </c>
      <c r="I31" s="16">
        <v>1785424</v>
      </c>
      <c r="J31" s="16">
        <v>0</v>
      </c>
      <c r="K31" s="16">
        <v>10879384</v>
      </c>
      <c r="L31" s="16">
        <v>2000000</v>
      </c>
      <c r="M31" s="16">
        <v>495464</v>
      </c>
      <c r="N31" s="16">
        <v>47187</v>
      </c>
      <c r="O31" s="16">
        <v>999140</v>
      </c>
      <c r="P31" s="16">
        <v>7337593</v>
      </c>
      <c r="Q31" s="44">
        <v>9001581</v>
      </c>
      <c r="R31" s="61">
        <v>1877803</v>
      </c>
      <c r="S31" s="20" t="s">
        <v>217</v>
      </c>
    </row>
    <row r="32" spans="1:19" ht="18" customHeight="1">
      <c r="A32" s="15" t="s">
        <v>178</v>
      </c>
      <c r="B32" s="45" t="s">
        <v>263</v>
      </c>
      <c r="C32" s="46">
        <v>23</v>
      </c>
      <c r="D32" s="47" t="s">
        <v>262</v>
      </c>
      <c r="E32" s="48">
        <v>418</v>
      </c>
      <c r="F32" s="49">
        <v>1.31</v>
      </c>
      <c r="G32" s="50">
        <v>24.5</v>
      </c>
      <c r="H32" s="16">
        <v>4487074</v>
      </c>
      <c r="I32" s="16">
        <v>14096977</v>
      </c>
      <c r="J32" s="16">
        <v>0</v>
      </c>
      <c r="K32" s="16">
        <v>18584051</v>
      </c>
      <c r="L32" s="16">
        <v>2000000</v>
      </c>
      <c r="M32" s="16">
        <v>495464</v>
      </c>
      <c r="N32" s="16">
        <v>47187</v>
      </c>
      <c r="O32" s="16">
        <v>2897428</v>
      </c>
      <c r="P32" s="16">
        <v>13143972</v>
      </c>
      <c r="Q32" s="44">
        <v>13960770</v>
      </c>
      <c r="R32" s="61">
        <v>4623281</v>
      </c>
      <c r="S32" s="20" t="s">
        <v>263</v>
      </c>
    </row>
    <row r="33" spans="1:19" ht="18" customHeight="1">
      <c r="A33" s="15" t="s">
        <v>178</v>
      </c>
      <c r="B33" s="45" t="s">
        <v>294</v>
      </c>
      <c r="C33" s="46">
        <v>24</v>
      </c>
      <c r="D33" s="47" t="s">
        <v>295</v>
      </c>
      <c r="E33" s="48">
        <v>418</v>
      </c>
      <c r="F33" s="49">
        <v>1.1499999999999999</v>
      </c>
      <c r="G33" s="50">
        <v>25.5</v>
      </c>
      <c r="H33" s="16">
        <v>3939035</v>
      </c>
      <c r="I33" s="16">
        <v>7966057</v>
      </c>
      <c r="J33" s="16">
        <v>0</v>
      </c>
      <c r="K33" s="16">
        <v>11905092</v>
      </c>
      <c r="L33" s="16">
        <v>2000000</v>
      </c>
      <c r="M33" s="16">
        <v>495464</v>
      </c>
      <c r="N33" s="16">
        <v>47187</v>
      </c>
      <c r="O33" s="16">
        <v>1486242</v>
      </c>
      <c r="P33" s="16">
        <v>7876199</v>
      </c>
      <c r="Q33" s="44">
        <v>10576643</v>
      </c>
      <c r="R33" s="61">
        <v>1328449</v>
      </c>
      <c r="S33" s="20" t="s">
        <v>294</v>
      </c>
    </row>
    <row r="34" spans="1:19" ht="18" customHeight="1">
      <c r="A34" s="15" t="s">
        <v>178</v>
      </c>
      <c r="B34" s="45" t="s">
        <v>434</v>
      </c>
      <c r="C34" s="46">
        <v>25</v>
      </c>
      <c r="D34" s="47" t="s">
        <v>435</v>
      </c>
      <c r="E34" s="48">
        <v>355</v>
      </c>
      <c r="F34" s="49">
        <v>1.17</v>
      </c>
      <c r="G34" s="50">
        <v>27</v>
      </c>
      <c r="H34" s="16">
        <v>3403532</v>
      </c>
      <c r="I34" s="16">
        <v>9312412</v>
      </c>
      <c r="J34" s="16">
        <v>0</v>
      </c>
      <c r="K34" s="16">
        <v>12715944</v>
      </c>
      <c r="L34" s="16">
        <v>2000000</v>
      </c>
      <c r="M34" s="16">
        <v>495464</v>
      </c>
      <c r="N34" s="16">
        <v>47187</v>
      </c>
      <c r="O34" s="16">
        <v>1627525</v>
      </c>
      <c r="P34" s="16">
        <v>8545768</v>
      </c>
      <c r="Q34" s="44">
        <v>11117650</v>
      </c>
      <c r="R34" s="61">
        <v>1598294</v>
      </c>
      <c r="S34" s="20" t="s">
        <v>434</v>
      </c>
    </row>
    <row r="35" spans="1:19" ht="18" customHeight="1">
      <c r="A35" s="15" t="s">
        <v>178</v>
      </c>
      <c r="B35" s="45" t="s">
        <v>1311</v>
      </c>
      <c r="C35" s="46">
        <v>26</v>
      </c>
      <c r="D35" s="47" t="s">
        <v>1316</v>
      </c>
      <c r="E35" s="48">
        <v>355</v>
      </c>
      <c r="F35" s="49">
        <v>1.17</v>
      </c>
      <c r="G35" s="50">
        <v>27.5</v>
      </c>
      <c r="H35" s="16">
        <v>3403532</v>
      </c>
      <c r="I35" s="16">
        <v>11875138</v>
      </c>
      <c r="J35" s="16">
        <v>0</v>
      </c>
      <c r="K35" s="16">
        <v>15278670</v>
      </c>
      <c r="L35" s="16">
        <v>2000000</v>
      </c>
      <c r="M35" s="16">
        <v>495464</v>
      </c>
      <c r="N35" s="16">
        <v>47187</v>
      </c>
      <c r="O35" s="16">
        <v>0</v>
      </c>
      <c r="P35" s="16">
        <v>12736019</v>
      </c>
      <c r="Q35" s="44">
        <v>9913158</v>
      </c>
      <c r="R35" s="61">
        <v>5365512</v>
      </c>
      <c r="S35" s="20" t="s">
        <v>1311</v>
      </c>
    </row>
    <row r="36" spans="1:19" ht="18" customHeight="1">
      <c r="A36" s="15" t="s">
        <v>179</v>
      </c>
      <c r="B36" s="45" t="s">
        <v>59</v>
      </c>
      <c r="C36" s="46">
        <v>27</v>
      </c>
      <c r="D36" s="47" t="s">
        <v>60</v>
      </c>
      <c r="E36" s="48">
        <v>478</v>
      </c>
      <c r="F36" s="49">
        <v>0.43</v>
      </c>
      <c r="G36" s="50">
        <v>24</v>
      </c>
      <c r="H36" s="16">
        <v>1673326</v>
      </c>
      <c r="I36" s="16">
        <v>9225933</v>
      </c>
      <c r="J36" s="16">
        <v>0</v>
      </c>
      <c r="K36" s="16">
        <v>10899259</v>
      </c>
      <c r="L36" s="16">
        <v>2000000</v>
      </c>
      <c r="M36" s="16">
        <v>433671</v>
      </c>
      <c r="N36" s="16">
        <v>41302</v>
      </c>
      <c r="O36" s="16">
        <v>391241</v>
      </c>
      <c r="P36" s="16">
        <v>8033045</v>
      </c>
      <c r="Q36" s="44">
        <v>12281982</v>
      </c>
      <c r="R36" s="61">
        <v>-1382723</v>
      </c>
      <c r="S36" s="20" t="s">
        <v>59</v>
      </c>
    </row>
    <row r="37" spans="1:19" ht="18" customHeight="1">
      <c r="A37" s="15" t="s">
        <v>179</v>
      </c>
      <c r="B37" s="45" t="s">
        <v>40</v>
      </c>
      <c r="C37" s="46">
        <v>28</v>
      </c>
      <c r="D37" s="47" t="s">
        <v>41</v>
      </c>
      <c r="E37" s="48">
        <v>543</v>
      </c>
      <c r="F37" s="49">
        <v>0.97</v>
      </c>
      <c r="G37" s="50">
        <v>24</v>
      </c>
      <c r="H37" s="16">
        <v>11552198</v>
      </c>
      <c r="I37" s="16">
        <v>1268112</v>
      </c>
      <c r="J37" s="16">
        <v>0</v>
      </c>
      <c r="K37" s="16">
        <v>12820310</v>
      </c>
      <c r="L37" s="16">
        <v>2000000</v>
      </c>
      <c r="M37" s="16">
        <v>433671</v>
      </c>
      <c r="N37" s="16">
        <v>41302</v>
      </c>
      <c r="O37" s="16">
        <v>1299548</v>
      </c>
      <c r="P37" s="16">
        <v>9045789</v>
      </c>
      <c r="Q37" s="44">
        <v>12664521</v>
      </c>
      <c r="R37" s="61">
        <v>155789</v>
      </c>
      <c r="S37" s="20" t="s">
        <v>40</v>
      </c>
    </row>
    <row r="38" spans="1:19" ht="18" customHeight="1">
      <c r="A38" s="15" t="s">
        <v>179</v>
      </c>
      <c r="B38" s="45" t="s">
        <v>53</v>
      </c>
      <c r="C38" s="46">
        <v>29</v>
      </c>
      <c r="D38" s="47" t="s">
        <v>138</v>
      </c>
      <c r="E38" s="48">
        <v>418</v>
      </c>
      <c r="F38" s="49">
        <v>1.0900000000000001</v>
      </c>
      <c r="G38" s="50">
        <v>24</v>
      </c>
      <c r="H38" s="16">
        <v>3742832</v>
      </c>
      <c r="I38" s="16">
        <v>7698773</v>
      </c>
      <c r="J38" s="16">
        <v>0</v>
      </c>
      <c r="K38" s="16">
        <v>11441605</v>
      </c>
      <c r="L38" s="16">
        <v>2000000</v>
      </c>
      <c r="M38" s="16">
        <v>433671</v>
      </c>
      <c r="N38" s="16">
        <v>41302</v>
      </c>
      <c r="O38" s="16">
        <v>1301720</v>
      </c>
      <c r="P38" s="16">
        <v>7664912</v>
      </c>
      <c r="Q38" s="44">
        <v>10217114</v>
      </c>
      <c r="R38" s="61">
        <v>1224491</v>
      </c>
      <c r="S38" s="20" t="s">
        <v>53</v>
      </c>
    </row>
    <row r="39" spans="1:19" ht="18" customHeight="1">
      <c r="A39" s="15" t="s">
        <v>179</v>
      </c>
      <c r="B39" s="45" t="s">
        <v>43</v>
      </c>
      <c r="C39" s="46">
        <v>30</v>
      </c>
      <c r="D39" s="47" t="s">
        <v>44</v>
      </c>
      <c r="E39" s="48">
        <v>394</v>
      </c>
      <c r="F39" s="49">
        <v>0.96</v>
      </c>
      <c r="G39" s="50">
        <v>24</v>
      </c>
      <c r="H39" s="16">
        <v>8295843</v>
      </c>
      <c r="I39" s="16">
        <v>868610</v>
      </c>
      <c r="J39" s="16">
        <v>0</v>
      </c>
      <c r="K39" s="16">
        <v>9164453</v>
      </c>
      <c r="L39" s="16">
        <v>2000000</v>
      </c>
      <c r="M39" s="16">
        <v>433671</v>
      </c>
      <c r="N39" s="16">
        <v>41302</v>
      </c>
      <c r="O39" s="16">
        <v>751169</v>
      </c>
      <c r="P39" s="16">
        <v>5938311</v>
      </c>
      <c r="Q39" s="44">
        <v>10153108</v>
      </c>
      <c r="R39" s="61">
        <v>-988655</v>
      </c>
      <c r="S39" s="20" t="s">
        <v>43</v>
      </c>
    </row>
    <row r="40" spans="1:19" ht="18" customHeight="1">
      <c r="A40" s="15" t="s">
        <v>179</v>
      </c>
      <c r="B40" s="45" t="s">
        <v>45</v>
      </c>
      <c r="C40" s="46">
        <v>31</v>
      </c>
      <c r="D40" s="47" t="s">
        <v>46</v>
      </c>
      <c r="E40" s="48">
        <v>418</v>
      </c>
      <c r="F40" s="49">
        <v>0.98</v>
      </c>
      <c r="G40" s="50">
        <v>24</v>
      </c>
      <c r="H40" s="16">
        <v>3365115</v>
      </c>
      <c r="I40" s="16">
        <v>5865269</v>
      </c>
      <c r="J40" s="16">
        <v>0</v>
      </c>
      <c r="K40" s="16">
        <v>9230384</v>
      </c>
      <c r="L40" s="16">
        <v>2000000</v>
      </c>
      <c r="M40" s="16">
        <v>433671</v>
      </c>
      <c r="N40" s="16">
        <v>41302</v>
      </c>
      <c r="O40" s="16">
        <v>793909</v>
      </c>
      <c r="P40" s="16">
        <v>5961502</v>
      </c>
      <c r="Q40" s="44">
        <v>7111859</v>
      </c>
      <c r="R40" s="61">
        <v>2118525</v>
      </c>
      <c r="S40" s="20" t="s">
        <v>45</v>
      </c>
    </row>
    <row r="41" spans="1:19" ht="18" customHeight="1">
      <c r="A41" s="15" t="s">
        <v>179</v>
      </c>
      <c r="B41" s="45" t="s">
        <v>47</v>
      </c>
      <c r="C41" s="46">
        <v>32</v>
      </c>
      <c r="D41" s="47" t="s">
        <v>48</v>
      </c>
      <c r="E41" s="48">
        <v>431</v>
      </c>
      <c r="F41" s="49">
        <v>1.17</v>
      </c>
      <c r="G41" s="50">
        <v>24</v>
      </c>
      <c r="H41" s="16">
        <v>4142483</v>
      </c>
      <c r="I41" s="16">
        <v>9507803</v>
      </c>
      <c r="J41" s="16">
        <v>0</v>
      </c>
      <c r="K41" s="16">
        <v>13650286</v>
      </c>
      <c r="L41" s="16">
        <v>2000000</v>
      </c>
      <c r="M41" s="16">
        <v>433671</v>
      </c>
      <c r="N41" s="16">
        <v>41302</v>
      </c>
      <c r="O41" s="16">
        <v>1902760</v>
      </c>
      <c r="P41" s="16">
        <v>9272553</v>
      </c>
      <c r="Q41" s="44">
        <v>9763555</v>
      </c>
      <c r="R41" s="61">
        <v>3886731</v>
      </c>
      <c r="S41" s="20" t="s">
        <v>47</v>
      </c>
    </row>
    <row r="42" spans="1:19" ht="18" customHeight="1">
      <c r="A42" s="15" t="s">
        <v>179</v>
      </c>
      <c r="B42" s="45" t="s">
        <v>55</v>
      </c>
      <c r="C42" s="46">
        <v>33</v>
      </c>
      <c r="D42" s="47" t="s">
        <v>56</v>
      </c>
      <c r="E42" s="48">
        <v>478</v>
      </c>
      <c r="F42" s="49">
        <v>1.19</v>
      </c>
      <c r="G42" s="50">
        <v>24</v>
      </c>
      <c r="H42" s="16">
        <v>4672749</v>
      </c>
      <c r="I42" s="16">
        <v>13330033</v>
      </c>
      <c r="J42" s="16">
        <v>0</v>
      </c>
      <c r="K42" s="16">
        <v>18002782</v>
      </c>
      <c r="L42" s="16">
        <v>2000000</v>
      </c>
      <c r="M42" s="16">
        <v>433671</v>
      </c>
      <c r="N42" s="16">
        <v>41302</v>
      </c>
      <c r="O42" s="16">
        <v>2240829</v>
      </c>
      <c r="P42" s="16">
        <v>13286980</v>
      </c>
      <c r="Q42" s="44">
        <v>16656042</v>
      </c>
      <c r="R42" s="61">
        <v>1346740</v>
      </c>
      <c r="S42" s="20" t="s">
        <v>55</v>
      </c>
    </row>
    <row r="43" spans="1:19" ht="18" customHeight="1">
      <c r="A43" s="15" t="s">
        <v>179</v>
      </c>
      <c r="B43" s="45" t="s">
        <v>49</v>
      </c>
      <c r="C43" s="46">
        <v>34</v>
      </c>
      <c r="D43" s="47" t="s">
        <v>50</v>
      </c>
      <c r="E43" s="48">
        <v>478</v>
      </c>
      <c r="F43" s="49">
        <v>1.19</v>
      </c>
      <c r="G43" s="50">
        <v>24</v>
      </c>
      <c r="H43" s="16">
        <v>4672749</v>
      </c>
      <c r="I43" s="16">
        <v>12718432</v>
      </c>
      <c r="J43" s="16">
        <v>0</v>
      </c>
      <c r="K43" s="16">
        <v>17391181</v>
      </c>
      <c r="L43" s="16">
        <v>2000000</v>
      </c>
      <c r="M43" s="16">
        <v>433671</v>
      </c>
      <c r="N43" s="16">
        <v>41302</v>
      </c>
      <c r="O43" s="16">
        <v>3078104</v>
      </c>
      <c r="P43" s="16">
        <v>11838104</v>
      </c>
      <c r="Q43" s="44">
        <v>16226727</v>
      </c>
      <c r="R43" s="61">
        <v>1164454</v>
      </c>
      <c r="S43" s="20" t="s">
        <v>49</v>
      </c>
    </row>
    <row r="44" spans="1:19" ht="18" customHeight="1">
      <c r="A44" s="15" t="s">
        <v>179</v>
      </c>
      <c r="B44" s="45" t="s">
        <v>51</v>
      </c>
      <c r="C44" s="46">
        <v>35</v>
      </c>
      <c r="D44" s="47" t="s">
        <v>52</v>
      </c>
      <c r="E44" s="48">
        <v>418</v>
      </c>
      <c r="F44" s="49">
        <v>1.2</v>
      </c>
      <c r="G44" s="50">
        <v>24</v>
      </c>
      <c r="H44" s="16">
        <v>4120549</v>
      </c>
      <c r="I44" s="16">
        <v>6286775</v>
      </c>
      <c r="J44" s="16">
        <v>0</v>
      </c>
      <c r="K44" s="16">
        <v>10407324</v>
      </c>
      <c r="L44" s="16">
        <v>2000000</v>
      </c>
      <c r="M44" s="16">
        <v>433671</v>
      </c>
      <c r="N44" s="16">
        <v>41302</v>
      </c>
      <c r="O44" s="16">
        <v>1309433</v>
      </c>
      <c r="P44" s="16">
        <v>6622918</v>
      </c>
      <c r="Q44" s="44">
        <v>10215826</v>
      </c>
      <c r="R44" s="61">
        <v>191498</v>
      </c>
      <c r="S44" s="20" t="s">
        <v>51</v>
      </c>
    </row>
    <row r="45" spans="1:19" ht="18" customHeight="1">
      <c r="A45" s="15" t="s">
        <v>179</v>
      </c>
      <c r="B45" s="45" t="s">
        <v>158</v>
      </c>
      <c r="C45" s="46">
        <v>36</v>
      </c>
      <c r="D45" s="47" t="s">
        <v>146</v>
      </c>
      <c r="E45" s="48">
        <v>431</v>
      </c>
      <c r="F45" s="49">
        <v>0.49</v>
      </c>
      <c r="G45" s="50">
        <v>24</v>
      </c>
      <c r="H45" s="16">
        <v>1726284</v>
      </c>
      <c r="I45" s="16">
        <v>11922405</v>
      </c>
      <c r="J45" s="16">
        <v>0</v>
      </c>
      <c r="K45" s="16">
        <v>13648689</v>
      </c>
      <c r="L45" s="16">
        <v>2000000</v>
      </c>
      <c r="M45" s="16">
        <v>433671</v>
      </c>
      <c r="N45" s="16">
        <v>41302</v>
      </c>
      <c r="O45" s="16">
        <v>1353126</v>
      </c>
      <c r="P45" s="16">
        <v>9820590</v>
      </c>
      <c r="Q45" s="44">
        <v>12954953</v>
      </c>
      <c r="R45" s="61">
        <v>693736</v>
      </c>
      <c r="S45" s="20" t="s">
        <v>158</v>
      </c>
    </row>
    <row r="46" spans="1:19" ht="18" customHeight="1">
      <c r="A46" s="15" t="s">
        <v>179</v>
      </c>
      <c r="B46" s="45" t="s">
        <v>159</v>
      </c>
      <c r="C46" s="46">
        <v>37</v>
      </c>
      <c r="D46" s="47" t="s">
        <v>147</v>
      </c>
      <c r="E46" s="48">
        <v>431</v>
      </c>
      <c r="F46" s="49">
        <v>0.64</v>
      </c>
      <c r="G46" s="50">
        <v>24</v>
      </c>
      <c r="H46" s="16">
        <v>2245647</v>
      </c>
      <c r="I46" s="16">
        <v>4528847</v>
      </c>
      <c r="J46" s="16">
        <v>0</v>
      </c>
      <c r="K46" s="16">
        <v>6774494</v>
      </c>
      <c r="L46" s="16">
        <v>2000000</v>
      </c>
      <c r="M46" s="16">
        <v>433671</v>
      </c>
      <c r="N46" s="16">
        <v>41302</v>
      </c>
      <c r="O46" s="16">
        <v>0</v>
      </c>
      <c r="P46" s="16">
        <v>4299521</v>
      </c>
      <c r="Q46" s="44">
        <v>10592762</v>
      </c>
      <c r="R46" s="61">
        <v>-3818268</v>
      </c>
      <c r="S46" s="20" t="s">
        <v>159</v>
      </c>
    </row>
    <row r="47" spans="1:19" ht="18" customHeight="1">
      <c r="A47" s="15" t="s">
        <v>179</v>
      </c>
      <c r="B47" s="45" t="s">
        <v>214</v>
      </c>
      <c r="C47" s="46">
        <v>38</v>
      </c>
      <c r="D47" s="47" t="s">
        <v>215</v>
      </c>
      <c r="E47" s="48">
        <v>524</v>
      </c>
      <c r="F47" s="49">
        <v>0</v>
      </c>
      <c r="G47" s="50">
        <v>0</v>
      </c>
      <c r="H47" s="16">
        <v>0</v>
      </c>
      <c r="I47" s="16">
        <v>14954</v>
      </c>
      <c r="J47" s="16">
        <v>0</v>
      </c>
      <c r="K47" s="16">
        <v>14954</v>
      </c>
      <c r="L47" s="16">
        <v>0</v>
      </c>
      <c r="M47" s="16">
        <v>0</v>
      </c>
      <c r="N47" s="16">
        <v>0</v>
      </c>
      <c r="O47" s="16">
        <v>14277</v>
      </c>
      <c r="P47" s="16">
        <v>677</v>
      </c>
      <c r="Q47" s="44">
        <v>2887217</v>
      </c>
      <c r="R47" s="61">
        <v>-2872263</v>
      </c>
      <c r="S47" s="20" t="s">
        <v>214</v>
      </c>
    </row>
    <row r="48" spans="1:19" ht="18" customHeight="1">
      <c r="A48" s="15" t="s">
        <v>179</v>
      </c>
      <c r="B48" s="45" t="s">
        <v>283</v>
      </c>
      <c r="C48" s="46">
        <v>39</v>
      </c>
      <c r="D48" s="47" t="s">
        <v>281</v>
      </c>
      <c r="E48" s="48">
        <v>355</v>
      </c>
      <c r="F48" s="49">
        <v>1.02</v>
      </c>
      <c r="G48" s="50">
        <v>24</v>
      </c>
      <c r="H48" s="16">
        <v>7941848</v>
      </c>
      <c r="I48" s="16">
        <v>1459525</v>
      </c>
      <c r="J48" s="16">
        <v>0</v>
      </c>
      <c r="K48" s="16">
        <v>9401373</v>
      </c>
      <c r="L48" s="16">
        <v>2000000</v>
      </c>
      <c r="M48" s="16">
        <v>433671</v>
      </c>
      <c r="N48" s="16">
        <v>41302</v>
      </c>
      <c r="O48" s="16">
        <v>786707</v>
      </c>
      <c r="P48" s="16">
        <v>6139693</v>
      </c>
      <c r="Q48" s="44">
        <v>9085867</v>
      </c>
      <c r="R48" s="61">
        <v>315506</v>
      </c>
      <c r="S48" s="20" t="s">
        <v>283</v>
      </c>
    </row>
    <row r="49" spans="1:19" ht="18" customHeight="1">
      <c r="A49" s="15" t="s">
        <v>179</v>
      </c>
      <c r="B49" s="45" t="s">
        <v>1471</v>
      </c>
      <c r="C49" s="46">
        <v>40</v>
      </c>
      <c r="D49" s="47" t="s">
        <v>690</v>
      </c>
      <c r="E49" s="48">
        <v>431</v>
      </c>
      <c r="F49" s="49">
        <v>0.2</v>
      </c>
      <c r="G49" s="50">
        <v>24</v>
      </c>
      <c r="H49" s="16">
        <v>703966</v>
      </c>
      <c r="I49" s="16">
        <v>7185933</v>
      </c>
      <c r="J49" s="16">
        <v>0</v>
      </c>
      <c r="K49" s="16">
        <v>7889899</v>
      </c>
      <c r="L49" s="16">
        <v>2000000</v>
      </c>
      <c r="M49" s="16">
        <v>433671</v>
      </c>
      <c r="N49" s="16">
        <v>41302</v>
      </c>
      <c r="O49" s="16">
        <v>0</v>
      </c>
      <c r="P49" s="16">
        <v>5414926</v>
      </c>
      <c r="Q49" s="44">
        <v>9374516</v>
      </c>
      <c r="R49" s="61">
        <v>-1484617</v>
      </c>
      <c r="S49" s="20" t="s">
        <v>1471</v>
      </c>
    </row>
    <row r="50" spans="1:19" ht="18" customHeight="1">
      <c r="A50" s="15" t="s">
        <v>180</v>
      </c>
      <c r="B50" s="45" t="s">
        <v>66</v>
      </c>
      <c r="C50" s="46">
        <v>41</v>
      </c>
      <c r="D50" s="47" t="s">
        <v>67</v>
      </c>
      <c r="E50" s="48">
        <v>335</v>
      </c>
      <c r="F50" s="49">
        <v>1.06</v>
      </c>
      <c r="G50" s="50">
        <v>24</v>
      </c>
      <c r="H50" s="16">
        <v>7773414</v>
      </c>
      <c r="I50" s="16">
        <v>2995056</v>
      </c>
      <c r="J50" s="16">
        <v>0</v>
      </c>
      <c r="K50" s="16">
        <v>10768470</v>
      </c>
      <c r="L50" s="16">
        <v>2000000</v>
      </c>
      <c r="M50" s="16">
        <v>387608</v>
      </c>
      <c r="N50" s="16">
        <v>36915</v>
      </c>
      <c r="O50" s="16">
        <v>998681</v>
      </c>
      <c r="P50" s="16">
        <v>7345266</v>
      </c>
      <c r="Q50" s="44">
        <v>12148089</v>
      </c>
      <c r="R50" s="61">
        <v>-1379619</v>
      </c>
      <c r="S50" s="20" t="s">
        <v>66</v>
      </c>
    </row>
    <row r="51" spans="1:19" ht="18" customHeight="1">
      <c r="A51" s="15" t="s">
        <v>180</v>
      </c>
      <c r="B51" s="45" t="s">
        <v>171</v>
      </c>
      <c r="C51" s="46">
        <v>42</v>
      </c>
      <c r="D51" s="47" t="s">
        <v>168</v>
      </c>
      <c r="E51" s="48">
        <v>431</v>
      </c>
      <c r="F51" s="49">
        <v>0.62</v>
      </c>
      <c r="G51" s="50">
        <v>24</v>
      </c>
      <c r="H51" s="16">
        <v>2189782</v>
      </c>
      <c r="I51" s="16">
        <v>8755619</v>
      </c>
      <c r="J51" s="16">
        <v>0</v>
      </c>
      <c r="K51" s="16">
        <v>10945401</v>
      </c>
      <c r="L51" s="16">
        <v>2000000</v>
      </c>
      <c r="M51" s="16">
        <v>387608</v>
      </c>
      <c r="N51" s="16">
        <v>36915</v>
      </c>
      <c r="O51" s="16">
        <v>864692</v>
      </c>
      <c r="P51" s="16">
        <v>7656186</v>
      </c>
      <c r="Q51" s="44">
        <v>12827628</v>
      </c>
      <c r="R51" s="61">
        <v>-1882227</v>
      </c>
      <c r="S51" s="20" t="s">
        <v>171</v>
      </c>
    </row>
    <row r="52" spans="1:19" ht="18" customHeight="1">
      <c r="A52" s="15" t="s">
        <v>180</v>
      </c>
      <c r="B52" s="45" t="s">
        <v>64</v>
      </c>
      <c r="C52" s="46">
        <v>43</v>
      </c>
      <c r="D52" s="47" t="s">
        <v>65</v>
      </c>
      <c r="E52" s="48">
        <v>418</v>
      </c>
      <c r="F52" s="49">
        <v>1.05</v>
      </c>
      <c r="G52" s="50">
        <v>26</v>
      </c>
      <c r="H52" s="16">
        <v>3598580</v>
      </c>
      <c r="I52" s="16">
        <v>5583521</v>
      </c>
      <c r="J52" s="16">
        <v>0</v>
      </c>
      <c r="K52" s="16">
        <v>9182101</v>
      </c>
      <c r="L52" s="16">
        <v>2000000</v>
      </c>
      <c r="M52" s="16">
        <v>387608</v>
      </c>
      <c r="N52" s="16">
        <v>36915</v>
      </c>
      <c r="O52" s="16">
        <v>785476</v>
      </c>
      <c r="P52" s="16">
        <v>5972102</v>
      </c>
      <c r="Q52" s="44">
        <v>8380249</v>
      </c>
      <c r="R52" s="61">
        <v>801852</v>
      </c>
      <c r="S52" s="20" t="s">
        <v>64</v>
      </c>
    </row>
    <row r="53" spans="1:19" ht="18" customHeight="1">
      <c r="A53" s="15" t="s">
        <v>180</v>
      </c>
      <c r="B53" s="45" t="s">
        <v>160</v>
      </c>
      <c r="C53" s="46">
        <v>44</v>
      </c>
      <c r="D53" s="47" t="s">
        <v>148</v>
      </c>
      <c r="E53" s="48">
        <v>431</v>
      </c>
      <c r="F53" s="49">
        <v>0.7</v>
      </c>
      <c r="G53" s="50">
        <v>24</v>
      </c>
      <c r="H53" s="16">
        <v>2483025</v>
      </c>
      <c r="I53" s="16">
        <v>16615945</v>
      </c>
      <c r="J53" s="16">
        <v>0</v>
      </c>
      <c r="K53" s="16">
        <v>19098970</v>
      </c>
      <c r="L53" s="16">
        <v>2000000</v>
      </c>
      <c r="M53" s="16">
        <v>387608</v>
      </c>
      <c r="N53" s="16">
        <v>36915</v>
      </c>
      <c r="O53" s="16">
        <v>2201636</v>
      </c>
      <c r="P53" s="16">
        <v>14472811</v>
      </c>
      <c r="Q53" s="44">
        <v>16343797</v>
      </c>
      <c r="R53" s="61">
        <v>2755173</v>
      </c>
      <c r="S53" s="20" t="s">
        <v>160</v>
      </c>
    </row>
    <row r="54" spans="1:19" ht="18" customHeight="1">
      <c r="A54" s="15" t="s">
        <v>180</v>
      </c>
      <c r="B54" s="45" t="s">
        <v>284</v>
      </c>
      <c r="C54" s="46">
        <v>45</v>
      </c>
      <c r="D54" s="47" t="s">
        <v>282</v>
      </c>
      <c r="E54" s="48">
        <v>524</v>
      </c>
      <c r="F54" s="49">
        <v>0.68</v>
      </c>
      <c r="G54" s="50">
        <v>24</v>
      </c>
      <c r="H54" s="16">
        <v>2936077</v>
      </c>
      <c r="I54" s="16">
        <v>4642888</v>
      </c>
      <c r="J54" s="16">
        <v>0</v>
      </c>
      <c r="K54" s="16">
        <v>7578965</v>
      </c>
      <c r="L54" s="16">
        <v>2000000</v>
      </c>
      <c r="M54" s="16">
        <v>387608</v>
      </c>
      <c r="N54" s="16">
        <v>36915</v>
      </c>
      <c r="O54" s="16">
        <v>614337</v>
      </c>
      <c r="P54" s="16">
        <v>4540105</v>
      </c>
      <c r="Q54" s="44">
        <v>8961531</v>
      </c>
      <c r="R54" s="61">
        <v>-1382566</v>
      </c>
      <c r="S54" s="20" t="s">
        <v>284</v>
      </c>
    </row>
    <row r="55" spans="1:19" ht="18" customHeight="1">
      <c r="A55" s="15" t="s">
        <v>180</v>
      </c>
      <c r="B55" s="45" t="s">
        <v>290</v>
      </c>
      <c r="C55" s="46">
        <v>46</v>
      </c>
      <c r="D55" s="47" t="s">
        <v>289</v>
      </c>
      <c r="E55" s="48">
        <v>418</v>
      </c>
      <c r="F55" s="49">
        <v>0.7</v>
      </c>
      <c r="G55" s="50">
        <v>24</v>
      </c>
      <c r="H55" s="16">
        <v>2395593</v>
      </c>
      <c r="I55" s="16">
        <v>8903554</v>
      </c>
      <c r="J55" s="16">
        <v>0</v>
      </c>
      <c r="K55" s="16">
        <v>11299147</v>
      </c>
      <c r="L55" s="16">
        <v>2000000</v>
      </c>
      <c r="M55" s="16">
        <v>387608</v>
      </c>
      <c r="N55" s="16">
        <v>36915</v>
      </c>
      <c r="O55" s="16">
        <v>942204</v>
      </c>
      <c r="P55" s="16">
        <v>7932420</v>
      </c>
      <c r="Q55" s="44">
        <v>10022794</v>
      </c>
      <c r="R55" s="61">
        <v>1276353</v>
      </c>
      <c r="S55" s="20" t="s">
        <v>290</v>
      </c>
    </row>
    <row r="56" spans="1:19" ht="18" customHeight="1">
      <c r="A56" s="15" t="s">
        <v>180</v>
      </c>
      <c r="B56" s="45" t="s">
        <v>1312</v>
      </c>
      <c r="C56" s="46">
        <v>47</v>
      </c>
      <c r="D56" s="47" t="s">
        <v>1314</v>
      </c>
      <c r="E56" s="48">
        <v>366</v>
      </c>
      <c r="F56" s="49">
        <v>1.02</v>
      </c>
      <c r="G56" s="50">
        <v>27</v>
      </c>
      <c r="H56" s="16">
        <v>3060884</v>
      </c>
      <c r="I56" s="16">
        <v>4749431</v>
      </c>
      <c r="J56" s="16">
        <v>0</v>
      </c>
      <c r="K56" s="16">
        <v>7810315</v>
      </c>
      <c r="L56" s="16">
        <v>2000000</v>
      </c>
      <c r="M56" s="16">
        <v>387608</v>
      </c>
      <c r="N56" s="16">
        <v>36915</v>
      </c>
      <c r="O56" s="16">
        <v>0</v>
      </c>
      <c r="P56" s="16">
        <v>5385792</v>
      </c>
      <c r="Q56" s="44">
        <v>6833290</v>
      </c>
      <c r="R56" s="61">
        <v>977025</v>
      </c>
      <c r="S56" s="20" t="s">
        <v>1312</v>
      </c>
    </row>
    <row r="57" spans="1:19" ht="18" customHeight="1">
      <c r="A57" s="15" t="s">
        <v>180</v>
      </c>
      <c r="B57" s="45" t="s">
        <v>2057</v>
      </c>
      <c r="C57" s="46">
        <v>48</v>
      </c>
      <c r="D57" s="47" t="s">
        <v>1434</v>
      </c>
      <c r="E57" s="48">
        <v>366</v>
      </c>
      <c r="F57" s="49">
        <v>0.73</v>
      </c>
      <c r="G57" s="50">
        <v>24</v>
      </c>
      <c r="H57" s="16">
        <v>2190633</v>
      </c>
      <c r="I57" s="16">
        <v>7130029</v>
      </c>
      <c r="J57" s="16">
        <v>0</v>
      </c>
      <c r="K57" s="16">
        <v>9320662</v>
      </c>
      <c r="L57" s="16">
        <v>2000000</v>
      </c>
      <c r="M57" s="16">
        <v>387608</v>
      </c>
      <c r="N57" s="16">
        <v>36915</v>
      </c>
      <c r="O57" s="16">
        <v>0</v>
      </c>
      <c r="P57" s="16">
        <v>6896139</v>
      </c>
      <c r="Q57" s="44">
        <v>11266237</v>
      </c>
      <c r="R57" s="61">
        <v>-1945575</v>
      </c>
      <c r="S57" s="20" t="s">
        <v>2057</v>
      </c>
    </row>
    <row r="58" spans="1:19" ht="18" customHeight="1">
      <c r="A58" s="15" t="s">
        <v>181</v>
      </c>
      <c r="B58" s="45" t="s">
        <v>68</v>
      </c>
      <c r="C58" s="46">
        <v>49</v>
      </c>
      <c r="D58" s="47" t="s">
        <v>69</v>
      </c>
      <c r="E58" s="48">
        <v>335</v>
      </c>
      <c r="F58" s="49">
        <v>1.06</v>
      </c>
      <c r="G58" s="50">
        <v>24</v>
      </c>
      <c r="H58" s="16">
        <v>7765462</v>
      </c>
      <c r="I58" s="16">
        <v>1395600</v>
      </c>
      <c r="J58" s="16">
        <v>0</v>
      </c>
      <c r="K58" s="16">
        <v>9161062</v>
      </c>
      <c r="L58" s="16">
        <v>2000000</v>
      </c>
      <c r="M58" s="16">
        <v>387608</v>
      </c>
      <c r="N58" s="16">
        <v>36915</v>
      </c>
      <c r="O58" s="16">
        <v>757570</v>
      </c>
      <c r="P58" s="16">
        <v>5978969</v>
      </c>
      <c r="Q58" s="44">
        <v>8521263</v>
      </c>
      <c r="R58" s="61">
        <v>639799</v>
      </c>
      <c r="S58" s="20" t="s">
        <v>68</v>
      </c>
    </row>
    <row r="59" spans="1:19" ht="18" customHeight="1">
      <c r="A59" s="15" t="s">
        <v>181</v>
      </c>
      <c r="B59" s="45" t="s">
        <v>71</v>
      </c>
      <c r="C59" s="46">
        <v>50</v>
      </c>
      <c r="D59" s="47" t="s">
        <v>72</v>
      </c>
      <c r="E59" s="48">
        <v>418</v>
      </c>
      <c r="F59" s="49">
        <v>1.29</v>
      </c>
      <c r="G59" s="50">
        <v>24</v>
      </c>
      <c r="H59" s="16">
        <v>4416591</v>
      </c>
      <c r="I59" s="16">
        <v>22722573</v>
      </c>
      <c r="J59" s="16">
        <v>0</v>
      </c>
      <c r="K59" s="16">
        <v>27139164</v>
      </c>
      <c r="L59" s="16">
        <v>2000000</v>
      </c>
      <c r="M59" s="16">
        <v>387608</v>
      </c>
      <c r="N59" s="16">
        <v>36915</v>
      </c>
      <c r="O59" s="16">
        <v>4938790</v>
      </c>
      <c r="P59" s="16">
        <v>19775851</v>
      </c>
      <c r="Q59" s="44">
        <v>18361280</v>
      </c>
      <c r="R59" s="61">
        <v>8777884</v>
      </c>
      <c r="S59" s="20" t="s">
        <v>71</v>
      </c>
    </row>
    <row r="60" spans="1:19" ht="18" customHeight="1">
      <c r="A60" s="15" t="s">
        <v>181</v>
      </c>
      <c r="B60" s="45" t="s">
        <v>73</v>
      </c>
      <c r="C60" s="46">
        <v>51</v>
      </c>
      <c r="D60" s="47" t="s">
        <v>182</v>
      </c>
      <c r="E60" s="48">
        <v>431</v>
      </c>
      <c r="F60" s="49">
        <v>0.56000000000000005</v>
      </c>
      <c r="G60" s="50">
        <v>24</v>
      </c>
      <c r="H60" s="16">
        <v>1975680</v>
      </c>
      <c r="I60" s="16">
        <v>5557923</v>
      </c>
      <c r="J60" s="16">
        <v>0</v>
      </c>
      <c r="K60" s="16">
        <v>7533603</v>
      </c>
      <c r="L60" s="16">
        <v>2000000</v>
      </c>
      <c r="M60" s="16">
        <v>387608</v>
      </c>
      <c r="N60" s="16">
        <v>36915</v>
      </c>
      <c r="O60" s="16">
        <v>530581</v>
      </c>
      <c r="P60" s="16">
        <v>4578499</v>
      </c>
      <c r="Q60" s="44">
        <v>8694447</v>
      </c>
      <c r="R60" s="61">
        <v>-1160844</v>
      </c>
      <c r="S60" s="20" t="s">
        <v>73</v>
      </c>
    </row>
    <row r="61" spans="1:19" ht="18" customHeight="1">
      <c r="A61" s="15" t="s">
        <v>181</v>
      </c>
      <c r="B61" s="45" t="s">
        <v>162</v>
      </c>
      <c r="C61" s="46">
        <v>52</v>
      </c>
      <c r="D61" s="47" t="s">
        <v>150</v>
      </c>
      <c r="E61" s="48">
        <v>431</v>
      </c>
      <c r="F61" s="49">
        <v>0.39</v>
      </c>
      <c r="G61" s="50">
        <v>24</v>
      </c>
      <c r="H61" s="16">
        <v>1375920</v>
      </c>
      <c r="I61" s="16">
        <v>9343666</v>
      </c>
      <c r="J61" s="16">
        <v>0</v>
      </c>
      <c r="K61" s="16">
        <v>10719586</v>
      </c>
      <c r="L61" s="16">
        <v>2000000</v>
      </c>
      <c r="M61" s="16">
        <v>387608</v>
      </c>
      <c r="N61" s="16">
        <v>36915</v>
      </c>
      <c r="O61" s="16">
        <v>865305</v>
      </c>
      <c r="P61" s="16">
        <v>7429758</v>
      </c>
      <c r="Q61" s="44">
        <v>13483485</v>
      </c>
      <c r="R61" s="61">
        <v>-2763899</v>
      </c>
      <c r="S61" s="20" t="s">
        <v>162</v>
      </c>
    </row>
    <row r="62" spans="1:19" ht="18" customHeight="1">
      <c r="A62" s="15" t="s">
        <v>181</v>
      </c>
      <c r="B62" s="45" t="s">
        <v>166</v>
      </c>
      <c r="C62" s="46">
        <v>53</v>
      </c>
      <c r="D62" s="47" t="s">
        <v>149</v>
      </c>
      <c r="E62" s="48">
        <v>431</v>
      </c>
      <c r="F62" s="49">
        <v>0.91</v>
      </c>
      <c r="G62" s="50">
        <v>24</v>
      </c>
      <c r="H62" s="16">
        <v>3207895</v>
      </c>
      <c r="I62" s="16">
        <v>12900841</v>
      </c>
      <c r="J62" s="16">
        <v>0</v>
      </c>
      <c r="K62" s="16">
        <v>16108736</v>
      </c>
      <c r="L62" s="16">
        <v>2000000</v>
      </c>
      <c r="M62" s="16">
        <v>387608</v>
      </c>
      <c r="N62" s="16">
        <v>36915</v>
      </c>
      <c r="O62" s="16">
        <v>1867477</v>
      </c>
      <c r="P62" s="16">
        <v>11816736</v>
      </c>
      <c r="Q62" s="44">
        <v>15185098</v>
      </c>
      <c r="R62" s="61">
        <v>923638</v>
      </c>
      <c r="S62" s="20" t="s">
        <v>166</v>
      </c>
    </row>
    <row r="63" spans="1:19" ht="18" customHeight="1">
      <c r="A63" s="15" t="s">
        <v>181</v>
      </c>
      <c r="B63" s="45" t="s">
        <v>1472</v>
      </c>
      <c r="C63" s="46">
        <v>54</v>
      </c>
      <c r="D63" s="47" t="s">
        <v>1473</v>
      </c>
      <c r="E63" s="48">
        <v>355</v>
      </c>
      <c r="F63" s="49">
        <v>1.1200000000000001</v>
      </c>
      <c r="G63" s="50">
        <v>24</v>
      </c>
      <c r="H63" s="16">
        <v>3256623</v>
      </c>
      <c r="I63" s="16">
        <v>7460143</v>
      </c>
      <c r="J63" s="16">
        <v>0</v>
      </c>
      <c r="K63" s="16">
        <v>10716766</v>
      </c>
      <c r="L63" s="16">
        <v>2000000</v>
      </c>
      <c r="M63" s="16">
        <v>387608</v>
      </c>
      <c r="N63" s="16">
        <v>36915</v>
      </c>
      <c r="O63" s="16">
        <v>0</v>
      </c>
      <c r="P63" s="16">
        <v>8292243</v>
      </c>
      <c r="Q63" s="44">
        <v>10312404</v>
      </c>
      <c r="R63" s="61">
        <v>404362</v>
      </c>
      <c r="S63" s="20" t="s">
        <v>1472</v>
      </c>
    </row>
    <row r="64" spans="1:19" ht="18" customHeight="1">
      <c r="A64" s="15" t="s">
        <v>179</v>
      </c>
      <c r="B64" s="45" t="s">
        <v>165</v>
      </c>
      <c r="C64" s="46">
        <v>55</v>
      </c>
      <c r="D64" s="47" t="s">
        <v>151</v>
      </c>
      <c r="E64" s="48">
        <v>431</v>
      </c>
      <c r="F64" s="49">
        <v>0.85</v>
      </c>
      <c r="G64" s="50">
        <v>24</v>
      </c>
      <c r="H64" s="16">
        <v>3018724</v>
      </c>
      <c r="I64" s="16">
        <v>3875476</v>
      </c>
      <c r="J64" s="16">
        <v>0</v>
      </c>
      <c r="K64" s="16">
        <v>6894200</v>
      </c>
      <c r="L64" s="16">
        <v>2000000</v>
      </c>
      <c r="M64" s="16">
        <v>433671</v>
      </c>
      <c r="N64" s="16">
        <v>41302</v>
      </c>
      <c r="O64" s="16">
        <v>557754</v>
      </c>
      <c r="P64" s="16">
        <v>3861473</v>
      </c>
      <c r="Q64" s="44">
        <v>12796607</v>
      </c>
      <c r="R64" s="61">
        <v>-5902407</v>
      </c>
      <c r="S64" s="20" t="s">
        <v>165</v>
      </c>
    </row>
    <row r="65" spans="1:19" ht="18" customHeight="1">
      <c r="A65" s="15" t="s">
        <v>183</v>
      </c>
      <c r="B65" s="45" t="s">
        <v>84</v>
      </c>
      <c r="C65" s="46">
        <v>56</v>
      </c>
      <c r="D65" s="47" t="s">
        <v>139</v>
      </c>
      <c r="E65" s="48">
        <v>341</v>
      </c>
      <c r="F65" s="49">
        <v>1.03</v>
      </c>
      <c r="G65" s="50">
        <v>24</v>
      </c>
      <c r="H65" s="16">
        <v>7689209</v>
      </c>
      <c r="I65" s="16">
        <v>0</v>
      </c>
      <c r="J65" s="16">
        <v>0</v>
      </c>
      <c r="K65" s="16">
        <v>7689209</v>
      </c>
      <c r="L65" s="16">
        <v>2000000</v>
      </c>
      <c r="M65" s="16">
        <v>495464</v>
      </c>
      <c r="N65" s="16">
        <v>47187</v>
      </c>
      <c r="O65" s="16">
        <v>482056</v>
      </c>
      <c r="P65" s="16">
        <v>4664502</v>
      </c>
      <c r="Q65" s="44">
        <v>7837917</v>
      </c>
      <c r="R65" s="61">
        <v>-148708</v>
      </c>
      <c r="S65" s="20" t="s">
        <v>84</v>
      </c>
    </row>
    <row r="66" spans="1:19" ht="18" customHeight="1">
      <c r="A66" s="15" t="s">
        <v>175</v>
      </c>
      <c r="B66" s="45" t="s">
        <v>57</v>
      </c>
      <c r="C66" s="46">
        <v>57</v>
      </c>
      <c r="D66" s="47" t="s">
        <v>58</v>
      </c>
      <c r="E66" s="48">
        <v>489</v>
      </c>
      <c r="F66" s="49">
        <v>0.97</v>
      </c>
      <c r="G66" s="50">
        <v>24</v>
      </c>
      <c r="H66" s="16">
        <v>10394068</v>
      </c>
      <c r="I66" s="16">
        <v>0</v>
      </c>
      <c r="J66" s="16">
        <v>0</v>
      </c>
      <c r="K66" s="16">
        <v>10394068</v>
      </c>
      <c r="L66" s="16">
        <v>2000000</v>
      </c>
      <c r="M66" s="16">
        <v>495464</v>
      </c>
      <c r="N66" s="16">
        <v>47187</v>
      </c>
      <c r="O66" s="16">
        <v>753813</v>
      </c>
      <c r="P66" s="16">
        <v>7097604</v>
      </c>
      <c r="Q66" s="44">
        <v>10712730</v>
      </c>
      <c r="R66" s="61">
        <v>-318662</v>
      </c>
      <c r="S66" s="20" t="s">
        <v>57</v>
      </c>
    </row>
    <row r="67" spans="1:19" ht="18" customHeight="1">
      <c r="A67" s="15" t="s">
        <v>183</v>
      </c>
      <c r="B67" s="45" t="s">
        <v>77</v>
      </c>
      <c r="C67" s="46">
        <v>58</v>
      </c>
      <c r="D67" s="47" t="s">
        <v>78</v>
      </c>
      <c r="E67" s="48">
        <v>524</v>
      </c>
      <c r="F67" s="49">
        <v>1.45</v>
      </c>
      <c r="G67" s="50">
        <v>20</v>
      </c>
      <c r="H67" s="16">
        <v>5217293</v>
      </c>
      <c r="I67" s="16">
        <v>4495276</v>
      </c>
      <c r="J67" s="16">
        <v>0</v>
      </c>
      <c r="K67" s="16">
        <v>9712569</v>
      </c>
      <c r="L67" s="16">
        <v>2000000</v>
      </c>
      <c r="M67" s="16">
        <v>495464</v>
      </c>
      <c r="N67" s="16">
        <v>47187</v>
      </c>
      <c r="O67" s="16">
        <v>903617</v>
      </c>
      <c r="P67" s="16">
        <v>6266301</v>
      </c>
      <c r="Q67" s="44">
        <v>22538548</v>
      </c>
      <c r="R67" s="61">
        <v>-12825979</v>
      </c>
      <c r="S67" s="20" t="s">
        <v>77</v>
      </c>
    </row>
    <row r="68" spans="1:19" ht="18" customHeight="1">
      <c r="A68" s="15" t="s">
        <v>183</v>
      </c>
      <c r="B68" s="45" t="s">
        <v>80</v>
      </c>
      <c r="C68" s="46">
        <v>59</v>
      </c>
      <c r="D68" s="47" t="s">
        <v>81</v>
      </c>
      <c r="E68" s="48">
        <v>418</v>
      </c>
      <c r="F68" s="49">
        <v>1.03</v>
      </c>
      <c r="G68" s="50">
        <v>29</v>
      </c>
      <c r="H68" s="16">
        <v>3530272</v>
      </c>
      <c r="I68" s="16">
        <v>6763267</v>
      </c>
      <c r="J68" s="16">
        <v>0</v>
      </c>
      <c r="K68" s="16">
        <v>10293539</v>
      </c>
      <c r="L68" s="16">
        <v>2000000</v>
      </c>
      <c r="M68" s="16">
        <v>495464</v>
      </c>
      <c r="N68" s="16">
        <v>47187</v>
      </c>
      <c r="O68" s="16">
        <v>1176492</v>
      </c>
      <c r="P68" s="16">
        <v>6574396</v>
      </c>
      <c r="Q68" s="44">
        <v>9447474</v>
      </c>
      <c r="R68" s="61">
        <v>846065</v>
      </c>
      <c r="S68" s="20" t="s">
        <v>80</v>
      </c>
    </row>
    <row r="69" spans="1:19" ht="18" customHeight="1">
      <c r="A69" s="15" t="s">
        <v>183</v>
      </c>
      <c r="B69" s="45" t="s">
        <v>220</v>
      </c>
      <c r="C69" s="46">
        <v>60</v>
      </c>
      <c r="D69" s="47" t="s">
        <v>221</v>
      </c>
      <c r="E69" s="48">
        <v>418</v>
      </c>
      <c r="F69" s="49">
        <v>0</v>
      </c>
      <c r="G69" s="50">
        <v>0</v>
      </c>
      <c r="H69" s="16">
        <v>0</v>
      </c>
      <c r="I69" s="16">
        <v>0</v>
      </c>
      <c r="J69" s="16">
        <v>0</v>
      </c>
      <c r="K69" s="16">
        <v>0</v>
      </c>
      <c r="L69" s="16">
        <v>0</v>
      </c>
      <c r="M69" s="16">
        <v>0</v>
      </c>
      <c r="N69" s="16">
        <v>0</v>
      </c>
      <c r="O69" s="16">
        <v>121360</v>
      </c>
      <c r="P69" s="16">
        <v>-121360</v>
      </c>
      <c r="Q69" s="44">
        <v>0</v>
      </c>
      <c r="R69" s="61">
        <v>0</v>
      </c>
      <c r="S69" s="20" t="s">
        <v>220</v>
      </c>
    </row>
    <row r="70" spans="1:19" ht="18" customHeight="1">
      <c r="A70" s="15" t="s">
        <v>183</v>
      </c>
      <c r="B70" s="15" t="s">
        <v>141</v>
      </c>
      <c r="C70" s="46">
        <v>61</v>
      </c>
      <c r="D70" s="47" t="s">
        <v>187</v>
      </c>
      <c r="E70" s="48">
        <v>478</v>
      </c>
      <c r="F70" s="49">
        <v>1.25</v>
      </c>
      <c r="G70" s="50">
        <v>24</v>
      </c>
      <c r="H70" s="16">
        <v>4899283</v>
      </c>
      <c r="I70" s="16">
        <v>12814249</v>
      </c>
      <c r="J70" s="16">
        <v>0</v>
      </c>
      <c r="K70" s="16">
        <v>17713532</v>
      </c>
      <c r="L70" s="16">
        <v>2000000</v>
      </c>
      <c r="M70" s="16">
        <v>495464</v>
      </c>
      <c r="N70" s="16">
        <v>47187</v>
      </c>
      <c r="O70" s="16">
        <v>3253831</v>
      </c>
      <c r="P70" s="16">
        <v>11917050</v>
      </c>
      <c r="Q70" s="44">
        <v>18268853</v>
      </c>
      <c r="R70" s="61">
        <v>-555321</v>
      </c>
      <c r="S70" s="20" t="s">
        <v>141</v>
      </c>
    </row>
    <row r="71" spans="1:19" ht="18" customHeight="1">
      <c r="A71" s="15" t="s">
        <v>183</v>
      </c>
      <c r="B71" s="45" t="s">
        <v>161</v>
      </c>
      <c r="C71" s="46">
        <v>62</v>
      </c>
      <c r="D71" s="47" t="s">
        <v>152</v>
      </c>
      <c r="E71" s="48">
        <v>478</v>
      </c>
      <c r="F71" s="49">
        <v>1.26</v>
      </c>
      <c r="G71" s="50">
        <v>24</v>
      </c>
      <c r="H71" s="16">
        <v>4938477</v>
      </c>
      <c r="I71" s="16">
        <v>30064726</v>
      </c>
      <c r="J71" s="16">
        <v>0</v>
      </c>
      <c r="K71" s="16">
        <v>35003203</v>
      </c>
      <c r="L71" s="16">
        <v>2000000</v>
      </c>
      <c r="M71" s="16">
        <v>495464</v>
      </c>
      <c r="N71" s="16">
        <v>47187</v>
      </c>
      <c r="O71" s="16">
        <v>7959798</v>
      </c>
      <c r="P71" s="16">
        <v>24500754</v>
      </c>
      <c r="Q71" s="44">
        <v>22031911</v>
      </c>
      <c r="R71" s="61">
        <v>12971292</v>
      </c>
      <c r="S71" s="20" t="s">
        <v>161</v>
      </c>
    </row>
    <row r="72" spans="1:19" ht="18" customHeight="1">
      <c r="A72" s="15" t="s">
        <v>183</v>
      </c>
      <c r="B72" s="45" t="s">
        <v>204</v>
      </c>
      <c r="C72" s="46">
        <v>63</v>
      </c>
      <c r="D72" s="47" t="s">
        <v>205</v>
      </c>
      <c r="E72" s="48">
        <v>431</v>
      </c>
      <c r="F72" s="49">
        <v>0.94</v>
      </c>
      <c r="G72" s="50">
        <v>24</v>
      </c>
      <c r="H72" s="16">
        <v>3310645</v>
      </c>
      <c r="I72" s="16">
        <v>13217110</v>
      </c>
      <c r="J72" s="16">
        <v>0</v>
      </c>
      <c r="K72" s="16">
        <v>16527755</v>
      </c>
      <c r="L72" s="16">
        <v>2000000</v>
      </c>
      <c r="M72" s="16">
        <v>495464</v>
      </c>
      <c r="N72" s="16">
        <v>47187</v>
      </c>
      <c r="O72" s="16">
        <v>1732817</v>
      </c>
      <c r="P72" s="16">
        <v>12252287</v>
      </c>
      <c r="Q72" s="44">
        <v>18744096</v>
      </c>
      <c r="R72" s="61">
        <v>-2216341</v>
      </c>
      <c r="S72" s="20" t="s">
        <v>204</v>
      </c>
    </row>
    <row r="73" spans="1:19" ht="18" customHeight="1">
      <c r="A73" s="15" t="s">
        <v>183</v>
      </c>
      <c r="B73" s="45" t="s">
        <v>2058</v>
      </c>
      <c r="C73" s="46">
        <v>64</v>
      </c>
      <c r="D73" s="47" t="s">
        <v>831</v>
      </c>
      <c r="E73" s="48">
        <v>355</v>
      </c>
      <c r="F73" s="49">
        <v>1.05</v>
      </c>
      <c r="G73" s="50">
        <v>28</v>
      </c>
      <c r="H73" s="16">
        <v>3056415</v>
      </c>
      <c r="I73" s="16">
        <v>8337096</v>
      </c>
      <c r="J73" s="16">
        <v>0</v>
      </c>
      <c r="K73" s="16">
        <v>11393511</v>
      </c>
      <c r="L73" s="16">
        <v>2000000</v>
      </c>
      <c r="M73" s="16">
        <v>495464</v>
      </c>
      <c r="N73" s="16">
        <v>47187</v>
      </c>
      <c r="O73" s="16">
        <v>0</v>
      </c>
      <c r="P73" s="16">
        <v>8850860</v>
      </c>
      <c r="Q73" s="44">
        <v>9480671</v>
      </c>
      <c r="R73" s="61">
        <v>1912840</v>
      </c>
      <c r="S73" s="20" t="s">
        <v>2058</v>
      </c>
    </row>
    <row r="74" spans="1:19" ht="18" customHeight="1">
      <c r="A74" s="15" t="s">
        <v>184</v>
      </c>
      <c r="B74" s="45" t="s">
        <v>88</v>
      </c>
      <c r="C74" s="46">
        <v>65</v>
      </c>
      <c r="D74" s="47" t="s">
        <v>89</v>
      </c>
      <c r="E74" s="48">
        <v>524</v>
      </c>
      <c r="F74" s="49">
        <v>1.32</v>
      </c>
      <c r="G74" s="50">
        <v>24</v>
      </c>
      <c r="H74" s="16">
        <v>5699443</v>
      </c>
      <c r="I74" s="16">
        <v>3268725</v>
      </c>
      <c r="J74" s="16">
        <v>0</v>
      </c>
      <c r="K74" s="16">
        <v>8968168</v>
      </c>
      <c r="L74" s="16">
        <v>2000000</v>
      </c>
      <c r="M74" s="16">
        <v>387608</v>
      </c>
      <c r="N74" s="16">
        <v>36915</v>
      </c>
      <c r="O74" s="16">
        <v>954714</v>
      </c>
      <c r="P74" s="16">
        <v>5588931</v>
      </c>
      <c r="Q74" s="44">
        <v>7956171</v>
      </c>
      <c r="R74" s="61">
        <v>1011997</v>
      </c>
      <c r="S74" s="20" t="s">
        <v>88</v>
      </c>
    </row>
    <row r="75" spans="1:19" ht="18" customHeight="1">
      <c r="A75" s="15" t="s">
        <v>184</v>
      </c>
      <c r="B75" s="45" t="s">
        <v>82</v>
      </c>
      <c r="C75" s="46">
        <v>66</v>
      </c>
      <c r="D75" s="47" t="s">
        <v>83</v>
      </c>
      <c r="E75" s="48">
        <v>418</v>
      </c>
      <c r="F75" s="49">
        <v>1.06</v>
      </c>
      <c r="G75" s="50">
        <v>27</v>
      </c>
      <c r="H75" s="16">
        <v>3635837</v>
      </c>
      <c r="I75" s="16">
        <v>6076521</v>
      </c>
      <c r="J75" s="16">
        <v>0</v>
      </c>
      <c r="K75" s="16">
        <v>9712358</v>
      </c>
      <c r="L75" s="16">
        <v>2000000</v>
      </c>
      <c r="M75" s="16">
        <v>387608</v>
      </c>
      <c r="N75" s="16">
        <v>36915</v>
      </c>
      <c r="O75" s="16">
        <v>1112963</v>
      </c>
      <c r="P75" s="16">
        <v>6174872</v>
      </c>
      <c r="Q75" s="44">
        <v>9728690</v>
      </c>
      <c r="R75" s="61">
        <v>-16332</v>
      </c>
      <c r="S75" s="20" t="s">
        <v>82</v>
      </c>
    </row>
    <row r="76" spans="1:19" ht="18" customHeight="1">
      <c r="A76" s="15" t="s">
        <v>184</v>
      </c>
      <c r="B76" s="45" t="s">
        <v>1655</v>
      </c>
      <c r="C76" s="46">
        <v>67</v>
      </c>
      <c r="D76" s="47" t="s">
        <v>765</v>
      </c>
      <c r="E76" s="48">
        <v>401</v>
      </c>
      <c r="F76" s="49">
        <v>0.66</v>
      </c>
      <c r="G76" s="50">
        <v>24</v>
      </c>
      <c r="H76" s="16">
        <v>2180798</v>
      </c>
      <c r="I76" s="16">
        <v>2072809</v>
      </c>
      <c r="J76" s="16">
        <v>0</v>
      </c>
      <c r="K76" s="16">
        <v>4253607</v>
      </c>
      <c r="L76" s="16">
        <v>2000000</v>
      </c>
      <c r="M76" s="16">
        <v>387608</v>
      </c>
      <c r="N76" s="16">
        <v>36915</v>
      </c>
      <c r="O76" s="16">
        <v>0</v>
      </c>
      <c r="P76" s="16">
        <v>1829084</v>
      </c>
      <c r="Q76" s="44">
        <v>5658932</v>
      </c>
      <c r="R76" s="61">
        <v>-1405325</v>
      </c>
      <c r="S76" s="20" t="s">
        <v>1655</v>
      </c>
    </row>
    <row r="77" spans="1:19" ht="18" customHeight="1">
      <c r="A77" s="15" t="s">
        <v>185</v>
      </c>
      <c r="B77" s="45" t="s">
        <v>85</v>
      </c>
      <c r="C77" s="46">
        <v>68</v>
      </c>
      <c r="D77" s="47" t="s">
        <v>86</v>
      </c>
      <c r="E77" s="48">
        <v>355</v>
      </c>
      <c r="F77" s="49">
        <v>1.03</v>
      </c>
      <c r="G77" s="50">
        <v>24</v>
      </c>
      <c r="H77" s="16">
        <v>8013696</v>
      </c>
      <c r="I77" s="16">
        <v>0</v>
      </c>
      <c r="J77" s="16">
        <v>0</v>
      </c>
      <c r="K77" s="16">
        <v>8013696</v>
      </c>
      <c r="L77" s="16">
        <v>2000000</v>
      </c>
      <c r="M77" s="16">
        <v>433671</v>
      </c>
      <c r="N77" s="16">
        <v>41302</v>
      </c>
      <c r="O77" s="16">
        <v>635704</v>
      </c>
      <c r="P77" s="16">
        <v>4903019</v>
      </c>
      <c r="Q77" s="44">
        <v>8109478</v>
      </c>
      <c r="R77" s="61">
        <v>-95782</v>
      </c>
      <c r="S77" s="20" t="s">
        <v>85</v>
      </c>
    </row>
    <row r="78" spans="1:19" ht="18" customHeight="1">
      <c r="A78" s="15" t="s">
        <v>184</v>
      </c>
      <c r="B78" s="45" t="s">
        <v>90</v>
      </c>
      <c r="C78" s="46">
        <v>69</v>
      </c>
      <c r="D78" s="47" t="s">
        <v>91</v>
      </c>
      <c r="E78" s="48">
        <v>418</v>
      </c>
      <c r="F78" s="49">
        <v>1.29</v>
      </c>
      <c r="G78" s="50">
        <v>26</v>
      </c>
      <c r="H78" s="16">
        <v>4424745</v>
      </c>
      <c r="I78" s="16">
        <v>16798657</v>
      </c>
      <c r="J78" s="16">
        <v>0</v>
      </c>
      <c r="K78" s="16">
        <v>21223402</v>
      </c>
      <c r="L78" s="16">
        <v>2000000</v>
      </c>
      <c r="M78" s="16">
        <v>387608</v>
      </c>
      <c r="N78" s="16">
        <v>36915</v>
      </c>
      <c r="O78" s="16">
        <v>3480239</v>
      </c>
      <c r="P78" s="16">
        <v>15318640</v>
      </c>
      <c r="Q78" s="44">
        <v>17499090</v>
      </c>
      <c r="R78" s="61">
        <v>3724312</v>
      </c>
      <c r="S78" s="20" t="s">
        <v>90</v>
      </c>
    </row>
    <row r="79" spans="1:19" ht="18" customHeight="1">
      <c r="A79" s="15" t="s">
        <v>185</v>
      </c>
      <c r="B79" s="45" t="s">
        <v>93</v>
      </c>
      <c r="C79" s="46">
        <v>70</v>
      </c>
      <c r="D79" s="47" t="s">
        <v>94</v>
      </c>
      <c r="E79" s="48">
        <v>524</v>
      </c>
      <c r="F79" s="49">
        <v>1.33</v>
      </c>
      <c r="G79" s="50">
        <v>24</v>
      </c>
      <c r="H79" s="16">
        <v>5742621</v>
      </c>
      <c r="I79" s="16">
        <v>3682316</v>
      </c>
      <c r="J79" s="16">
        <v>0</v>
      </c>
      <c r="K79" s="16">
        <v>9424937</v>
      </c>
      <c r="L79" s="16">
        <v>2000000</v>
      </c>
      <c r="M79" s="16">
        <v>433671</v>
      </c>
      <c r="N79" s="16">
        <v>41302</v>
      </c>
      <c r="O79" s="16">
        <v>862092</v>
      </c>
      <c r="P79" s="16">
        <v>6087872</v>
      </c>
      <c r="Q79" s="44">
        <v>15767325</v>
      </c>
      <c r="R79" s="61">
        <v>-6342388</v>
      </c>
      <c r="S79" s="20" t="s">
        <v>93</v>
      </c>
    </row>
    <row r="80" spans="1:19" ht="18" customHeight="1">
      <c r="A80" s="15" t="s">
        <v>185</v>
      </c>
      <c r="B80" s="45" t="s">
        <v>164</v>
      </c>
      <c r="C80" s="46">
        <v>71</v>
      </c>
      <c r="D80" s="47" t="s">
        <v>153</v>
      </c>
      <c r="E80" s="48">
        <v>431</v>
      </c>
      <c r="F80" s="49">
        <v>0.43</v>
      </c>
      <c r="G80" s="50">
        <v>24</v>
      </c>
      <c r="H80" s="16">
        <v>1515360</v>
      </c>
      <c r="I80" s="16">
        <v>4578274</v>
      </c>
      <c r="J80" s="16">
        <v>0</v>
      </c>
      <c r="K80" s="16">
        <v>6093634</v>
      </c>
      <c r="L80" s="16">
        <v>2000000</v>
      </c>
      <c r="M80" s="16">
        <v>433671</v>
      </c>
      <c r="N80" s="16">
        <v>41302</v>
      </c>
      <c r="O80" s="16">
        <v>55546</v>
      </c>
      <c r="P80" s="16">
        <v>3563115</v>
      </c>
      <c r="Q80" s="44">
        <v>6122178</v>
      </c>
      <c r="R80" s="61">
        <v>-28544</v>
      </c>
      <c r="S80" s="20" t="s">
        <v>164</v>
      </c>
    </row>
    <row r="81" spans="1:19" ht="18" customHeight="1">
      <c r="A81" s="15" t="s">
        <v>185</v>
      </c>
      <c r="B81" s="45" t="s">
        <v>901</v>
      </c>
      <c r="C81" s="46">
        <v>72</v>
      </c>
      <c r="D81" s="47" t="s">
        <v>644</v>
      </c>
      <c r="E81" s="48">
        <v>355</v>
      </c>
      <c r="F81" s="49">
        <v>1.08</v>
      </c>
      <c r="G81" s="50">
        <v>26</v>
      </c>
      <c r="H81" s="16">
        <v>3147197</v>
      </c>
      <c r="I81" s="16">
        <v>6254440</v>
      </c>
      <c r="J81" s="16">
        <v>0</v>
      </c>
      <c r="K81" s="16">
        <v>9401637</v>
      </c>
      <c r="L81" s="16">
        <v>2000000</v>
      </c>
      <c r="M81" s="16">
        <v>433671</v>
      </c>
      <c r="N81" s="16">
        <v>41302</v>
      </c>
      <c r="O81" s="16">
        <v>0</v>
      </c>
      <c r="P81" s="16">
        <v>6926664</v>
      </c>
      <c r="Q81" s="44">
        <v>9154130</v>
      </c>
      <c r="R81" s="61">
        <v>247507</v>
      </c>
      <c r="S81" s="20" t="s">
        <v>901</v>
      </c>
    </row>
    <row r="82" spans="1:19" ht="18" customHeight="1">
      <c r="A82" s="15" t="s">
        <v>185</v>
      </c>
      <c r="B82" s="45" t="s">
        <v>1457</v>
      </c>
      <c r="C82" s="46">
        <v>73</v>
      </c>
      <c r="D82" s="47" t="s">
        <v>1458</v>
      </c>
      <c r="E82" s="48">
        <v>355</v>
      </c>
      <c r="F82" s="49">
        <v>1.08</v>
      </c>
      <c r="G82" s="50">
        <v>26</v>
      </c>
      <c r="H82" s="16">
        <v>3147197</v>
      </c>
      <c r="I82" s="16">
        <v>6363012</v>
      </c>
      <c r="J82" s="16">
        <v>0</v>
      </c>
      <c r="K82" s="16">
        <v>9510209</v>
      </c>
      <c r="L82" s="16">
        <v>2000000</v>
      </c>
      <c r="M82" s="16">
        <v>433671</v>
      </c>
      <c r="N82" s="16">
        <v>41302</v>
      </c>
      <c r="O82" s="16">
        <v>0</v>
      </c>
      <c r="P82" s="16">
        <v>7035236</v>
      </c>
      <c r="Q82" s="44">
        <v>9362188</v>
      </c>
      <c r="R82" s="61">
        <v>148021</v>
      </c>
      <c r="S82" s="20" t="s">
        <v>1457</v>
      </c>
    </row>
    <row r="83" spans="1:19" ht="18" customHeight="1">
      <c r="A83" s="15" t="s">
        <v>185</v>
      </c>
      <c r="B83" s="45" t="s">
        <v>206</v>
      </c>
      <c r="C83" s="46">
        <v>74</v>
      </c>
      <c r="D83" s="47" t="s">
        <v>207</v>
      </c>
      <c r="E83" s="48">
        <v>431</v>
      </c>
      <c r="F83" s="49">
        <v>0.31</v>
      </c>
      <c r="G83" s="50">
        <v>24</v>
      </c>
      <c r="H83" s="16">
        <v>1096653</v>
      </c>
      <c r="I83" s="16">
        <v>3360056</v>
      </c>
      <c r="J83" s="16">
        <v>0</v>
      </c>
      <c r="K83" s="16">
        <v>4456709</v>
      </c>
      <c r="L83" s="16">
        <v>2000000</v>
      </c>
      <c r="M83" s="16">
        <v>433671</v>
      </c>
      <c r="N83" s="16">
        <v>41302</v>
      </c>
      <c r="O83" s="16">
        <v>151483</v>
      </c>
      <c r="P83" s="16">
        <v>1830253</v>
      </c>
      <c r="Q83" s="44">
        <v>7836763</v>
      </c>
      <c r="R83" s="61">
        <v>-3380054</v>
      </c>
      <c r="S83" s="20" t="s">
        <v>206</v>
      </c>
    </row>
    <row r="84" spans="1:19" ht="18" customHeight="1">
      <c r="A84" s="15" t="s">
        <v>185</v>
      </c>
      <c r="B84" s="45" t="s">
        <v>2059</v>
      </c>
      <c r="C84" s="46">
        <v>75</v>
      </c>
      <c r="D84" s="47" t="s">
        <v>716</v>
      </c>
      <c r="E84" s="48">
        <v>401</v>
      </c>
      <c r="F84" s="49">
        <v>1.25</v>
      </c>
      <c r="G84" s="50">
        <v>24</v>
      </c>
      <c r="H84" s="16">
        <v>4128298</v>
      </c>
      <c r="I84" s="16">
        <v>4291756</v>
      </c>
      <c r="J84" s="16">
        <v>0</v>
      </c>
      <c r="K84" s="16">
        <v>8420054</v>
      </c>
      <c r="L84" s="16">
        <v>2000000</v>
      </c>
      <c r="M84" s="16">
        <v>433671</v>
      </c>
      <c r="N84" s="16">
        <v>41302</v>
      </c>
      <c r="O84" s="16">
        <v>0</v>
      </c>
      <c r="P84" s="16">
        <v>5945081</v>
      </c>
      <c r="Q84" s="44">
        <v>12704501</v>
      </c>
      <c r="R84" s="61">
        <v>-4284447</v>
      </c>
      <c r="S84" s="20" t="s">
        <v>2059</v>
      </c>
    </row>
    <row r="85" spans="1:19" ht="18" customHeight="1">
      <c r="A85" s="15" t="s">
        <v>186</v>
      </c>
      <c r="B85" s="45" t="s">
        <v>287</v>
      </c>
      <c r="C85" s="46">
        <v>76</v>
      </c>
      <c r="D85" s="47" t="s">
        <v>288</v>
      </c>
      <c r="E85" s="48">
        <v>394</v>
      </c>
      <c r="F85" s="49">
        <v>0.99</v>
      </c>
      <c r="G85" s="50">
        <v>24</v>
      </c>
      <c r="H85" s="16">
        <v>8581320</v>
      </c>
      <c r="I85" s="16">
        <v>0</v>
      </c>
      <c r="J85" s="16">
        <v>0</v>
      </c>
      <c r="K85" s="16">
        <v>8581320</v>
      </c>
      <c r="L85" s="16">
        <v>2000000</v>
      </c>
      <c r="M85" s="16">
        <v>0</v>
      </c>
      <c r="N85" s="16">
        <v>41302</v>
      </c>
      <c r="O85" s="16">
        <v>854357</v>
      </c>
      <c r="P85" s="16">
        <v>5685661</v>
      </c>
      <c r="Q85" s="44">
        <v>8494640</v>
      </c>
      <c r="R85" s="61">
        <v>86680</v>
      </c>
      <c r="S85" s="20" t="s">
        <v>287</v>
      </c>
    </row>
    <row r="86" spans="1:19" ht="18" customHeight="1">
      <c r="A86" s="15" t="s">
        <v>186</v>
      </c>
      <c r="B86" s="45" t="s">
        <v>101</v>
      </c>
      <c r="C86" s="46">
        <v>77</v>
      </c>
      <c r="D86" s="47" t="s">
        <v>102</v>
      </c>
      <c r="E86" s="48">
        <v>355</v>
      </c>
      <c r="F86" s="49">
        <v>1.04</v>
      </c>
      <c r="G86" s="50">
        <v>24</v>
      </c>
      <c r="H86" s="16">
        <v>8122400</v>
      </c>
      <c r="I86" s="16">
        <v>0</v>
      </c>
      <c r="J86" s="16">
        <v>0</v>
      </c>
      <c r="K86" s="16">
        <v>8122400</v>
      </c>
      <c r="L86" s="16">
        <v>2000000</v>
      </c>
      <c r="M86" s="16">
        <v>433671</v>
      </c>
      <c r="N86" s="16">
        <v>41302</v>
      </c>
      <c r="O86" s="16">
        <v>646574</v>
      </c>
      <c r="P86" s="16">
        <v>5000853</v>
      </c>
      <c r="Q86" s="44">
        <v>8550715</v>
      </c>
      <c r="R86" s="61">
        <v>-428315</v>
      </c>
      <c r="S86" s="20" t="s">
        <v>101</v>
      </c>
    </row>
    <row r="87" spans="1:19" ht="18" customHeight="1">
      <c r="A87" s="15" t="s">
        <v>186</v>
      </c>
      <c r="B87" s="45" t="s">
        <v>95</v>
      </c>
      <c r="C87" s="46">
        <v>78</v>
      </c>
      <c r="D87" s="47" t="s">
        <v>96</v>
      </c>
      <c r="E87" s="48">
        <v>431</v>
      </c>
      <c r="F87" s="49">
        <v>0.73</v>
      </c>
      <c r="G87" s="50">
        <v>24</v>
      </c>
      <c r="H87" s="16">
        <v>2592551</v>
      </c>
      <c r="I87" s="16">
        <v>6660832</v>
      </c>
      <c r="J87" s="16">
        <v>0</v>
      </c>
      <c r="K87" s="16">
        <v>9253383</v>
      </c>
      <c r="L87" s="16">
        <v>2000000</v>
      </c>
      <c r="M87" s="16">
        <v>433671</v>
      </c>
      <c r="N87" s="16">
        <v>41302</v>
      </c>
      <c r="O87" s="16">
        <v>678653</v>
      </c>
      <c r="P87" s="16">
        <v>6099757</v>
      </c>
      <c r="Q87" s="44">
        <v>12184979</v>
      </c>
      <c r="R87" s="61">
        <v>-2931596</v>
      </c>
      <c r="S87" s="20" t="s">
        <v>95</v>
      </c>
    </row>
    <row r="88" spans="1:19" ht="18" customHeight="1">
      <c r="A88" s="15" t="s">
        <v>186</v>
      </c>
      <c r="B88" s="45" t="s">
        <v>97</v>
      </c>
      <c r="C88" s="46">
        <v>79</v>
      </c>
      <c r="D88" s="47" t="s">
        <v>98</v>
      </c>
      <c r="E88" s="48">
        <v>418</v>
      </c>
      <c r="F88" s="49">
        <v>0.98</v>
      </c>
      <c r="G88" s="50">
        <v>29</v>
      </c>
      <c r="H88" s="16">
        <v>3375434</v>
      </c>
      <c r="I88" s="16">
        <v>6762368</v>
      </c>
      <c r="J88" s="16">
        <v>0</v>
      </c>
      <c r="K88" s="16">
        <v>10137802</v>
      </c>
      <c r="L88" s="16">
        <v>2000000</v>
      </c>
      <c r="M88" s="16">
        <v>433671</v>
      </c>
      <c r="N88" s="16">
        <v>41302</v>
      </c>
      <c r="O88" s="16">
        <v>1048056</v>
      </c>
      <c r="P88" s="16">
        <v>6614773</v>
      </c>
      <c r="Q88" s="44">
        <v>9298013</v>
      </c>
      <c r="R88" s="61">
        <v>839789</v>
      </c>
      <c r="S88" s="20" t="s">
        <v>97</v>
      </c>
    </row>
    <row r="89" spans="1:19" ht="18" customHeight="1">
      <c r="A89" s="15" t="s">
        <v>186</v>
      </c>
      <c r="B89" s="45" t="s">
        <v>105</v>
      </c>
      <c r="C89" s="46">
        <v>80</v>
      </c>
      <c r="D89" s="47" t="s">
        <v>106</v>
      </c>
      <c r="E89" s="48">
        <v>431</v>
      </c>
      <c r="F89" s="49">
        <v>0</v>
      </c>
      <c r="G89" s="50">
        <v>0</v>
      </c>
      <c r="H89" s="16">
        <v>0</v>
      </c>
      <c r="I89" s="16">
        <v>0</v>
      </c>
      <c r="J89" s="16">
        <v>0</v>
      </c>
      <c r="K89" s="16">
        <v>0</v>
      </c>
      <c r="L89" s="16">
        <v>0</v>
      </c>
      <c r="M89" s="16">
        <v>0</v>
      </c>
      <c r="N89" s="16">
        <v>0</v>
      </c>
      <c r="O89" s="16">
        <v>17341</v>
      </c>
      <c r="P89" s="16">
        <v>-17341</v>
      </c>
      <c r="Q89" s="44">
        <v>4961314</v>
      </c>
      <c r="R89" s="61">
        <v>-4961314</v>
      </c>
      <c r="S89" s="20" t="s">
        <v>105</v>
      </c>
    </row>
    <row r="90" spans="1:19" ht="18" customHeight="1">
      <c r="A90" s="15" t="s">
        <v>186</v>
      </c>
      <c r="B90" s="51" t="s">
        <v>18</v>
      </c>
      <c r="C90" s="46">
        <v>81</v>
      </c>
      <c r="D90" s="47" t="s">
        <v>19</v>
      </c>
      <c r="E90" s="48">
        <v>418</v>
      </c>
      <c r="F90" s="49">
        <v>0.93</v>
      </c>
      <c r="G90" s="50">
        <v>27</v>
      </c>
      <c r="H90" s="16">
        <v>3203218</v>
      </c>
      <c r="I90" s="16">
        <v>7779069</v>
      </c>
      <c r="J90" s="16">
        <v>0</v>
      </c>
      <c r="K90" s="16">
        <v>10982287</v>
      </c>
      <c r="L90" s="16">
        <v>2000000</v>
      </c>
      <c r="M90" s="16">
        <v>433671</v>
      </c>
      <c r="N90" s="16">
        <v>41302</v>
      </c>
      <c r="O90" s="16">
        <v>851315</v>
      </c>
      <c r="P90" s="16">
        <v>7655999</v>
      </c>
      <c r="Q90" s="44">
        <v>5690420</v>
      </c>
      <c r="R90" s="61">
        <v>5291867</v>
      </c>
      <c r="S90" s="20" t="s">
        <v>18</v>
      </c>
    </row>
    <row r="91" spans="1:19" ht="18" customHeight="1">
      <c r="A91" s="15" t="s">
        <v>186</v>
      </c>
      <c r="B91" s="52" t="s">
        <v>209</v>
      </c>
      <c r="C91" s="46">
        <v>82</v>
      </c>
      <c r="D91" s="47" t="s">
        <v>210</v>
      </c>
      <c r="E91" s="48">
        <v>431</v>
      </c>
      <c r="F91" s="49">
        <v>0.77</v>
      </c>
      <c r="G91" s="50">
        <v>24</v>
      </c>
      <c r="H91" s="16">
        <v>2734335</v>
      </c>
      <c r="I91" s="16">
        <v>12027603</v>
      </c>
      <c r="J91" s="16">
        <v>0</v>
      </c>
      <c r="K91" s="16">
        <v>14761938</v>
      </c>
      <c r="L91" s="16">
        <v>2000000</v>
      </c>
      <c r="M91" s="16">
        <v>433671</v>
      </c>
      <c r="N91" s="16">
        <v>41302</v>
      </c>
      <c r="O91" s="16">
        <v>1734353</v>
      </c>
      <c r="P91" s="16">
        <v>10552612</v>
      </c>
      <c r="Q91" s="44">
        <v>16177035</v>
      </c>
      <c r="R91" s="61">
        <v>-1415097</v>
      </c>
      <c r="S91" s="20" t="s">
        <v>209</v>
      </c>
    </row>
    <row r="92" spans="1:19" ht="18" customHeight="1">
      <c r="A92" s="15" t="s">
        <v>186</v>
      </c>
      <c r="B92" s="52" t="s">
        <v>163</v>
      </c>
      <c r="C92" s="46">
        <v>83</v>
      </c>
      <c r="D92" s="47" t="s">
        <v>154</v>
      </c>
      <c r="E92" s="48">
        <v>478</v>
      </c>
      <c r="F92" s="49">
        <v>1.02</v>
      </c>
      <c r="G92" s="50">
        <v>24</v>
      </c>
      <c r="H92" s="16">
        <v>4017494</v>
      </c>
      <c r="I92" s="16">
        <v>7051312</v>
      </c>
      <c r="J92" s="16">
        <v>0</v>
      </c>
      <c r="K92" s="16">
        <v>11068806</v>
      </c>
      <c r="L92" s="16">
        <v>2000000</v>
      </c>
      <c r="M92" s="16">
        <v>433671</v>
      </c>
      <c r="N92" s="16">
        <v>41302</v>
      </c>
      <c r="O92" s="16">
        <v>1052947</v>
      </c>
      <c r="P92" s="16">
        <v>7540886</v>
      </c>
      <c r="Q92" s="44">
        <v>12168499</v>
      </c>
      <c r="R92" s="61">
        <v>-1099693</v>
      </c>
      <c r="S92" s="20" t="s">
        <v>163</v>
      </c>
    </row>
    <row r="93" spans="1:19" ht="21.75" customHeight="1">
      <c r="A93" s="15"/>
      <c r="B93" s="17"/>
      <c r="C93" s="1493" t="s">
        <v>132</v>
      </c>
      <c r="D93" s="1494"/>
      <c r="E93" s="18"/>
      <c r="F93" s="18"/>
      <c r="G93" s="18"/>
      <c r="H93" s="19">
        <f t="shared" ref="H93:R93" si="0">SUM(H10:H92)</f>
        <v>405945464</v>
      </c>
      <c r="I93" s="19">
        <f t="shared" si="0"/>
        <v>560428986</v>
      </c>
      <c r="J93" s="19">
        <f t="shared" si="0"/>
        <v>0</v>
      </c>
      <c r="K93" s="19">
        <f t="shared" si="0"/>
        <v>966374450</v>
      </c>
      <c r="L93" s="19">
        <f t="shared" si="0"/>
        <v>160000000</v>
      </c>
      <c r="M93" s="19">
        <f t="shared" si="0"/>
        <v>35423981</v>
      </c>
      <c r="N93" s="19">
        <f t="shared" si="0"/>
        <v>3415012</v>
      </c>
      <c r="O93" s="19">
        <f t="shared" si="0"/>
        <v>103483216</v>
      </c>
      <c r="P93" s="19">
        <f t="shared" si="0"/>
        <v>664052241</v>
      </c>
      <c r="Q93" s="19">
        <f t="shared" si="0"/>
        <v>930255778</v>
      </c>
      <c r="R93" s="1204">
        <f t="shared" si="0"/>
        <v>36118672</v>
      </c>
    </row>
    <row r="94" spans="1:19">
      <c r="A94" s="15"/>
    </row>
    <row r="95" spans="1:19">
      <c r="A95" s="15"/>
      <c r="D95" s="1488" t="s">
        <v>134</v>
      </c>
      <c r="E95" s="1488"/>
      <c r="I95" s="1488" t="s">
        <v>135</v>
      </c>
      <c r="J95" s="1488"/>
      <c r="K95" s="1488"/>
      <c r="O95" s="1488" t="s">
        <v>133</v>
      </c>
      <c r="P95" s="1488"/>
      <c r="Q95" s="126"/>
    </row>
    <row r="96" spans="1:19">
      <c r="A96" s="15"/>
    </row>
    <row r="97" spans="1:11" s="20" customFormat="1" ht="15">
      <c r="A97" s="15"/>
    </row>
    <row r="98" spans="1:11" s="20" customFormat="1" ht="15">
      <c r="A98" s="15"/>
    </row>
    <row r="99" spans="1:11" s="20" customFormat="1" ht="15">
      <c r="A99" s="15"/>
    </row>
    <row r="100" spans="1:11" s="20" customFormat="1" ht="15">
      <c r="A100" s="15"/>
    </row>
    <row r="101" spans="1:11" s="20" customFormat="1" ht="16.5">
      <c r="A101" s="15"/>
      <c r="D101" s="1490" t="s">
        <v>136</v>
      </c>
      <c r="E101" s="1490"/>
      <c r="I101" s="1490" t="s">
        <v>137</v>
      </c>
      <c r="J101" s="1490"/>
      <c r="K101" s="1490"/>
    </row>
    <row r="106" spans="1:11" s="20" customFormat="1" ht="15">
      <c r="A106" s="20">
        <v>400000</v>
      </c>
      <c r="B106" s="20">
        <v>10</v>
      </c>
      <c r="D106" s="28">
        <f>A106*B106</f>
        <v>4000000</v>
      </c>
    </row>
    <row r="107" spans="1:11" s="20" customFormat="1" ht="15">
      <c r="B107" s="20">
        <f>(1/0.9)</f>
        <v>1.1111111111111112</v>
      </c>
      <c r="D107" s="28">
        <f>B107*$D$106</f>
        <v>4444444.444444445</v>
      </c>
    </row>
    <row r="108" spans="1:11" s="20" customFormat="1" ht="15">
      <c r="B108" s="20">
        <f>(1.02/0.9)</f>
        <v>1.1333333333333333</v>
      </c>
      <c r="D108" s="28">
        <f t="shared" ref="D108:D110" si="1">B108*$D$106</f>
        <v>4533333.333333333</v>
      </c>
    </row>
    <row r="109" spans="1:11" s="20" customFormat="1" ht="15">
      <c r="B109" s="20">
        <f>(1.05/0.9)</f>
        <v>1.1666666666666667</v>
      </c>
      <c r="D109" s="28">
        <f t="shared" si="1"/>
        <v>4666666.666666667</v>
      </c>
    </row>
    <row r="110" spans="1:11" s="20" customFormat="1" ht="15">
      <c r="B110" s="20">
        <f>(1.1/0.9)</f>
        <v>1.2222222222222223</v>
      </c>
      <c r="D110" s="28">
        <f t="shared" si="1"/>
        <v>4888888.888888889</v>
      </c>
    </row>
  </sheetData>
  <mergeCells count="14">
    <mergeCell ref="O95:P95"/>
    <mergeCell ref="C1:E1"/>
    <mergeCell ref="I1:O1"/>
    <mergeCell ref="C2:E2"/>
    <mergeCell ref="I2:O2"/>
    <mergeCell ref="C3:E3"/>
    <mergeCell ref="C4:E4"/>
    <mergeCell ref="D101:E101"/>
    <mergeCell ref="I101:K101"/>
    <mergeCell ref="E6:M6"/>
    <mergeCell ref="E7:M7"/>
    <mergeCell ref="C93:D93"/>
    <mergeCell ref="D95:E95"/>
    <mergeCell ref="I95:K9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I92"/>
  <sheetViews>
    <sheetView topLeftCell="A10" workbookViewId="0">
      <selection activeCell="D11" sqref="D11"/>
    </sheetView>
  </sheetViews>
  <sheetFormatPr defaultRowHeight="16.5" customHeight="1"/>
  <cols>
    <col min="1" max="1" width="4.42578125" style="164" customWidth="1"/>
    <col min="2" max="2" width="15.7109375" style="145" customWidth="1"/>
    <col min="3" max="3" width="29.5703125" style="145" customWidth="1"/>
    <col min="4" max="4" width="10.5703125" style="165" customWidth="1"/>
    <col min="5" max="5" width="11.85546875" style="166" customWidth="1"/>
    <col min="6" max="6" width="10.28515625" style="128" customWidth="1"/>
    <col min="7" max="7" width="11.28515625" style="128" customWidth="1"/>
    <col min="8" max="8" width="8.28515625" style="128" customWidth="1"/>
    <col min="9" max="9" width="13.140625" style="128" customWidth="1"/>
    <col min="10" max="10" width="14.42578125" style="128" customWidth="1"/>
    <col min="11" max="11" width="11.42578125" style="128" customWidth="1"/>
    <col min="12" max="13" width="9.140625" style="128"/>
    <col min="14" max="14" width="21.42578125" style="128" customWidth="1"/>
    <col min="15" max="23" width="9.140625" style="128"/>
    <col min="24" max="24" width="9.140625" style="1252"/>
    <col min="25" max="26" width="9.140625" style="128"/>
    <col min="27" max="27" width="14" style="128" customWidth="1"/>
    <col min="28" max="28" width="14.5703125" style="128" customWidth="1"/>
    <col min="29" max="29" width="12.28515625" style="1253" customWidth="1"/>
    <col min="30" max="30" width="9.140625" style="1254"/>
    <col min="31" max="256" width="9.140625" style="128"/>
    <col min="257" max="257" width="4.42578125" style="128" customWidth="1"/>
    <col min="258" max="258" width="11.140625" style="128" customWidth="1"/>
    <col min="259" max="259" width="22.85546875" style="128" customWidth="1"/>
    <col min="260" max="260" width="10.5703125" style="128" customWidth="1"/>
    <col min="261" max="261" width="11.85546875" style="128" customWidth="1"/>
    <col min="262" max="262" width="10.28515625" style="128" customWidth="1"/>
    <col min="263" max="263" width="11.28515625" style="128" customWidth="1"/>
    <col min="264" max="264" width="8.28515625" style="128" customWidth="1"/>
    <col min="265" max="265" width="13.140625" style="128" customWidth="1"/>
    <col min="266" max="266" width="14.42578125" style="128" customWidth="1"/>
    <col min="267" max="267" width="11.42578125" style="128" customWidth="1"/>
    <col min="268" max="282" width="9.140625" style="128"/>
    <col min="283" max="283" width="14" style="128" customWidth="1"/>
    <col min="284" max="284" width="14.5703125" style="128" customWidth="1"/>
    <col min="285" max="285" width="12.28515625" style="128" customWidth="1"/>
    <col min="286" max="512" width="9.140625" style="128"/>
    <col min="513" max="513" width="4.42578125" style="128" customWidth="1"/>
    <col min="514" max="514" width="11.140625" style="128" customWidth="1"/>
    <col min="515" max="515" width="22.85546875" style="128" customWidth="1"/>
    <col min="516" max="516" width="10.5703125" style="128" customWidth="1"/>
    <col min="517" max="517" width="11.85546875" style="128" customWidth="1"/>
    <col min="518" max="518" width="10.28515625" style="128" customWidth="1"/>
    <col min="519" max="519" width="11.28515625" style="128" customWidth="1"/>
    <col min="520" max="520" width="8.28515625" style="128" customWidth="1"/>
    <col min="521" max="521" width="13.140625" style="128" customWidth="1"/>
    <col min="522" max="522" width="14.42578125" style="128" customWidth="1"/>
    <col min="523" max="523" width="11.42578125" style="128" customWidth="1"/>
    <col min="524" max="538" width="9.140625" style="128"/>
    <col min="539" max="539" width="14" style="128" customWidth="1"/>
    <col min="540" max="540" width="14.5703125" style="128" customWidth="1"/>
    <col min="541" max="541" width="12.28515625" style="128" customWidth="1"/>
    <col min="542" max="768" width="9.140625" style="128"/>
    <col min="769" max="769" width="4.42578125" style="128" customWidth="1"/>
    <col min="770" max="770" width="11.140625" style="128" customWidth="1"/>
    <col min="771" max="771" width="22.85546875" style="128" customWidth="1"/>
    <col min="772" max="772" width="10.5703125" style="128" customWidth="1"/>
    <col min="773" max="773" width="11.85546875" style="128" customWidth="1"/>
    <col min="774" max="774" width="10.28515625" style="128" customWidth="1"/>
    <col min="775" max="775" width="11.28515625" style="128" customWidth="1"/>
    <col min="776" max="776" width="8.28515625" style="128" customWidth="1"/>
    <col min="777" max="777" width="13.140625" style="128" customWidth="1"/>
    <col min="778" max="778" width="14.42578125" style="128" customWidth="1"/>
    <col min="779" max="779" width="11.42578125" style="128" customWidth="1"/>
    <col min="780" max="794" width="9.140625" style="128"/>
    <col min="795" max="795" width="14" style="128" customWidth="1"/>
    <col min="796" max="796" width="14.5703125" style="128" customWidth="1"/>
    <col min="797" max="797" width="12.28515625" style="128" customWidth="1"/>
    <col min="798" max="1024" width="9.140625" style="128"/>
    <col min="1025" max="1025" width="4.42578125" style="128" customWidth="1"/>
    <col min="1026" max="1026" width="11.140625" style="128" customWidth="1"/>
    <col min="1027" max="1027" width="22.85546875" style="128" customWidth="1"/>
    <col min="1028" max="1028" width="10.5703125" style="128" customWidth="1"/>
    <col min="1029" max="1029" width="11.85546875" style="128" customWidth="1"/>
    <col min="1030" max="1030" width="10.28515625" style="128" customWidth="1"/>
    <col min="1031" max="1031" width="11.28515625" style="128" customWidth="1"/>
    <col min="1032" max="1032" width="8.28515625" style="128" customWidth="1"/>
    <col min="1033" max="1033" width="13.140625" style="128" customWidth="1"/>
    <col min="1034" max="1034" width="14.42578125" style="128" customWidth="1"/>
    <col min="1035" max="1035" width="11.42578125" style="128" customWidth="1"/>
    <col min="1036" max="1050" width="9.140625" style="128"/>
    <col min="1051" max="1051" width="14" style="128" customWidth="1"/>
    <col min="1052" max="1052" width="14.5703125" style="128" customWidth="1"/>
    <col min="1053" max="1053" width="12.28515625" style="128" customWidth="1"/>
    <col min="1054" max="1280" width="9.140625" style="128"/>
    <col min="1281" max="1281" width="4.42578125" style="128" customWidth="1"/>
    <col min="1282" max="1282" width="11.140625" style="128" customWidth="1"/>
    <col min="1283" max="1283" width="22.85546875" style="128" customWidth="1"/>
    <col min="1284" max="1284" width="10.5703125" style="128" customWidth="1"/>
    <col min="1285" max="1285" width="11.85546875" style="128" customWidth="1"/>
    <col min="1286" max="1286" width="10.28515625" style="128" customWidth="1"/>
    <col min="1287" max="1287" width="11.28515625" style="128" customWidth="1"/>
    <col min="1288" max="1288" width="8.28515625" style="128" customWidth="1"/>
    <col min="1289" max="1289" width="13.140625" style="128" customWidth="1"/>
    <col min="1290" max="1290" width="14.42578125" style="128" customWidth="1"/>
    <col min="1291" max="1291" width="11.42578125" style="128" customWidth="1"/>
    <col min="1292" max="1306" width="9.140625" style="128"/>
    <col min="1307" max="1307" width="14" style="128" customWidth="1"/>
    <col min="1308" max="1308" width="14.5703125" style="128" customWidth="1"/>
    <col min="1309" max="1309" width="12.28515625" style="128" customWidth="1"/>
    <col min="1310" max="1536" width="9.140625" style="128"/>
    <col min="1537" max="1537" width="4.42578125" style="128" customWidth="1"/>
    <col min="1538" max="1538" width="11.140625" style="128" customWidth="1"/>
    <col min="1539" max="1539" width="22.85546875" style="128" customWidth="1"/>
    <col min="1540" max="1540" width="10.5703125" style="128" customWidth="1"/>
    <col min="1541" max="1541" width="11.85546875" style="128" customWidth="1"/>
    <col min="1542" max="1542" width="10.28515625" style="128" customWidth="1"/>
    <col min="1543" max="1543" width="11.28515625" style="128" customWidth="1"/>
    <col min="1544" max="1544" width="8.28515625" style="128" customWidth="1"/>
    <col min="1545" max="1545" width="13.140625" style="128" customWidth="1"/>
    <col min="1546" max="1546" width="14.42578125" style="128" customWidth="1"/>
    <col min="1547" max="1547" width="11.42578125" style="128" customWidth="1"/>
    <col min="1548" max="1562" width="9.140625" style="128"/>
    <col min="1563" max="1563" width="14" style="128" customWidth="1"/>
    <col min="1564" max="1564" width="14.5703125" style="128" customWidth="1"/>
    <col min="1565" max="1565" width="12.28515625" style="128" customWidth="1"/>
    <col min="1566" max="1792" width="9.140625" style="128"/>
    <col min="1793" max="1793" width="4.42578125" style="128" customWidth="1"/>
    <col min="1794" max="1794" width="11.140625" style="128" customWidth="1"/>
    <col min="1795" max="1795" width="22.85546875" style="128" customWidth="1"/>
    <col min="1796" max="1796" width="10.5703125" style="128" customWidth="1"/>
    <col min="1797" max="1797" width="11.85546875" style="128" customWidth="1"/>
    <col min="1798" max="1798" width="10.28515625" style="128" customWidth="1"/>
    <col min="1799" max="1799" width="11.28515625" style="128" customWidth="1"/>
    <col min="1800" max="1800" width="8.28515625" style="128" customWidth="1"/>
    <col min="1801" max="1801" width="13.140625" style="128" customWidth="1"/>
    <col min="1802" max="1802" width="14.42578125" style="128" customWidth="1"/>
    <col min="1803" max="1803" width="11.42578125" style="128" customWidth="1"/>
    <col min="1804" max="1818" width="9.140625" style="128"/>
    <col min="1819" max="1819" width="14" style="128" customWidth="1"/>
    <col min="1820" max="1820" width="14.5703125" style="128" customWidth="1"/>
    <col min="1821" max="1821" width="12.28515625" style="128" customWidth="1"/>
    <col min="1822" max="2048" width="9.140625" style="128"/>
    <col min="2049" max="2049" width="4.42578125" style="128" customWidth="1"/>
    <col min="2050" max="2050" width="11.140625" style="128" customWidth="1"/>
    <col min="2051" max="2051" width="22.85546875" style="128" customWidth="1"/>
    <col min="2052" max="2052" width="10.5703125" style="128" customWidth="1"/>
    <col min="2053" max="2053" width="11.85546875" style="128" customWidth="1"/>
    <col min="2054" max="2054" width="10.28515625" style="128" customWidth="1"/>
    <col min="2055" max="2055" width="11.28515625" style="128" customWidth="1"/>
    <col min="2056" max="2056" width="8.28515625" style="128" customWidth="1"/>
    <col min="2057" max="2057" width="13.140625" style="128" customWidth="1"/>
    <col min="2058" max="2058" width="14.42578125" style="128" customWidth="1"/>
    <col min="2059" max="2059" width="11.42578125" style="128" customWidth="1"/>
    <col min="2060" max="2074" width="9.140625" style="128"/>
    <col min="2075" max="2075" width="14" style="128" customWidth="1"/>
    <col min="2076" max="2076" width="14.5703125" style="128" customWidth="1"/>
    <col min="2077" max="2077" width="12.28515625" style="128" customWidth="1"/>
    <col min="2078" max="2304" width="9.140625" style="128"/>
    <col min="2305" max="2305" width="4.42578125" style="128" customWidth="1"/>
    <col min="2306" max="2306" width="11.140625" style="128" customWidth="1"/>
    <col min="2307" max="2307" width="22.85546875" style="128" customWidth="1"/>
    <col min="2308" max="2308" width="10.5703125" style="128" customWidth="1"/>
    <col min="2309" max="2309" width="11.85546875" style="128" customWidth="1"/>
    <col min="2310" max="2310" width="10.28515625" style="128" customWidth="1"/>
    <col min="2311" max="2311" width="11.28515625" style="128" customWidth="1"/>
    <col min="2312" max="2312" width="8.28515625" style="128" customWidth="1"/>
    <col min="2313" max="2313" width="13.140625" style="128" customWidth="1"/>
    <col min="2314" max="2314" width="14.42578125" style="128" customWidth="1"/>
    <col min="2315" max="2315" width="11.42578125" style="128" customWidth="1"/>
    <col min="2316" max="2330" width="9.140625" style="128"/>
    <col min="2331" max="2331" width="14" style="128" customWidth="1"/>
    <col min="2332" max="2332" width="14.5703125" style="128" customWidth="1"/>
    <col min="2333" max="2333" width="12.28515625" style="128" customWidth="1"/>
    <col min="2334" max="2560" width="9.140625" style="128"/>
    <col min="2561" max="2561" width="4.42578125" style="128" customWidth="1"/>
    <col min="2562" max="2562" width="11.140625" style="128" customWidth="1"/>
    <col min="2563" max="2563" width="22.85546875" style="128" customWidth="1"/>
    <col min="2564" max="2564" width="10.5703125" style="128" customWidth="1"/>
    <col min="2565" max="2565" width="11.85546875" style="128" customWidth="1"/>
    <col min="2566" max="2566" width="10.28515625" style="128" customWidth="1"/>
    <col min="2567" max="2567" width="11.28515625" style="128" customWidth="1"/>
    <col min="2568" max="2568" width="8.28515625" style="128" customWidth="1"/>
    <col min="2569" max="2569" width="13.140625" style="128" customWidth="1"/>
    <col min="2570" max="2570" width="14.42578125" style="128" customWidth="1"/>
    <col min="2571" max="2571" width="11.42578125" style="128" customWidth="1"/>
    <col min="2572" max="2586" width="9.140625" style="128"/>
    <col min="2587" max="2587" width="14" style="128" customWidth="1"/>
    <col min="2588" max="2588" width="14.5703125" style="128" customWidth="1"/>
    <col min="2589" max="2589" width="12.28515625" style="128" customWidth="1"/>
    <col min="2590" max="2816" width="9.140625" style="128"/>
    <col min="2817" max="2817" width="4.42578125" style="128" customWidth="1"/>
    <col min="2818" max="2818" width="11.140625" style="128" customWidth="1"/>
    <col min="2819" max="2819" width="22.85546875" style="128" customWidth="1"/>
    <col min="2820" max="2820" width="10.5703125" style="128" customWidth="1"/>
    <col min="2821" max="2821" width="11.85546875" style="128" customWidth="1"/>
    <col min="2822" max="2822" width="10.28515625" style="128" customWidth="1"/>
    <col min="2823" max="2823" width="11.28515625" style="128" customWidth="1"/>
    <col min="2824" max="2824" width="8.28515625" style="128" customWidth="1"/>
    <col min="2825" max="2825" width="13.140625" style="128" customWidth="1"/>
    <col min="2826" max="2826" width="14.42578125" style="128" customWidth="1"/>
    <col min="2827" max="2827" width="11.42578125" style="128" customWidth="1"/>
    <col min="2828" max="2842" width="9.140625" style="128"/>
    <col min="2843" max="2843" width="14" style="128" customWidth="1"/>
    <col min="2844" max="2844" width="14.5703125" style="128" customWidth="1"/>
    <col min="2845" max="2845" width="12.28515625" style="128" customWidth="1"/>
    <col min="2846" max="3072" width="9.140625" style="128"/>
    <col min="3073" max="3073" width="4.42578125" style="128" customWidth="1"/>
    <col min="3074" max="3074" width="11.140625" style="128" customWidth="1"/>
    <col min="3075" max="3075" width="22.85546875" style="128" customWidth="1"/>
    <col min="3076" max="3076" width="10.5703125" style="128" customWidth="1"/>
    <col min="3077" max="3077" width="11.85546875" style="128" customWidth="1"/>
    <col min="3078" max="3078" width="10.28515625" style="128" customWidth="1"/>
    <col min="3079" max="3079" width="11.28515625" style="128" customWidth="1"/>
    <col min="3080" max="3080" width="8.28515625" style="128" customWidth="1"/>
    <col min="3081" max="3081" width="13.140625" style="128" customWidth="1"/>
    <col min="3082" max="3082" width="14.42578125" style="128" customWidth="1"/>
    <col min="3083" max="3083" width="11.42578125" style="128" customWidth="1"/>
    <col min="3084" max="3098" width="9.140625" style="128"/>
    <col min="3099" max="3099" width="14" style="128" customWidth="1"/>
    <col min="3100" max="3100" width="14.5703125" style="128" customWidth="1"/>
    <col min="3101" max="3101" width="12.28515625" style="128" customWidth="1"/>
    <col min="3102" max="3328" width="9.140625" style="128"/>
    <col min="3329" max="3329" width="4.42578125" style="128" customWidth="1"/>
    <col min="3330" max="3330" width="11.140625" style="128" customWidth="1"/>
    <col min="3331" max="3331" width="22.85546875" style="128" customWidth="1"/>
    <col min="3332" max="3332" width="10.5703125" style="128" customWidth="1"/>
    <col min="3333" max="3333" width="11.85546875" style="128" customWidth="1"/>
    <col min="3334" max="3334" width="10.28515625" style="128" customWidth="1"/>
    <col min="3335" max="3335" width="11.28515625" style="128" customWidth="1"/>
    <col min="3336" max="3336" width="8.28515625" style="128" customWidth="1"/>
    <col min="3337" max="3337" width="13.140625" style="128" customWidth="1"/>
    <col min="3338" max="3338" width="14.42578125" style="128" customWidth="1"/>
    <col min="3339" max="3339" width="11.42578125" style="128" customWidth="1"/>
    <col min="3340" max="3354" width="9.140625" style="128"/>
    <col min="3355" max="3355" width="14" style="128" customWidth="1"/>
    <col min="3356" max="3356" width="14.5703125" style="128" customWidth="1"/>
    <col min="3357" max="3357" width="12.28515625" style="128" customWidth="1"/>
    <col min="3358" max="3584" width="9.140625" style="128"/>
    <col min="3585" max="3585" width="4.42578125" style="128" customWidth="1"/>
    <col min="3586" max="3586" width="11.140625" style="128" customWidth="1"/>
    <col min="3587" max="3587" width="22.85546875" style="128" customWidth="1"/>
    <col min="3588" max="3588" width="10.5703125" style="128" customWidth="1"/>
    <col min="3589" max="3589" width="11.85546875" style="128" customWidth="1"/>
    <col min="3590" max="3590" width="10.28515625" style="128" customWidth="1"/>
    <col min="3591" max="3591" width="11.28515625" style="128" customWidth="1"/>
    <col min="3592" max="3592" width="8.28515625" style="128" customWidth="1"/>
    <col min="3593" max="3593" width="13.140625" style="128" customWidth="1"/>
    <col min="3594" max="3594" width="14.42578125" style="128" customWidth="1"/>
    <col min="3595" max="3595" width="11.42578125" style="128" customWidth="1"/>
    <col min="3596" max="3610" width="9.140625" style="128"/>
    <col min="3611" max="3611" width="14" style="128" customWidth="1"/>
    <col min="3612" max="3612" width="14.5703125" style="128" customWidth="1"/>
    <col min="3613" max="3613" width="12.28515625" style="128" customWidth="1"/>
    <col min="3614" max="3840" width="9.140625" style="128"/>
    <col min="3841" max="3841" width="4.42578125" style="128" customWidth="1"/>
    <col min="3842" max="3842" width="11.140625" style="128" customWidth="1"/>
    <col min="3843" max="3843" width="22.85546875" style="128" customWidth="1"/>
    <col min="3844" max="3844" width="10.5703125" style="128" customWidth="1"/>
    <col min="3845" max="3845" width="11.85546875" style="128" customWidth="1"/>
    <col min="3846" max="3846" width="10.28515625" style="128" customWidth="1"/>
    <col min="3847" max="3847" width="11.28515625" style="128" customWidth="1"/>
    <col min="3848" max="3848" width="8.28515625" style="128" customWidth="1"/>
    <col min="3849" max="3849" width="13.140625" style="128" customWidth="1"/>
    <col min="3850" max="3850" width="14.42578125" style="128" customWidth="1"/>
    <col min="3851" max="3851" width="11.42578125" style="128" customWidth="1"/>
    <col min="3852" max="3866" width="9.140625" style="128"/>
    <col min="3867" max="3867" width="14" style="128" customWidth="1"/>
    <col min="3868" max="3868" width="14.5703125" style="128" customWidth="1"/>
    <col min="3869" max="3869" width="12.28515625" style="128" customWidth="1"/>
    <col min="3870" max="4096" width="9.140625" style="128"/>
    <col min="4097" max="4097" width="4.42578125" style="128" customWidth="1"/>
    <col min="4098" max="4098" width="11.140625" style="128" customWidth="1"/>
    <col min="4099" max="4099" width="22.85546875" style="128" customWidth="1"/>
    <col min="4100" max="4100" width="10.5703125" style="128" customWidth="1"/>
    <col min="4101" max="4101" width="11.85546875" style="128" customWidth="1"/>
    <col min="4102" max="4102" width="10.28515625" style="128" customWidth="1"/>
    <col min="4103" max="4103" width="11.28515625" style="128" customWidth="1"/>
    <col min="4104" max="4104" width="8.28515625" style="128" customWidth="1"/>
    <col min="4105" max="4105" width="13.140625" style="128" customWidth="1"/>
    <col min="4106" max="4106" width="14.42578125" style="128" customWidth="1"/>
    <col min="4107" max="4107" width="11.42578125" style="128" customWidth="1"/>
    <col min="4108" max="4122" width="9.140625" style="128"/>
    <col min="4123" max="4123" width="14" style="128" customWidth="1"/>
    <col min="4124" max="4124" width="14.5703125" style="128" customWidth="1"/>
    <col min="4125" max="4125" width="12.28515625" style="128" customWidth="1"/>
    <col min="4126" max="4352" width="9.140625" style="128"/>
    <col min="4353" max="4353" width="4.42578125" style="128" customWidth="1"/>
    <col min="4354" max="4354" width="11.140625" style="128" customWidth="1"/>
    <col min="4355" max="4355" width="22.85546875" style="128" customWidth="1"/>
    <col min="4356" max="4356" width="10.5703125" style="128" customWidth="1"/>
    <col min="4357" max="4357" width="11.85546875" style="128" customWidth="1"/>
    <col min="4358" max="4358" width="10.28515625" style="128" customWidth="1"/>
    <col min="4359" max="4359" width="11.28515625" style="128" customWidth="1"/>
    <col min="4360" max="4360" width="8.28515625" style="128" customWidth="1"/>
    <col min="4361" max="4361" width="13.140625" style="128" customWidth="1"/>
    <col min="4362" max="4362" width="14.42578125" style="128" customWidth="1"/>
    <col min="4363" max="4363" width="11.42578125" style="128" customWidth="1"/>
    <col min="4364" max="4378" width="9.140625" style="128"/>
    <col min="4379" max="4379" width="14" style="128" customWidth="1"/>
    <col min="4380" max="4380" width="14.5703125" style="128" customWidth="1"/>
    <col min="4381" max="4381" width="12.28515625" style="128" customWidth="1"/>
    <col min="4382" max="4608" width="9.140625" style="128"/>
    <col min="4609" max="4609" width="4.42578125" style="128" customWidth="1"/>
    <col min="4610" max="4610" width="11.140625" style="128" customWidth="1"/>
    <col min="4611" max="4611" width="22.85546875" style="128" customWidth="1"/>
    <col min="4612" max="4612" width="10.5703125" style="128" customWidth="1"/>
    <col min="4613" max="4613" width="11.85546875" style="128" customWidth="1"/>
    <col min="4614" max="4614" width="10.28515625" style="128" customWidth="1"/>
    <col min="4615" max="4615" width="11.28515625" style="128" customWidth="1"/>
    <col min="4616" max="4616" width="8.28515625" style="128" customWidth="1"/>
    <col min="4617" max="4617" width="13.140625" style="128" customWidth="1"/>
    <col min="4618" max="4618" width="14.42578125" style="128" customWidth="1"/>
    <col min="4619" max="4619" width="11.42578125" style="128" customWidth="1"/>
    <col min="4620" max="4634" width="9.140625" style="128"/>
    <col min="4635" max="4635" width="14" style="128" customWidth="1"/>
    <col min="4636" max="4636" width="14.5703125" style="128" customWidth="1"/>
    <col min="4637" max="4637" width="12.28515625" style="128" customWidth="1"/>
    <col min="4638" max="4864" width="9.140625" style="128"/>
    <col min="4865" max="4865" width="4.42578125" style="128" customWidth="1"/>
    <col min="4866" max="4866" width="11.140625" style="128" customWidth="1"/>
    <col min="4867" max="4867" width="22.85546875" style="128" customWidth="1"/>
    <col min="4868" max="4868" width="10.5703125" style="128" customWidth="1"/>
    <col min="4869" max="4869" width="11.85546875" style="128" customWidth="1"/>
    <col min="4870" max="4870" width="10.28515625" style="128" customWidth="1"/>
    <col min="4871" max="4871" width="11.28515625" style="128" customWidth="1"/>
    <col min="4872" max="4872" width="8.28515625" style="128" customWidth="1"/>
    <col min="4873" max="4873" width="13.140625" style="128" customWidth="1"/>
    <col min="4874" max="4874" width="14.42578125" style="128" customWidth="1"/>
    <col min="4875" max="4875" width="11.42578125" style="128" customWidth="1"/>
    <col min="4876" max="4890" width="9.140625" style="128"/>
    <col min="4891" max="4891" width="14" style="128" customWidth="1"/>
    <col min="4892" max="4892" width="14.5703125" style="128" customWidth="1"/>
    <col min="4893" max="4893" width="12.28515625" style="128" customWidth="1"/>
    <col min="4894" max="5120" width="9.140625" style="128"/>
    <col min="5121" max="5121" width="4.42578125" style="128" customWidth="1"/>
    <col min="5122" max="5122" width="11.140625" style="128" customWidth="1"/>
    <col min="5123" max="5123" width="22.85546875" style="128" customWidth="1"/>
    <col min="5124" max="5124" width="10.5703125" style="128" customWidth="1"/>
    <col min="5125" max="5125" width="11.85546875" style="128" customWidth="1"/>
    <col min="5126" max="5126" width="10.28515625" style="128" customWidth="1"/>
    <col min="5127" max="5127" width="11.28515625" style="128" customWidth="1"/>
    <col min="5128" max="5128" width="8.28515625" style="128" customWidth="1"/>
    <col min="5129" max="5129" width="13.140625" style="128" customWidth="1"/>
    <col min="5130" max="5130" width="14.42578125" style="128" customWidth="1"/>
    <col min="5131" max="5131" width="11.42578125" style="128" customWidth="1"/>
    <col min="5132" max="5146" width="9.140625" style="128"/>
    <col min="5147" max="5147" width="14" style="128" customWidth="1"/>
    <col min="5148" max="5148" width="14.5703125" style="128" customWidth="1"/>
    <col min="5149" max="5149" width="12.28515625" style="128" customWidth="1"/>
    <col min="5150" max="5376" width="9.140625" style="128"/>
    <col min="5377" max="5377" width="4.42578125" style="128" customWidth="1"/>
    <col min="5378" max="5378" width="11.140625" style="128" customWidth="1"/>
    <col min="5379" max="5379" width="22.85546875" style="128" customWidth="1"/>
    <col min="5380" max="5380" width="10.5703125" style="128" customWidth="1"/>
    <col min="5381" max="5381" width="11.85546875" style="128" customWidth="1"/>
    <col min="5382" max="5382" width="10.28515625" style="128" customWidth="1"/>
    <col min="5383" max="5383" width="11.28515625" style="128" customWidth="1"/>
    <col min="5384" max="5384" width="8.28515625" style="128" customWidth="1"/>
    <col min="5385" max="5385" width="13.140625" style="128" customWidth="1"/>
    <col min="5386" max="5386" width="14.42578125" style="128" customWidth="1"/>
    <col min="5387" max="5387" width="11.42578125" style="128" customWidth="1"/>
    <col min="5388" max="5402" width="9.140625" style="128"/>
    <col min="5403" max="5403" width="14" style="128" customWidth="1"/>
    <col min="5404" max="5404" width="14.5703125" style="128" customWidth="1"/>
    <col min="5405" max="5405" width="12.28515625" style="128" customWidth="1"/>
    <col min="5406" max="5632" width="9.140625" style="128"/>
    <col min="5633" max="5633" width="4.42578125" style="128" customWidth="1"/>
    <col min="5634" max="5634" width="11.140625" style="128" customWidth="1"/>
    <col min="5635" max="5635" width="22.85546875" style="128" customWidth="1"/>
    <col min="5636" max="5636" width="10.5703125" style="128" customWidth="1"/>
    <col min="5637" max="5637" width="11.85546875" style="128" customWidth="1"/>
    <col min="5638" max="5638" width="10.28515625" style="128" customWidth="1"/>
    <col min="5639" max="5639" width="11.28515625" style="128" customWidth="1"/>
    <col min="5640" max="5640" width="8.28515625" style="128" customWidth="1"/>
    <col min="5641" max="5641" width="13.140625" style="128" customWidth="1"/>
    <col min="5642" max="5642" width="14.42578125" style="128" customWidth="1"/>
    <col min="5643" max="5643" width="11.42578125" style="128" customWidth="1"/>
    <col min="5644" max="5658" width="9.140625" style="128"/>
    <col min="5659" max="5659" width="14" style="128" customWidth="1"/>
    <col min="5660" max="5660" width="14.5703125" style="128" customWidth="1"/>
    <col min="5661" max="5661" width="12.28515625" style="128" customWidth="1"/>
    <col min="5662" max="5888" width="9.140625" style="128"/>
    <col min="5889" max="5889" width="4.42578125" style="128" customWidth="1"/>
    <col min="5890" max="5890" width="11.140625" style="128" customWidth="1"/>
    <col min="5891" max="5891" width="22.85546875" style="128" customWidth="1"/>
    <col min="5892" max="5892" width="10.5703125" style="128" customWidth="1"/>
    <col min="5893" max="5893" width="11.85546875" style="128" customWidth="1"/>
    <col min="5894" max="5894" width="10.28515625" style="128" customWidth="1"/>
    <col min="5895" max="5895" width="11.28515625" style="128" customWidth="1"/>
    <col min="5896" max="5896" width="8.28515625" style="128" customWidth="1"/>
    <col min="5897" max="5897" width="13.140625" style="128" customWidth="1"/>
    <col min="5898" max="5898" width="14.42578125" style="128" customWidth="1"/>
    <col min="5899" max="5899" width="11.42578125" style="128" customWidth="1"/>
    <col min="5900" max="5914" width="9.140625" style="128"/>
    <col min="5915" max="5915" width="14" style="128" customWidth="1"/>
    <col min="5916" max="5916" width="14.5703125" style="128" customWidth="1"/>
    <col min="5917" max="5917" width="12.28515625" style="128" customWidth="1"/>
    <col min="5918" max="6144" width="9.140625" style="128"/>
    <col min="6145" max="6145" width="4.42578125" style="128" customWidth="1"/>
    <col min="6146" max="6146" width="11.140625" style="128" customWidth="1"/>
    <col min="6147" max="6147" width="22.85546875" style="128" customWidth="1"/>
    <col min="6148" max="6148" width="10.5703125" style="128" customWidth="1"/>
    <col min="6149" max="6149" width="11.85546875" style="128" customWidth="1"/>
    <col min="6150" max="6150" width="10.28515625" style="128" customWidth="1"/>
    <col min="6151" max="6151" width="11.28515625" style="128" customWidth="1"/>
    <col min="6152" max="6152" width="8.28515625" style="128" customWidth="1"/>
    <col min="6153" max="6153" width="13.140625" style="128" customWidth="1"/>
    <col min="6154" max="6154" width="14.42578125" style="128" customWidth="1"/>
    <col min="6155" max="6155" width="11.42578125" style="128" customWidth="1"/>
    <col min="6156" max="6170" width="9.140625" style="128"/>
    <col min="6171" max="6171" width="14" style="128" customWidth="1"/>
    <col min="6172" max="6172" width="14.5703125" style="128" customWidth="1"/>
    <col min="6173" max="6173" width="12.28515625" style="128" customWidth="1"/>
    <col min="6174" max="6400" width="9.140625" style="128"/>
    <col min="6401" max="6401" width="4.42578125" style="128" customWidth="1"/>
    <col min="6402" max="6402" width="11.140625" style="128" customWidth="1"/>
    <col min="6403" max="6403" width="22.85546875" style="128" customWidth="1"/>
    <col min="6404" max="6404" width="10.5703125" style="128" customWidth="1"/>
    <col min="6405" max="6405" width="11.85546875" style="128" customWidth="1"/>
    <col min="6406" max="6406" width="10.28515625" style="128" customWidth="1"/>
    <col min="6407" max="6407" width="11.28515625" style="128" customWidth="1"/>
    <col min="6408" max="6408" width="8.28515625" style="128" customWidth="1"/>
    <col min="6409" max="6409" width="13.140625" style="128" customWidth="1"/>
    <col min="6410" max="6410" width="14.42578125" style="128" customWidth="1"/>
    <col min="6411" max="6411" width="11.42578125" style="128" customWidth="1"/>
    <col min="6412" max="6426" width="9.140625" style="128"/>
    <col min="6427" max="6427" width="14" style="128" customWidth="1"/>
    <col min="6428" max="6428" width="14.5703125" style="128" customWidth="1"/>
    <col min="6429" max="6429" width="12.28515625" style="128" customWidth="1"/>
    <col min="6430" max="6656" width="9.140625" style="128"/>
    <col min="6657" max="6657" width="4.42578125" style="128" customWidth="1"/>
    <col min="6658" max="6658" width="11.140625" style="128" customWidth="1"/>
    <col min="6659" max="6659" width="22.85546875" style="128" customWidth="1"/>
    <col min="6660" max="6660" width="10.5703125" style="128" customWidth="1"/>
    <col min="6661" max="6661" width="11.85546875" style="128" customWidth="1"/>
    <col min="6662" max="6662" width="10.28515625" style="128" customWidth="1"/>
    <col min="6663" max="6663" width="11.28515625" style="128" customWidth="1"/>
    <col min="6664" max="6664" width="8.28515625" style="128" customWidth="1"/>
    <col min="6665" max="6665" width="13.140625" style="128" customWidth="1"/>
    <col min="6666" max="6666" width="14.42578125" style="128" customWidth="1"/>
    <col min="6667" max="6667" width="11.42578125" style="128" customWidth="1"/>
    <col min="6668" max="6682" width="9.140625" style="128"/>
    <col min="6683" max="6683" width="14" style="128" customWidth="1"/>
    <col min="6684" max="6684" width="14.5703125" style="128" customWidth="1"/>
    <col min="6685" max="6685" width="12.28515625" style="128" customWidth="1"/>
    <col min="6686" max="6912" width="9.140625" style="128"/>
    <col min="6913" max="6913" width="4.42578125" style="128" customWidth="1"/>
    <col min="6914" max="6914" width="11.140625" style="128" customWidth="1"/>
    <col min="6915" max="6915" width="22.85546875" style="128" customWidth="1"/>
    <col min="6916" max="6916" width="10.5703125" style="128" customWidth="1"/>
    <col min="6917" max="6917" width="11.85546875" style="128" customWidth="1"/>
    <col min="6918" max="6918" width="10.28515625" style="128" customWidth="1"/>
    <col min="6919" max="6919" width="11.28515625" style="128" customWidth="1"/>
    <col min="6920" max="6920" width="8.28515625" style="128" customWidth="1"/>
    <col min="6921" max="6921" width="13.140625" style="128" customWidth="1"/>
    <col min="6922" max="6922" width="14.42578125" style="128" customWidth="1"/>
    <col min="6923" max="6923" width="11.42578125" style="128" customWidth="1"/>
    <col min="6924" max="6938" width="9.140625" style="128"/>
    <col min="6939" max="6939" width="14" style="128" customWidth="1"/>
    <col min="6940" max="6940" width="14.5703125" style="128" customWidth="1"/>
    <col min="6941" max="6941" width="12.28515625" style="128" customWidth="1"/>
    <col min="6942" max="7168" width="9.140625" style="128"/>
    <col min="7169" max="7169" width="4.42578125" style="128" customWidth="1"/>
    <col min="7170" max="7170" width="11.140625" style="128" customWidth="1"/>
    <col min="7171" max="7171" width="22.85546875" style="128" customWidth="1"/>
    <col min="7172" max="7172" width="10.5703125" style="128" customWidth="1"/>
    <col min="7173" max="7173" width="11.85546875" style="128" customWidth="1"/>
    <col min="7174" max="7174" width="10.28515625" style="128" customWidth="1"/>
    <col min="7175" max="7175" width="11.28515625" style="128" customWidth="1"/>
    <col min="7176" max="7176" width="8.28515625" style="128" customWidth="1"/>
    <col min="7177" max="7177" width="13.140625" style="128" customWidth="1"/>
    <col min="7178" max="7178" width="14.42578125" style="128" customWidth="1"/>
    <col min="7179" max="7179" width="11.42578125" style="128" customWidth="1"/>
    <col min="7180" max="7194" width="9.140625" style="128"/>
    <col min="7195" max="7195" width="14" style="128" customWidth="1"/>
    <col min="7196" max="7196" width="14.5703125" style="128" customWidth="1"/>
    <col min="7197" max="7197" width="12.28515625" style="128" customWidth="1"/>
    <col min="7198" max="7424" width="9.140625" style="128"/>
    <col min="7425" max="7425" width="4.42578125" style="128" customWidth="1"/>
    <col min="7426" max="7426" width="11.140625" style="128" customWidth="1"/>
    <col min="7427" max="7427" width="22.85546875" style="128" customWidth="1"/>
    <col min="7428" max="7428" width="10.5703125" style="128" customWidth="1"/>
    <col min="7429" max="7429" width="11.85546875" style="128" customWidth="1"/>
    <col min="7430" max="7430" width="10.28515625" style="128" customWidth="1"/>
    <col min="7431" max="7431" width="11.28515625" style="128" customWidth="1"/>
    <col min="7432" max="7432" width="8.28515625" style="128" customWidth="1"/>
    <col min="7433" max="7433" width="13.140625" style="128" customWidth="1"/>
    <col min="7434" max="7434" width="14.42578125" style="128" customWidth="1"/>
    <col min="7435" max="7435" width="11.42578125" style="128" customWidth="1"/>
    <col min="7436" max="7450" width="9.140625" style="128"/>
    <col min="7451" max="7451" width="14" style="128" customWidth="1"/>
    <col min="7452" max="7452" width="14.5703125" style="128" customWidth="1"/>
    <col min="7453" max="7453" width="12.28515625" style="128" customWidth="1"/>
    <col min="7454" max="7680" width="9.140625" style="128"/>
    <col min="7681" max="7681" width="4.42578125" style="128" customWidth="1"/>
    <col min="7682" max="7682" width="11.140625" style="128" customWidth="1"/>
    <col min="7683" max="7683" width="22.85546875" style="128" customWidth="1"/>
    <col min="7684" max="7684" width="10.5703125" style="128" customWidth="1"/>
    <col min="7685" max="7685" width="11.85546875" style="128" customWidth="1"/>
    <col min="7686" max="7686" width="10.28515625" style="128" customWidth="1"/>
    <col min="7687" max="7687" width="11.28515625" style="128" customWidth="1"/>
    <col min="7688" max="7688" width="8.28515625" style="128" customWidth="1"/>
    <col min="7689" max="7689" width="13.140625" style="128" customWidth="1"/>
    <col min="7690" max="7690" width="14.42578125" style="128" customWidth="1"/>
    <col min="7691" max="7691" width="11.42578125" style="128" customWidth="1"/>
    <col min="7692" max="7706" width="9.140625" style="128"/>
    <col min="7707" max="7707" width="14" style="128" customWidth="1"/>
    <col min="7708" max="7708" width="14.5703125" style="128" customWidth="1"/>
    <col min="7709" max="7709" width="12.28515625" style="128" customWidth="1"/>
    <col min="7710" max="7936" width="9.140625" style="128"/>
    <col min="7937" max="7937" width="4.42578125" style="128" customWidth="1"/>
    <col min="7938" max="7938" width="11.140625" style="128" customWidth="1"/>
    <col min="7939" max="7939" width="22.85546875" style="128" customWidth="1"/>
    <col min="7940" max="7940" width="10.5703125" style="128" customWidth="1"/>
    <col min="7941" max="7941" width="11.85546875" style="128" customWidth="1"/>
    <col min="7942" max="7942" width="10.28515625" style="128" customWidth="1"/>
    <col min="7943" max="7943" width="11.28515625" style="128" customWidth="1"/>
    <col min="7944" max="7944" width="8.28515625" style="128" customWidth="1"/>
    <col min="7945" max="7945" width="13.140625" style="128" customWidth="1"/>
    <col min="7946" max="7946" width="14.42578125" style="128" customWidth="1"/>
    <col min="7947" max="7947" width="11.42578125" style="128" customWidth="1"/>
    <col min="7948" max="7962" width="9.140625" style="128"/>
    <col min="7963" max="7963" width="14" style="128" customWidth="1"/>
    <col min="7964" max="7964" width="14.5703125" style="128" customWidth="1"/>
    <col min="7965" max="7965" width="12.28515625" style="128" customWidth="1"/>
    <col min="7966" max="8192" width="9.140625" style="128"/>
    <col min="8193" max="8193" width="4.42578125" style="128" customWidth="1"/>
    <col min="8194" max="8194" width="11.140625" style="128" customWidth="1"/>
    <col min="8195" max="8195" width="22.85546875" style="128" customWidth="1"/>
    <col min="8196" max="8196" width="10.5703125" style="128" customWidth="1"/>
    <col min="8197" max="8197" width="11.85546875" style="128" customWidth="1"/>
    <col min="8198" max="8198" width="10.28515625" style="128" customWidth="1"/>
    <col min="8199" max="8199" width="11.28515625" style="128" customWidth="1"/>
    <col min="8200" max="8200" width="8.28515625" style="128" customWidth="1"/>
    <col min="8201" max="8201" width="13.140625" style="128" customWidth="1"/>
    <col min="8202" max="8202" width="14.42578125" style="128" customWidth="1"/>
    <col min="8203" max="8203" width="11.42578125" style="128" customWidth="1"/>
    <col min="8204" max="8218" width="9.140625" style="128"/>
    <col min="8219" max="8219" width="14" style="128" customWidth="1"/>
    <col min="8220" max="8220" width="14.5703125" style="128" customWidth="1"/>
    <col min="8221" max="8221" width="12.28515625" style="128" customWidth="1"/>
    <col min="8222" max="8448" width="9.140625" style="128"/>
    <col min="8449" max="8449" width="4.42578125" style="128" customWidth="1"/>
    <col min="8450" max="8450" width="11.140625" style="128" customWidth="1"/>
    <col min="8451" max="8451" width="22.85546875" style="128" customWidth="1"/>
    <col min="8452" max="8452" width="10.5703125" style="128" customWidth="1"/>
    <col min="8453" max="8453" width="11.85546875" style="128" customWidth="1"/>
    <col min="8454" max="8454" width="10.28515625" style="128" customWidth="1"/>
    <col min="8455" max="8455" width="11.28515625" style="128" customWidth="1"/>
    <col min="8456" max="8456" width="8.28515625" style="128" customWidth="1"/>
    <col min="8457" max="8457" width="13.140625" style="128" customWidth="1"/>
    <col min="8458" max="8458" width="14.42578125" style="128" customWidth="1"/>
    <col min="8459" max="8459" width="11.42578125" style="128" customWidth="1"/>
    <col min="8460" max="8474" width="9.140625" style="128"/>
    <col min="8475" max="8475" width="14" style="128" customWidth="1"/>
    <col min="8476" max="8476" width="14.5703125" style="128" customWidth="1"/>
    <col min="8477" max="8477" width="12.28515625" style="128" customWidth="1"/>
    <col min="8478" max="8704" width="9.140625" style="128"/>
    <col min="8705" max="8705" width="4.42578125" style="128" customWidth="1"/>
    <col min="8706" max="8706" width="11.140625" style="128" customWidth="1"/>
    <col min="8707" max="8707" width="22.85546875" style="128" customWidth="1"/>
    <col min="8708" max="8708" width="10.5703125" style="128" customWidth="1"/>
    <col min="8709" max="8709" width="11.85546875" style="128" customWidth="1"/>
    <col min="8710" max="8710" width="10.28515625" style="128" customWidth="1"/>
    <col min="8711" max="8711" width="11.28515625" style="128" customWidth="1"/>
    <col min="8712" max="8712" width="8.28515625" style="128" customWidth="1"/>
    <col min="8713" max="8713" width="13.140625" style="128" customWidth="1"/>
    <col min="8714" max="8714" width="14.42578125" style="128" customWidth="1"/>
    <col min="8715" max="8715" width="11.42578125" style="128" customWidth="1"/>
    <col min="8716" max="8730" width="9.140625" style="128"/>
    <col min="8731" max="8731" width="14" style="128" customWidth="1"/>
    <col min="8732" max="8732" width="14.5703125" style="128" customWidth="1"/>
    <col min="8733" max="8733" width="12.28515625" style="128" customWidth="1"/>
    <col min="8734" max="8960" width="9.140625" style="128"/>
    <col min="8961" max="8961" width="4.42578125" style="128" customWidth="1"/>
    <col min="8962" max="8962" width="11.140625" style="128" customWidth="1"/>
    <col min="8963" max="8963" width="22.85546875" style="128" customWidth="1"/>
    <col min="8964" max="8964" width="10.5703125" style="128" customWidth="1"/>
    <col min="8965" max="8965" width="11.85546875" style="128" customWidth="1"/>
    <col min="8966" max="8966" width="10.28515625" style="128" customWidth="1"/>
    <col min="8967" max="8967" width="11.28515625" style="128" customWidth="1"/>
    <col min="8968" max="8968" width="8.28515625" style="128" customWidth="1"/>
    <col min="8969" max="8969" width="13.140625" style="128" customWidth="1"/>
    <col min="8970" max="8970" width="14.42578125" style="128" customWidth="1"/>
    <col min="8971" max="8971" width="11.42578125" style="128" customWidth="1"/>
    <col min="8972" max="8986" width="9.140625" style="128"/>
    <col min="8987" max="8987" width="14" style="128" customWidth="1"/>
    <col min="8988" max="8988" width="14.5703125" style="128" customWidth="1"/>
    <col min="8989" max="8989" width="12.28515625" style="128" customWidth="1"/>
    <col min="8990" max="9216" width="9.140625" style="128"/>
    <col min="9217" max="9217" width="4.42578125" style="128" customWidth="1"/>
    <col min="9218" max="9218" width="11.140625" style="128" customWidth="1"/>
    <col min="9219" max="9219" width="22.85546875" style="128" customWidth="1"/>
    <col min="9220" max="9220" width="10.5703125" style="128" customWidth="1"/>
    <col min="9221" max="9221" width="11.85546875" style="128" customWidth="1"/>
    <col min="9222" max="9222" width="10.28515625" style="128" customWidth="1"/>
    <col min="9223" max="9223" width="11.28515625" style="128" customWidth="1"/>
    <col min="9224" max="9224" width="8.28515625" style="128" customWidth="1"/>
    <col min="9225" max="9225" width="13.140625" style="128" customWidth="1"/>
    <col min="9226" max="9226" width="14.42578125" style="128" customWidth="1"/>
    <col min="9227" max="9227" width="11.42578125" style="128" customWidth="1"/>
    <col min="9228" max="9242" width="9.140625" style="128"/>
    <col min="9243" max="9243" width="14" style="128" customWidth="1"/>
    <col min="9244" max="9244" width="14.5703125" style="128" customWidth="1"/>
    <col min="9245" max="9245" width="12.28515625" style="128" customWidth="1"/>
    <col min="9246" max="9472" width="9.140625" style="128"/>
    <col min="9473" max="9473" width="4.42578125" style="128" customWidth="1"/>
    <col min="9474" max="9474" width="11.140625" style="128" customWidth="1"/>
    <col min="9475" max="9475" width="22.85546875" style="128" customWidth="1"/>
    <col min="9476" max="9476" width="10.5703125" style="128" customWidth="1"/>
    <col min="9477" max="9477" width="11.85546875" style="128" customWidth="1"/>
    <col min="9478" max="9478" width="10.28515625" style="128" customWidth="1"/>
    <col min="9479" max="9479" width="11.28515625" style="128" customWidth="1"/>
    <col min="9480" max="9480" width="8.28515625" style="128" customWidth="1"/>
    <col min="9481" max="9481" width="13.140625" style="128" customWidth="1"/>
    <col min="9482" max="9482" width="14.42578125" style="128" customWidth="1"/>
    <col min="9483" max="9483" width="11.42578125" style="128" customWidth="1"/>
    <col min="9484" max="9498" width="9.140625" style="128"/>
    <col min="9499" max="9499" width="14" style="128" customWidth="1"/>
    <col min="9500" max="9500" width="14.5703125" style="128" customWidth="1"/>
    <col min="9501" max="9501" width="12.28515625" style="128" customWidth="1"/>
    <col min="9502" max="9728" width="9.140625" style="128"/>
    <col min="9729" max="9729" width="4.42578125" style="128" customWidth="1"/>
    <col min="9730" max="9730" width="11.140625" style="128" customWidth="1"/>
    <col min="9731" max="9731" width="22.85546875" style="128" customWidth="1"/>
    <col min="9732" max="9732" width="10.5703125" style="128" customWidth="1"/>
    <col min="9733" max="9733" width="11.85546875" style="128" customWidth="1"/>
    <col min="9734" max="9734" width="10.28515625" style="128" customWidth="1"/>
    <col min="9735" max="9735" width="11.28515625" style="128" customWidth="1"/>
    <col min="9736" max="9736" width="8.28515625" style="128" customWidth="1"/>
    <col min="9737" max="9737" width="13.140625" style="128" customWidth="1"/>
    <col min="9738" max="9738" width="14.42578125" style="128" customWidth="1"/>
    <col min="9739" max="9739" width="11.42578125" style="128" customWidth="1"/>
    <col min="9740" max="9754" width="9.140625" style="128"/>
    <col min="9755" max="9755" width="14" style="128" customWidth="1"/>
    <col min="9756" max="9756" width="14.5703125" style="128" customWidth="1"/>
    <col min="9757" max="9757" width="12.28515625" style="128" customWidth="1"/>
    <col min="9758" max="9984" width="9.140625" style="128"/>
    <col min="9985" max="9985" width="4.42578125" style="128" customWidth="1"/>
    <col min="9986" max="9986" width="11.140625" style="128" customWidth="1"/>
    <col min="9987" max="9987" width="22.85546875" style="128" customWidth="1"/>
    <col min="9988" max="9988" width="10.5703125" style="128" customWidth="1"/>
    <col min="9989" max="9989" width="11.85546875" style="128" customWidth="1"/>
    <col min="9990" max="9990" width="10.28515625" style="128" customWidth="1"/>
    <col min="9991" max="9991" width="11.28515625" style="128" customWidth="1"/>
    <col min="9992" max="9992" width="8.28515625" style="128" customWidth="1"/>
    <col min="9993" max="9993" width="13.140625" style="128" customWidth="1"/>
    <col min="9994" max="9994" width="14.42578125" style="128" customWidth="1"/>
    <col min="9995" max="9995" width="11.42578125" style="128" customWidth="1"/>
    <col min="9996" max="10010" width="9.140625" style="128"/>
    <col min="10011" max="10011" width="14" style="128" customWidth="1"/>
    <col min="10012" max="10012" width="14.5703125" style="128" customWidth="1"/>
    <col min="10013" max="10013" width="12.28515625" style="128" customWidth="1"/>
    <col min="10014" max="10240" width="9.140625" style="128"/>
    <col min="10241" max="10241" width="4.42578125" style="128" customWidth="1"/>
    <col min="10242" max="10242" width="11.140625" style="128" customWidth="1"/>
    <col min="10243" max="10243" width="22.85546875" style="128" customWidth="1"/>
    <col min="10244" max="10244" width="10.5703125" style="128" customWidth="1"/>
    <col min="10245" max="10245" width="11.85546875" style="128" customWidth="1"/>
    <col min="10246" max="10246" width="10.28515625" style="128" customWidth="1"/>
    <col min="10247" max="10247" width="11.28515625" style="128" customWidth="1"/>
    <col min="10248" max="10248" width="8.28515625" style="128" customWidth="1"/>
    <col min="10249" max="10249" width="13.140625" style="128" customWidth="1"/>
    <col min="10250" max="10250" width="14.42578125" style="128" customWidth="1"/>
    <col min="10251" max="10251" width="11.42578125" style="128" customWidth="1"/>
    <col min="10252" max="10266" width="9.140625" style="128"/>
    <col min="10267" max="10267" width="14" style="128" customWidth="1"/>
    <col min="10268" max="10268" width="14.5703125" style="128" customWidth="1"/>
    <col min="10269" max="10269" width="12.28515625" style="128" customWidth="1"/>
    <col min="10270" max="10496" width="9.140625" style="128"/>
    <col min="10497" max="10497" width="4.42578125" style="128" customWidth="1"/>
    <col min="10498" max="10498" width="11.140625" style="128" customWidth="1"/>
    <col min="10499" max="10499" width="22.85546875" style="128" customWidth="1"/>
    <col min="10500" max="10500" width="10.5703125" style="128" customWidth="1"/>
    <col min="10501" max="10501" width="11.85546875" style="128" customWidth="1"/>
    <col min="10502" max="10502" width="10.28515625" style="128" customWidth="1"/>
    <col min="10503" max="10503" width="11.28515625" style="128" customWidth="1"/>
    <col min="10504" max="10504" width="8.28515625" style="128" customWidth="1"/>
    <col min="10505" max="10505" width="13.140625" style="128" customWidth="1"/>
    <col min="10506" max="10506" width="14.42578125" style="128" customWidth="1"/>
    <col min="10507" max="10507" width="11.42578125" style="128" customWidth="1"/>
    <col min="10508" max="10522" width="9.140625" style="128"/>
    <col min="10523" max="10523" width="14" style="128" customWidth="1"/>
    <col min="10524" max="10524" width="14.5703125" style="128" customWidth="1"/>
    <col min="10525" max="10525" width="12.28515625" style="128" customWidth="1"/>
    <col min="10526" max="10752" width="9.140625" style="128"/>
    <col min="10753" max="10753" width="4.42578125" style="128" customWidth="1"/>
    <col min="10754" max="10754" width="11.140625" style="128" customWidth="1"/>
    <col min="10755" max="10755" width="22.85546875" style="128" customWidth="1"/>
    <col min="10756" max="10756" width="10.5703125" style="128" customWidth="1"/>
    <col min="10757" max="10757" width="11.85546875" style="128" customWidth="1"/>
    <col min="10758" max="10758" width="10.28515625" style="128" customWidth="1"/>
    <col min="10759" max="10759" width="11.28515625" style="128" customWidth="1"/>
    <col min="10760" max="10760" width="8.28515625" style="128" customWidth="1"/>
    <col min="10761" max="10761" width="13.140625" style="128" customWidth="1"/>
    <col min="10762" max="10762" width="14.42578125" style="128" customWidth="1"/>
    <col min="10763" max="10763" width="11.42578125" style="128" customWidth="1"/>
    <col min="10764" max="10778" width="9.140625" style="128"/>
    <col min="10779" max="10779" width="14" style="128" customWidth="1"/>
    <col min="10780" max="10780" width="14.5703125" style="128" customWidth="1"/>
    <col min="10781" max="10781" width="12.28515625" style="128" customWidth="1"/>
    <col min="10782" max="11008" width="9.140625" style="128"/>
    <col min="11009" max="11009" width="4.42578125" style="128" customWidth="1"/>
    <col min="11010" max="11010" width="11.140625" style="128" customWidth="1"/>
    <col min="11011" max="11011" width="22.85546875" style="128" customWidth="1"/>
    <col min="11012" max="11012" width="10.5703125" style="128" customWidth="1"/>
    <col min="11013" max="11013" width="11.85546875" style="128" customWidth="1"/>
    <col min="11014" max="11014" width="10.28515625" style="128" customWidth="1"/>
    <col min="11015" max="11015" width="11.28515625" style="128" customWidth="1"/>
    <col min="11016" max="11016" width="8.28515625" style="128" customWidth="1"/>
    <col min="11017" max="11017" width="13.140625" style="128" customWidth="1"/>
    <col min="11018" max="11018" width="14.42578125" style="128" customWidth="1"/>
    <col min="11019" max="11019" width="11.42578125" style="128" customWidth="1"/>
    <col min="11020" max="11034" width="9.140625" style="128"/>
    <col min="11035" max="11035" width="14" style="128" customWidth="1"/>
    <col min="11036" max="11036" width="14.5703125" style="128" customWidth="1"/>
    <col min="11037" max="11037" width="12.28515625" style="128" customWidth="1"/>
    <col min="11038" max="11264" width="9.140625" style="128"/>
    <col min="11265" max="11265" width="4.42578125" style="128" customWidth="1"/>
    <col min="11266" max="11266" width="11.140625" style="128" customWidth="1"/>
    <col min="11267" max="11267" width="22.85546875" style="128" customWidth="1"/>
    <col min="11268" max="11268" width="10.5703125" style="128" customWidth="1"/>
    <col min="11269" max="11269" width="11.85546875" style="128" customWidth="1"/>
    <col min="11270" max="11270" width="10.28515625" style="128" customWidth="1"/>
    <col min="11271" max="11271" width="11.28515625" style="128" customWidth="1"/>
    <col min="11272" max="11272" width="8.28515625" style="128" customWidth="1"/>
    <col min="11273" max="11273" width="13.140625" style="128" customWidth="1"/>
    <col min="11274" max="11274" width="14.42578125" style="128" customWidth="1"/>
    <col min="11275" max="11275" width="11.42578125" style="128" customWidth="1"/>
    <col min="11276" max="11290" width="9.140625" style="128"/>
    <col min="11291" max="11291" width="14" style="128" customWidth="1"/>
    <col min="11292" max="11292" width="14.5703125" style="128" customWidth="1"/>
    <col min="11293" max="11293" width="12.28515625" style="128" customWidth="1"/>
    <col min="11294" max="11520" width="9.140625" style="128"/>
    <col min="11521" max="11521" width="4.42578125" style="128" customWidth="1"/>
    <col min="11522" max="11522" width="11.140625" style="128" customWidth="1"/>
    <col min="11523" max="11523" width="22.85546875" style="128" customWidth="1"/>
    <col min="11524" max="11524" width="10.5703125" style="128" customWidth="1"/>
    <col min="11525" max="11525" width="11.85546875" style="128" customWidth="1"/>
    <col min="11526" max="11526" width="10.28515625" style="128" customWidth="1"/>
    <col min="11527" max="11527" width="11.28515625" style="128" customWidth="1"/>
    <col min="11528" max="11528" width="8.28515625" style="128" customWidth="1"/>
    <col min="11529" max="11529" width="13.140625" style="128" customWidth="1"/>
    <col min="11530" max="11530" width="14.42578125" style="128" customWidth="1"/>
    <col min="11531" max="11531" width="11.42578125" style="128" customWidth="1"/>
    <col min="11532" max="11546" width="9.140625" style="128"/>
    <col min="11547" max="11547" width="14" style="128" customWidth="1"/>
    <col min="11548" max="11548" width="14.5703125" style="128" customWidth="1"/>
    <col min="11549" max="11549" width="12.28515625" style="128" customWidth="1"/>
    <col min="11550" max="11776" width="9.140625" style="128"/>
    <col min="11777" max="11777" width="4.42578125" style="128" customWidth="1"/>
    <col min="11778" max="11778" width="11.140625" style="128" customWidth="1"/>
    <col min="11779" max="11779" width="22.85546875" style="128" customWidth="1"/>
    <col min="11780" max="11780" width="10.5703125" style="128" customWidth="1"/>
    <col min="11781" max="11781" width="11.85546875" style="128" customWidth="1"/>
    <col min="11782" max="11782" width="10.28515625" style="128" customWidth="1"/>
    <col min="11783" max="11783" width="11.28515625" style="128" customWidth="1"/>
    <col min="11784" max="11784" width="8.28515625" style="128" customWidth="1"/>
    <col min="11785" max="11785" width="13.140625" style="128" customWidth="1"/>
    <col min="11786" max="11786" width="14.42578125" style="128" customWidth="1"/>
    <col min="11787" max="11787" width="11.42578125" style="128" customWidth="1"/>
    <col min="11788" max="11802" width="9.140625" style="128"/>
    <col min="11803" max="11803" width="14" style="128" customWidth="1"/>
    <col min="11804" max="11804" width="14.5703125" style="128" customWidth="1"/>
    <col min="11805" max="11805" width="12.28515625" style="128" customWidth="1"/>
    <col min="11806" max="12032" width="9.140625" style="128"/>
    <col min="12033" max="12033" width="4.42578125" style="128" customWidth="1"/>
    <col min="12034" max="12034" width="11.140625" style="128" customWidth="1"/>
    <col min="12035" max="12035" width="22.85546875" style="128" customWidth="1"/>
    <col min="12036" max="12036" width="10.5703125" style="128" customWidth="1"/>
    <col min="12037" max="12037" width="11.85546875" style="128" customWidth="1"/>
    <col min="12038" max="12038" width="10.28515625" style="128" customWidth="1"/>
    <col min="12039" max="12039" width="11.28515625" style="128" customWidth="1"/>
    <col min="12040" max="12040" width="8.28515625" style="128" customWidth="1"/>
    <col min="12041" max="12041" width="13.140625" style="128" customWidth="1"/>
    <col min="12042" max="12042" width="14.42578125" style="128" customWidth="1"/>
    <col min="12043" max="12043" width="11.42578125" style="128" customWidth="1"/>
    <col min="12044" max="12058" width="9.140625" style="128"/>
    <col min="12059" max="12059" width="14" style="128" customWidth="1"/>
    <col min="12060" max="12060" width="14.5703125" style="128" customWidth="1"/>
    <col min="12061" max="12061" width="12.28515625" style="128" customWidth="1"/>
    <col min="12062" max="12288" width="9.140625" style="128"/>
    <col min="12289" max="12289" width="4.42578125" style="128" customWidth="1"/>
    <col min="12290" max="12290" width="11.140625" style="128" customWidth="1"/>
    <col min="12291" max="12291" width="22.85546875" style="128" customWidth="1"/>
    <col min="12292" max="12292" width="10.5703125" style="128" customWidth="1"/>
    <col min="12293" max="12293" width="11.85546875" style="128" customWidth="1"/>
    <col min="12294" max="12294" width="10.28515625" style="128" customWidth="1"/>
    <col min="12295" max="12295" width="11.28515625" style="128" customWidth="1"/>
    <col min="12296" max="12296" width="8.28515625" style="128" customWidth="1"/>
    <col min="12297" max="12297" width="13.140625" style="128" customWidth="1"/>
    <col min="12298" max="12298" width="14.42578125" style="128" customWidth="1"/>
    <col min="12299" max="12299" width="11.42578125" style="128" customWidth="1"/>
    <col min="12300" max="12314" width="9.140625" style="128"/>
    <col min="12315" max="12315" width="14" style="128" customWidth="1"/>
    <col min="12316" max="12316" width="14.5703125" style="128" customWidth="1"/>
    <col min="12317" max="12317" width="12.28515625" style="128" customWidth="1"/>
    <col min="12318" max="12544" width="9.140625" style="128"/>
    <col min="12545" max="12545" width="4.42578125" style="128" customWidth="1"/>
    <col min="12546" max="12546" width="11.140625" style="128" customWidth="1"/>
    <col min="12547" max="12547" width="22.85546875" style="128" customWidth="1"/>
    <col min="12548" max="12548" width="10.5703125" style="128" customWidth="1"/>
    <col min="12549" max="12549" width="11.85546875" style="128" customWidth="1"/>
    <col min="12550" max="12550" width="10.28515625" style="128" customWidth="1"/>
    <col min="12551" max="12551" width="11.28515625" style="128" customWidth="1"/>
    <col min="12552" max="12552" width="8.28515625" style="128" customWidth="1"/>
    <col min="12553" max="12553" width="13.140625" style="128" customWidth="1"/>
    <col min="12554" max="12554" width="14.42578125" style="128" customWidth="1"/>
    <col min="12555" max="12555" width="11.42578125" style="128" customWidth="1"/>
    <col min="12556" max="12570" width="9.140625" style="128"/>
    <col min="12571" max="12571" width="14" style="128" customWidth="1"/>
    <col min="12572" max="12572" width="14.5703125" style="128" customWidth="1"/>
    <col min="12573" max="12573" width="12.28515625" style="128" customWidth="1"/>
    <col min="12574" max="12800" width="9.140625" style="128"/>
    <col min="12801" max="12801" width="4.42578125" style="128" customWidth="1"/>
    <col min="12802" max="12802" width="11.140625" style="128" customWidth="1"/>
    <col min="12803" max="12803" width="22.85546875" style="128" customWidth="1"/>
    <col min="12804" max="12804" width="10.5703125" style="128" customWidth="1"/>
    <col min="12805" max="12805" width="11.85546875" style="128" customWidth="1"/>
    <col min="12806" max="12806" width="10.28515625" style="128" customWidth="1"/>
    <col min="12807" max="12807" width="11.28515625" style="128" customWidth="1"/>
    <col min="12808" max="12808" width="8.28515625" style="128" customWidth="1"/>
    <col min="12809" max="12809" width="13.140625" style="128" customWidth="1"/>
    <col min="12810" max="12810" width="14.42578125" style="128" customWidth="1"/>
    <col min="12811" max="12811" width="11.42578125" style="128" customWidth="1"/>
    <col min="12812" max="12826" width="9.140625" style="128"/>
    <col min="12827" max="12827" width="14" style="128" customWidth="1"/>
    <col min="12828" max="12828" width="14.5703125" style="128" customWidth="1"/>
    <col min="12829" max="12829" width="12.28515625" style="128" customWidth="1"/>
    <col min="12830" max="13056" width="9.140625" style="128"/>
    <col min="13057" max="13057" width="4.42578125" style="128" customWidth="1"/>
    <col min="13058" max="13058" width="11.140625" style="128" customWidth="1"/>
    <col min="13059" max="13059" width="22.85546875" style="128" customWidth="1"/>
    <col min="13060" max="13060" width="10.5703125" style="128" customWidth="1"/>
    <col min="13061" max="13061" width="11.85546875" style="128" customWidth="1"/>
    <col min="13062" max="13062" width="10.28515625" style="128" customWidth="1"/>
    <col min="13063" max="13063" width="11.28515625" style="128" customWidth="1"/>
    <col min="13064" max="13064" width="8.28515625" style="128" customWidth="1"/>
    <col min="13065" max="13065" width="13.140625" style="128" customWidth="1"/>
    <col min="13066" max="13066" width="14.42578125" style="128" customWidth="1"/>
    <col min="13067" max="13067" width="11.42578125" style="128" customWidth="1"/>
    <col min="13068" max="13082" width="9.140625" style="128"/>
    <col min="13083" max="13083" width="14" style="128" customWidth="1"/>
    <col min="13084" max="13084" width="14.5703125" style="128" customWidth="1"/>
    <col min="13085" max="13085" width="12.28515625" style="128" customWidth="1"/>
    <col min="13086" max="13312" width="9.140625" style="128"/>
    <col min="13313" max="13313" width="4.42578125" style="128" customWidth="1"/>
    <col min="13314" max="13314" width="11.140625" style="128" customWidth="1"/>
    <col min="13315" max="13315" width="22.85546875" style="128" customWidth="1"/>
    <col min="13316" max="13316" width="10.5703125" style="128" customWidth="1"/>
    <col min="13317" max="13317" width="11.85546875" style="128" customWidth="1"/>
    <col min="13318" max="13318" width="10.28515625" style="128" customWidth="1"/>
    <col min="13319" max="13319" width="11.28515625" style="128" customWidth="1"/>
    <col min="13320" max="13320" width="8.28515625" style="128" customWidth="1"/>
    <col min="13321" max="13321" width="13.140625" style="128" customWidth="1"/>
    <col min="13322" max="13322" width="14.42578125" style="128" customWidth="1"/>
    <col min="13323" max="13323" width="11.42578125" style="128" customWidth="1"/>
    <col min="13324" max="13338" width="9.140625" style="128"/>
    <col min="13339" max="13339" width="14" style="128" customWidth="1"/>
    <col min="13340" max="13340" width="14.5703125" style="128" customWidth="1"/>
    <col min="13341" max="13341" width="12.28515625" style="128" customWidth="1"/>
    <col min="13342" max="13568" width="9.140625" style="128"/>
    <col min="13569" max="13569" width="4.42578125" style="128" customWidth="1"/>
    <col min="13570" max="13570" width="11.140625" style="128" customWidth="1"/>
    <col min="13571" max="13571" width="22.85546875" style="128" customWidth="1"/>
    <col min="13572" max="13572" width="10.5703125" style="128" customWidth="1"/>
    <col min="13573" max="13573" width="11.85546875" style="128" customWidth="1"/>
    <col min="13574" max="13574" width="10.28515625" style="128" customWidth="1"/>
    <col min="13575" max="13575" width="11.28515625" style="128" customWidth="1"/>
    <col min="13576" max="13576" width="8.28515625" style="128" customWidth="1"/>
    <col min="13577" max="13577" width="13.140625" style="128" customWidth="1"/>
    <col min="13578" max="13578" width="14.42578125" style="128" customWidth="1"/>
    <col min="13579" max="13579" width="11.42578125" style="128" customWidth="1"/>
    <col min="13580" max="13594" width="9.140625" style="128"/>
    <col min="13595" max="13595" width="14" style="128" customWidth="1"/>
    <col min="13596" max="13596" width="14.5703125" style="128" customWidth="1"/>
    <col min="13597" max="13597" width="12.28515625" style="128" customWidth="1"/>
    <col min="13598" max="13824" width="9.140625" style="128"/>
    <col min="13825" max="13825" width="4.42578125" style="128" customWidth="1"/>
    <col min="13826" max="13826" width="11.140625" style="128" customWidth="1"/>
    <col min="13827" max="13827" width="22.85546875" style="128" customWidth="1"/>
    <col min="13828" max="13828" width="10.5703125" style="128" customWidth="1"/>
    <col min="13829" max="13829" width="11.85546875" style="128" customWidth="1"/>
    <col min="13830" max="13830" width="10.28515625" style="128" customWidth="1"/>
    <col min="13831" max="13831" width="11.28515625" style="128" customWidth="1"/>
    <col min="13832" max="13832" width="8.28515625" style="128" customWidth="1"/>
    <col min="13833" max="13833" width="13.140625" style="128" customWidth="1"/>
    <col min="13834" max="13834" width="14.42578125" style="128" customWidth="1"/>
    <col min="13835" max="13835" width="11.42578125" style="128" customWidth="1"/>
    <col min="13836" max="13850" width="9.140625" style="128"/>
    <col min="13851" max="13851" width="14" style="128" customWidth="1"/>
    <col min="13852" max="13852" width="14.5703125" style="128" customWidth="1"/>
    <col min="13853" max="13853" width="12.28515625" style="128" customWidth="1"/>
    <col min="13854" max="14080" width="9.140625" style="128"/>
    <col min="14081" max="14081" width="4.42578125" style="128" customWidth="1"/>
    <col min="14082" max="14082" width="11.140625" style="128" customWidth="1"/>
    <col min="14083" max="14083" width="22.85546875" style="128" customWidth="1"/>
    <col min="14084" max="14084" width="10.5703125" style="128" customWidth="1"/>
    <col min="14085" max="14085" width="11.85546875" style="128" customWidth="1"/>
    <col min="14086" max="14086" width="10.28515625" style="128" customWidth="1"/>
    <col min="14087" max="14087" width="11.28515625" style="128" customWidth="1"/>
    <col min="14088" max="14088" width="8.28515625" style="128" customWidth="1"/>
    <col min="14089" max="14089" width="13.140625" style="128" customWidth="1"/>
    <col min="14090" max="14090" width="14.42578125" style="128" customWidth="1"/>
    <col min="14091" max="14091" width="11.42578125" style="128" customWidth="1"/>
    <col min="14092" max="14106" width="9.140625" style="128"/>
    <col min="14107" max="14107" width="14" style="128" customWidth="1"/>
    <col min="14108" max="14108" width="14.5703125" style="128" customWidth="1"/>
    <col min="14109" max="14109" width="12.28515625" style="128" customWidth="1"/>
    <col min="14110" max="14336" width="9.140625" style="128"/>
    <col min="14337" max="14337" width="4.42578125" style="128" customWidth="1"/>
    <col min="14338" max="14338" width="11.140625" style="128" customWidth="1"/>
    <col min="14339" max="14339" width="22.85546875" style="128" customWidth="1"/>
    <col min="14340" max="14340" width="10.5703125" style="128" customWidth="1"/>
    <col min="14341" max="14341" width="11.85546875" style="128" customWidth="1"/>
    <col min="14342" max="14342" width="10.28515625" style="128" customWidth="1"/>
    <col min="14343" max="14343" width="11.28515625" style="128" customWidth="1"/>
    <col min="14344" max="14344" width="8.28515625" style="128" customWidth="1"/>
    <col min="14345" max="14345" width="13.140625" style="128" customWidth="1"/>
    <col min="14346" max="14346" width="14.42578125" style="128" customWidth="1"/>
    <col min="14347" max="14347" width="11.42578125" style="128" customWidth="1"/>
    <col min="14348" max="14362" width="9.140625" style="128"/>
    <col min="14363" max="14363" width="14" style="128" customWidth="1"/>
    <col min="14364" max="14364" width="14.5703125" style="128" customWidth="1"/>
    <col min="14365" max="14365" width="12.28515625" style="128" customWidth="1"/>
    <col min="14366" max="14592" width="9.140625" style="128"/>
    <col min="14593" max="14593" width="4.42578125" style="128" customWidth="1"/>
    <col min="14594" max="14594" width="11.140625" style="128" customWidth="1"/>
    <col min="14595" max="14595" width="22.85546875" style="128" customWidth="1"/>
    <col min="14596" max="14596" width="10.5703125" style="128" customWidth="1"/>
    <col min="14597" max="14597" width="11.85546875" style="128" customWidth="1"/>
    <col min="14598" max="14598" width="10.28515625" style="128" customWidth="1"/>
    <col min="14599" max="14599" width="11.28515625" style="128" customWidth="1"/>
    <col min="14600" max="14600" width="8.28515625" style="128" customWidth="1"/>
    <col min="14601" max="14601" width="13.140625" style="128" customWidth="1"/>
    <col min="14602" max="14602" width="14.42578125" style="128" customWidth="1"/>
    <col min="14603" max="14603" width="11.42578125" style="128" customWidth="1"/>
    <col min="14604" max="14618" width="9.140625" style="128"/>
    <col min="14619" max="14619" width="14" style="128" customWidth="1"/>
    <col min="14620" max="14620" width="14.5703125" style="128" customWidth="1"/>
    <col min="14621" max="14621" width="12.28515625" style="128" customWidth="1"/>
    <col min="14622" max="14848" width="9.140625" style="128"/>
    <col min="14849" max="14849" width="4.42578125" style="128" customWidth="1"/>
    <col min="14850" max="14850" width="11.140625" style="128" customWidth="1"/>
    <col min="14851" max="14851" width="22.85546875" style="128" customWidth="1"/>
    <col min="14852" max="14852" width="10.5703125" style="128" customWidth="1"/>
    <col min="14853" max="14853" width="11.85546875" style="128" customWidth="1"/>
    <col min="14854" max="14854" width="10.28515625" style="128" customWidth="1"/>
    <col min="14855" max="14855" width="11.28515625" style="128" customWidth="1"/>
    <col min="14856" max="14856" width="8.28515625" style="128" customWidth="1"/>
    <col min="14857" max="14857" width="13.140625" style="128" customWidth="1"/>
    <col min="14858" max="14858" width="14.42578125" style="128" customWidth="1"/>
    <col min="14859" max="14859" width="11.42578125" style="128" customWidth="1"/>
    <col min="14860" max="14874" width="9.140625" style="128"/>
    <col min="14875" max="14875" width="14" style="128" customWidth="1"/>
    <col min="14876" max="14876" width="14.5703125" style="128" customWidth="1"/>
    <col min="14877" max="14877" width="12.28515625" style="128" customWidth="1"/>
    <col min="14878" max="15104" width="9.140625" style="128"/>
    <col min="15105" max="15105" width="4.42578125" style="128" customWidth="1"/>
    <col min="15106" max="15106" width="11.140625" style="128" customWidth="1"/>
    <col min="15107" max="15107" width="22.85546875" style="128" customWidth="1"/>
    <col min="15108" max="15108" width="10.5703125" style="128" customWidth="1"/>
    <col min="15109" max="15109" width="11.85546875" style="128" customWidth="1"/>
    <col min="15110" max="15110" width="10.28515625" style="128" customWidth="1"/>
    <col min="15111" max="15111" width="11.28515625" style="128" customWidth="1"/>
    <col min="15112" max="15112" width="8.28515625" style="128" customWidth="1"/>
    <col min="15113" max="15113" width="13.140625" style="128" customWidth="1"/>
    <col min="15114" max="15114" width="14.42578125" style="128" customWidth="1"/>
    <col min="15115" max="15115" width="11.42578125" style="128" customWidth="1"/>
    <col min="15116" max="15130" width="9.140625" style="128"/>
    <col min="15131" max="15131" width="14" style="128" customWidth="1"/>
    <col min="15132" max="15132" width="14.5703125" style="128" customWidth="1"/>
    <col min="15133" max="15133" width="12.28515625" style="128" customWidth="1"/>
    <col min="15134" max="15360" width="9.140625" style="128"/>
    <col min="15361" max="15361" width="4.42578125" style="128" customWidth="1"/>
    <col min="15362" max="15362" width="11.140625" style="128" customWidth="1"/>
    <col min="15363" max="15363" width="22.85546875" style="128" customWidth="1"/>
    <col min="15364" max="15364" width="10.5703125" style="128" customWidth="1"/>
    <col min="15365" max="15365" width="11.85546875" style="128" customWidth="1"/>
    <col min="15366" max="15366" width="10.28515625" style="128" customWidth="1"/>
    <col min="15367" max="15367" width="11.28515625" style="128" customWidth="1"/>
    <col min="15368" max="15368" width="8.28515625" style="128" customWidth="1"/>
    <col min="15369" max="15369" width="13.140625" style="128" customWidth="1"/>
    <col min="15370" max="15370" width="14.42578125" style="128" customWidth="1"/>
    <col min="15371" max="15371" width="11.42578125" style="128" customWidth="1"/>
    <col min="15372" max="15386" width="9.140625" style="128"/>
    <col min="15387" max="15387" width="14" style="128" customWidth="1"/>
    <col min="15388" max="15388" width="14.5703125" style="128" customWidth="1"/>
    <col min="15389" max="15389" width="12.28515625" style="128" customWidth="1"/>
    <col min="15390" max="15616" width="9.140625" style="128"/>
    <col min="15617" max="15617" width="4.42578125" style="128" customWidth="1"/>
    <col min="15618" max="15618" width="11.140625" style="128" customWidth="1"/>
    <col min="15619" max="15619" width="22.85546875" style="128" customWidth="1"/>
    <col min="15620" max="15620" width="10.5703125" style="128" customWidth="1"/>
    <col min="15621" max="15621" width="11.85546875" style="128" customWidth="1"/>
    <col min="15622" max="15622" width="10.28515625" style="128" customWidth="1"/>
    <col min="15623" max="15623" width="11.28515625" style="128" customWidth="1"/>
    <col min="15624" max="15624" width="8.28515625" style="128" customWidth="1"/>
    <col min="15625" max="15625" width="13.140625" style="128" customWidth="1"/>
    <col min="15626" max="15626" width="14.42578125" style="128" customWidth="1"/>
    <col min="15627" max="15627" width="11.42578125" style="128" customWidth="1"/>
    <col min="15628" max="15642" width="9.140625" style="128"/>
    <col min="15643" max="15643" width="14" style="128" customWidth="1"/>
    <col min="15644" max="15644" width="14.5703125" style="128" customWidth="1"/>
    <col min="15645" max="15645" width="12.28515625" style="128" customWidth="1"/>
    <col min="15646" max="15872" width="9.140625" style="128"/>
    <col min="15873" max="15873" width="4.42578125" style="128" customWidth="1"/>
    <col min="15874" max="15874" width="11.140625" style="128" customWidth="1"/>
    <col min="15875" max="15875" width="22.85546875" style="128" customWidth="1"/>
    <col min="15876" max="15876" width="10.5703125" style="128" customWidth="1"/>
    <col min="15877" max="15877" width="11.85546875" style="128" customWidth="1"/>
    <col min="15878" max="15878" width="10.28515625" style="128" customWidth="1"/>
    <col min="15879" max="15879" width="11.28515625" style="128" customWidth="1"/>
    <col min="15880" max="15880" width="8.28515625" style="128" customWidth="1"/>
    <col min="15881" max="15881" width="13.140625" style="128" customWidth="1"/>
    <col min="15882" max="15882" width="14.42578125" style="128" customWidth="1"/>
    <col min="15883" max="15883" width="11.42578125" style="128" customWidth="1"/>
    <col min="15884" max="15898" width="9.140625" style="128"/>
    <col min="15899" max="15899" width="14" style="128" customWidth="1"/>
    <col min="15900" max="15900" width="14.5703125" style="128" customWidth="1"/>
    <col min="15901" max="15901" width="12.28515625" style="128" customWidth="1"/>
    <col min="15902" max="16128" width="9.140625" style="128"/>
    <col min="16129" max="16129" width="4.42578125" style="128" customWidth="1"/>
    <col min="16130" max="16130" width="11.140625" style="128" customWidth="1"/>
    <col min="16131" max="16131" width="22.85546875" style="128" customWidth="1"/>
    <col min="16132" max="16132" width="10.5703125" style="128" customWidth="1"/>
    <col min="16133" max="16133" width="11.85546875" style="128" customWidth="1"/>
    <col min="16134" max="16134" width="10.28515625" style="128" customWidth="1"/>
    <col min="16135" max="16135" width="11.28515625" style="128" customWidth="1"/>
    <col min="16136" max="16136" width="8.28515625" style="128" customWidth="1"/>
    <col min="16137" max="16137" width="13.140625" style="128" customWidth="1"/>
    <col min="16138" max="16138" width="14.42578125" style="128" customWidth="1"/>
    <col min="16139" max="16139" width="11.42578125" style="128" customWidth="1"/>
    <col min="16140" max="16154" width="9.140625" style="128"/>
    <col min="16155" max="16155" width="14" style="128" customWidth="1"/>
    <col min="16156" max="16156" width="14.5703125" style="128" customWidth="1"/>
    <col min="16157" max="16157" width="12.28515625" style="128" customWidth="1"/>
    <col min="16158" max="16384" width="9.140625" style="128"/>
  </cols>
  <sheetData>
    <row r="1" spans="1:31" ht="20.25" customHeight="1">
      <c r="A1" s="1468" t="s">
        <v>191</v>
      </c>
      <c r="B1" s="1468"/>
      <c r="C1" s="1468"/>
      <c r="D1" s="1468"/>
      <c r="E1" s="1468"/>
      <c r="F1" s="1468"/>
      <c r="G1" s="127"/>
      <c r="H1" s="127"/>
      <c r="I1" s="127"/>
      <c r="J1" s="127"/>
      <c r="K1" s="127"/>
    </row>
    <row r="2" spans="1:31" ht="12.75" customHeight="1">
      <c r="A2" s="127"/>
      <c r="B2" s="127"/>
      <c r="C2" s="127"/>
      <c r="D2" s="127"/>
      <c r="E2" s="127"/>
      <c r="F2" s="127"/>
      <c r="G2" s="127"/>
      <c r="H2" s="127"/>
      <c r="I2" s="127"/>
      <c r="J2" s="127"/>
      <c r="K2" s="127"/>
    </row>
    <row r="3" spans="1:31" ht="23.25" customHeight="1">
      <c r="A3" s="1479" t="s">
        <v>2214</v>
      </c>
      <c r="B3" s="1479"/>
      <c r="C3" s="1479"/>
      <c r="D3" s="1479"/>
      <c r="E3" s="1479"/>
      <c r="F3" s="1479"/>
      <c r="G3" s="1479"/>
      <c r="H3" s="1479"/>
      <c r="I3" s="1479"/>
      <c r="J3" s="1479"/>
      <c r="K3" s="1479"/>
    </row>
    <row r="4" spans="1:31" ht="20.25" customHeight="1">
      <c r="A4" s="1480" t="s">
        <v>2232</v>
      </c>
      <c r="B4" s="1480"/>
      <c r="C4" s="1480"/>
      <c r="D4" s="1480"/>
      <c r="E4" s="1480"/>
      <c r="F4" s="1480"/>
      <c r="G4" s="1480"/>
      <c r="H4" s="1480"/>
      <c r="I4" s="1480"/>
      <c r="J4" s="1480"/>
      <c r="K4" s="1480"/>
    </row>
    <row r="5" spans="1:31" s="129" customFormat="1" ht="15.75" customHeight="1">
      <c r="D5" s="130"/>
      <c r="E5" s="130"/>
      <c r="F5" s="128"/>
      <c r="G5" s="128"/>
      <c r="H5" s="128"/>
      <c r="I5" s="128"/>
      <c r="J5" s="128"/>
      <c r="K5" s="128"/>
      <c r="X5" s="1255"/>
      <c r="AC5" s="1256"/>
      <c r="AD5" s="1257"/>
    </row>
    <row r="6" spans="1:31" s="129" customFormat="1" ht="43.5" customHeight="1">
      <c r="A6" s="1481" t="s">
        <v>0</v>
      </c>
      <c r="B6" s="1481" t="s">
        <v>1</v>
      </c>
      <c r="C6" s="1481" t="s">
        <v>2</v>
      </c>
      <c r="D6" s="1483" t="s">
        <v>6</v>
      </c>
      <c r="E6" s="1483" t="s">
        <v>7</v>
      </c>
      <c r="F6" s="1481" t="s">
        <v>10</v>
      </c>
      <c r="G6" s="1481" t="s">
        <v>188</v>
      </c>
      <c r="H6" s="1484" t="s">
        <v>305</v>
      </c>
      <c r="I6" s="1485"/>
      <c r="J6" s="1481" t="s">
        <v>264</v>
      </c>
      <c r="K6" s="1461" t="s">
        <v>2233</v>
      </c>
      <c r="X6" s="1255"/>
      <c r="AC6" s="1256"/>
      <c r="AD6" s="1257"/>
    </row>
    <row r="7" spans="1:31" s="129" customFormat="1" ht="57" customHeight="1">
      <c r="A7" s="1482"/>
      <c r="B7" s="1482"/>
      <c r="C7" s="1482"/>
      <c r="D7" s="1482"/>
      <c r="E7" s="1482" t="s">
        <v>7</v>
      </c>
      <c r="F7" s="1482"/>
      <c r="G7" s="1482"/>
      <c r="H7" s="131" t="s">
        <v>306</v>
      </c>
      <c r="I7" s="132" t="s">
        <v>307</v>
      </c>
      <c r="J7" s="1482"/>
      <c r="K7" s="1462"/>
      <c r="X7" s="1255"/>
      <c r="AC7" s="1256"/>
      <c r="AD7" s="1257"/>
    </row>
    <row r="8" spans="1:31" s="129" customFormat="1" ht="12.75">
      <c r="A8" s="134" t="s">
        <v>259</v>
      </c>
      <c r="B8" s="134" t="s">
        <v>260</v>
      </c>
      <c r="C8" s="134" t="s">
        <v>224</v>
      </c>
      <c r="D8" s="135">
        <v>1</v>
      </c>
      <c r="E8" s="135">
        <v>2</v>
      </c>
      <c r="F8" s="135">
        <v>3</v>
      </c>
      <c r="G8" s="135">
        <v>4</v>
      </c>
      <c r="H8" s="1486">
        <v>5</v>
      </c>
      <c r="I8" s="1487"/>
      <c r="J8" s="135" t="s">
        <v>424</v>
      </c>
      <c r="K8" s="133">
        <v>7</v>
      </c>
      <c r="X8" s="1255"/>
      <c r="AC8" s="1256"/>
      <c r="AD8" s="1257"/>
    </row>
    <row r="9" spans="1:31" s="140" customFormat="1" ht="20.25" customHeight="1">
      <c r="A9" s="136">
        <v>1</v>
      </c>
      <c r="B9" s="1258" t="s">
        <v>13</v>
      </c>
      <c r="C9" s="1259" t="s">
        <v>14</v>
      </c>
      <c r="D9" s="1260">
        <f>VLOOKUP(B9,'DSOAT-T1.2025'!B11:D88,3,0)</f>
        <v>4718700</v>
      </c>
      <c r="E9" s="137">
        <f>VLOOKUP(B9,'DSOAT-T1.2025'!$B$11:$AJ$88,35,0)</f>
        <v>13162045</v>
      </c>
      <c r="F9" s="138">
        <f>VLOOKUP(B9,'DSOAT-T1.2025'!$B$11:$AQ$88,42,0)</f>
        <v>495464</v>
      </c>
      <c r="G9" s="138">
        <v>11000000</v>
      </c>
      <c r="H9" s="138">
        <f>VLOOKUP(B9,'[14]Thuế TNCN _T1'!$B$9:$H$90,7,0)</f>
        <v>1</v>
      </c>
      <c r="I9" s="138">
        <f>H9*4400000</f>
        <v>4400000</v>
      </c>
      <c r="J9" s="138">
        <f>IF(E9-F9-G9-I9&gt;0,E9-F9-G9-I9,0)</f>
        <v>0</v>
      </c>
      <c r="K9" s="1261">
        <f>ROUND(IF(J9&gt;80000000,J9*35%-9850000,IF(J9&gt;52000000,J9*30%-5850000,IF(J9&gt;32000000,J9*25%-3250000,IF(J9&gt;18000000,J9*20%-1650000,IF(J9&gt;10000000,J9*15%-750000,IF(J9&gt;5000000,J9*10%-250000,IF(J9&gt;0,J9*5%,0))))))),0)</f>
        <v>0</v>
      </c>
      <c r="L9" s="1262" t="e">
        <f>#REF!-#REF!</f>
        <v>#REF!</v>
      </c>
      <c r="R9" s="140">
        <f>IFERROR(VLOOKUP(B9,'[15]Bảng lương'!B$10:G$72,6,0),0)</f>
        <v>0</v>
      </c>
      <c r="S9" s="1262" t="e">
        <f>#REF!-R9</f>
        <v>#REF!</v>
      </c>
      <c r="X9" s="1263">
        <f>IFERROR(VLOOKUP(B9,'[16]BÀNG LƯƠNG THÁNG 8.2022'!$B$10:$G$74,6,0),0)</f>
        <v>0</v>
      </c>
      <c r="Y9" s="1262" t="e">
        <f>#REF!-X9</f>
        <v>#REF!</v>
      </c>
      <c r="AA9" s="1264">
        <f>IFERROR(VLOOKUP(B9,'[17]DSOAT-T8.2022'!B$10:AE$79,30,0),0)</f>
        <v>8000000</v>
      </c>
      <c r="AB9" s="1265">
        <f>E9-AA9</f>
        <v>5162045</v>
      </c>
      <c r="AC9" s="1264"/>
      <c r="AD9" s="1266">
        <f>IFERROR(VLOOKUP(B9,'[16]BẢNG LƯƠNG T10.2022'!$B$10:$G$78,6,0),0)</f>
        <v>23.5</v>
      </c>
      <c r="AE9" s="1262" t="e">
        <f>#REF!-AD9</f>
        <v>#REF!</v>
      </c>
    </row>
    <row r="10" spans="1:31" s="140" customFormat="1" ht="20.25" customHeight="1">
      <c r="A10" s="136">
        <v>2</v>
      </c>
      <c r="B10" s="1258" t="s">
        <v>55</v>
      </c>
      <c r="C10" s="1259" t="s">
        <v>56</v>
      </c>
      <c r="D10" s="1260">
        <f>VLOOKUP(B10,'DSOAT-T1.2025'!B12:D89,3,0)</f>
        <v>4130200.0000000005</v>
      </c>
      <c r="E10" s="137">
        <f>VLOOKUP(B10,'DSOAT-T1.2025'!$B$11:$AJ$88,35,0)</f>
        <v>17347360</v>
      </c>
      <c r="F10" s="138">
        <f>VLOOKUP(B10,'DSOAT-T1.2025'!$B$11:$AQ$88,42,0)</f>
        <v>433671</v>
      </c>
      <c r="G10" s="138">
        <v>11000000</v>
      </c>
      <c r="H10" s="138">
        <f>VLOOKUP(B10,'[14]Thuế TNCN _T1'!$B$9:$H$90,7,0)</f>
        <v>2</v>
      </c>
      <c r="I10" s="138">
        <f t="shared" ref="I10:I68" si="0">H10*4400000</f>
        <v>8800000</v>
      </c>
      <c r="J10" s="138">
        <f t="shared" ref="J10:J68" si="1">IF(E10-F10-G10-I10&gt;0,E10-F10-G10-I10,0)</f>
        <v>0</v>
      </c>
      <c r="K10" s="1261">
        <f t="shared" ref="K10:K68" si="2">ROUND(IF(J10&gt;80000000,J10*35%-9850000,IF(J10&gt;52000000,J10*30%-5850000,IF(J10&gt;32000000,J10*25%-3250000,IF(J10&gt;18000000,J10*20%-1650000,IF(J10&gt;10000000,J10*15%-750000,IF(J10&gt;5000000,J10*10%-250000,IF(J10&gt;0,J10*5%,0))))))),0)</f>
        <v>0</v>
      </c>
      <c r="L10" s="1262"/>
      <c r="S10" s="1262"/>
      <c r="X10" s="1263"/>
      <c r="Y10" s="1262"/>
      <c r="AA10" s="1264"/>
      <c r="AB10" s="1265"/>
      <c r="AC10" s="1264"/>
      <c r="AD10" s="1266"/>
      <c r="AE10" s="1262"/>
    </row>
    <row r="11" spans="1:31" s="140" customFormat="1" ht="20.25" customHeight="1">
      <c r="A11" s="136">
        <v>3</v>
      </c>
      <c r="B11" s="1258" t="s">
        <v>16</v>
      </c>
      <c r="C11" s="1259" t="s">
        <v>17</v>
      </c>
      <c r="D11" s="1260">
        <f>VLOOKUP(B11,'DSOAT-T1.2025'!B13:D90,3,0)</f>
        <v>4718700</v>
      </c>
      <c r="E11" s="137">
        <f>VLOOKUP(B11,'DSOAT-T1.2025'!$B$11:$AJ$88,35,0)</f>
        <v>12370605</v>
      </c>
      <c r="F11" s="138">
        <f>VLOOKUP(B11,'DSOAT-T1.2025'!$B$11:$AQ$88,42,0)</f>
        <v>495464</v>
      </c>
      <c r="G11" s="138">
        <v>11000000</v>
      </c>
      <c r="H11" s="138">
        <f>VLOOKUP(B11,'[14]Thuế TNCN _T1'!$B$9:$H$90,7,0)</f>
        <v>0</v>
      </c>
      <c r="I11" s="138">
        <f t="shared" si="0"/>
        <v>0</v>
      </c>
      <c r="J11" s="138">
        <f t="shared" si="1"/>
        <v>875141</v>
      </c>
      <c r="K11" s="1261">
        <f t="shared" si="2"/>
        <v>43757</v>
      </c>
      <c r="L11" s="1262" t="e">
        <f>#REF!-#REF!</f>
        <v>#REF!</v>
      </c>
      <c r="R11" s="140">
        <f>IFERROR(VLOOKUP(B11,'[15]Bảng lương'!B$10:G$72,6,0),0)</f>
        <v>22</v>
      </c>
      <c r="S11" s="1262" t="e">
        <f>#REF!-R11</f>
        <v>#REF!</v>
      </c>
      <c r="V11" s="140">
        <f>VLOOKUP(B11,'[16]khen thưởng T2'!$B$8:$E$234,4,0)</f>
        <v>105000</v>
      </c>
      <c r="X11" s="1263">
        <f>IFERROR(VLOOKUP(B11,'[16]BÀNG LƯƠNG THÁNG 8.2022'!$B$10:$G$74,6,0),0)</f>
        <v>25</v>
      </c>
      <c r="Y11" s="1262" t="e">
        <f>#REF!-X11</f>
        <v>#REF!</v>
      </c>
      <c r="AA11" s="1264">
        <f>IFERROR(VLOOKUP(B11,'[17]DSOAT-T8.2022'!B$10:AE$79,30,0),0)</f>
        <v>16327230.753117992</v>
      </c>
      <c r="AB11" s="1265">
        <f t="shared" ref="AB11:AB64" si="3">E11-AA11</f>
        <v>-3956625.7531179916</v>
      </c>
      <c r="AC11" s="1264"/>
      <c r="AD11" s="1266">
        <f>IFERROR(VLOOKUP(B11,'[16]BẢNG LƯƠNG T10.2022'!$B$10:$G$78,6,0),0)</f>
        <v>23.5</v>
      </c>
      <c r="AE11" s="1262" t="e">
        <f>#REF!-AD11</f>
        <v>#REF!</v>
      </c>
    </row>
    <row r="12" spans="1:31" s="140" customFormat="1" ht="20.25" customHeight="1">
      <c r="A12" s="136">
        <v>4</v>
      </c>
      <c r="B12" s="1258" t="s">
        <v>21</v>
      </c>
      <c r="C12" s="1259" t="s">
        <v>22</v>
      </c>
      <c r="D12" s="1260">
        <f>VLOOKUP(B12,'DSOAT-T1.2025'!B14:D91,3,0)</f>
        <v>4718700</v>
      </c>
      <c r="E12" s="137">
        <f>VLOOKUP(B12,'DSOAT-T1.2025'!$B$11:$AJ$88,35,0)</f>
        <v>8072357</v>
      </c>
      <c r="F12" s="138">
        <f>VLOOKUP(B12,'DSOAT-T1.2025'!$B$11:$AQ$88,42,0)</f>
        <v>495464</v>
      </c>
      <c r="G12" s="138">
        <v>11000000</v>
      </c>
      <c r="H12" s="138">
        <f>VLOOKUP(B12,'[14]Thuế TNCN _T1'!$B$9:$H$90,7,0)</f>
        <v>1</v>
      </c>
      <c r="I12" s="138">
        <f t="shared" si="0"/>
        <v>4400000</v>
      </c>
      <c r="J12" s="138">
        <f t="shared" si="1"/>
        <v>0</v>
      </c>
      <c r="K12" s="1261">
        <f t="shared" si="2"/>
        <v>0</v>
      </c>
      <c r="L12" s="1262" t="e">
        <f>#REF!-#REF!</f>
        <v>#REF!</v>
      </c>
      <c r="R12" s="140">
        <f>IFERROR(VLOOKUP(B12,'[15]Bảng lương'!B$10:G$72,6,0),0)</f>
        <v>22</v>
      </c>
      <c r="S12" s="1262" t="e">
        <f>#REF!-R12</f>
        <v>#REF!</v>
      </c>
      <c r="V12" s="140">
        <f>VLOOKUP(B12,'[16]khen thưởng T2'!$B$8:$E$234,4,0)</f>
        <v>10000</v>
      </c>
      <c r="X12" s="1263">
        <f>IFERROR(VLOOKUP(B12,'[16]BÀNG LƯƠNG THÁNG 8.2022'!$B$10:$G$74,6,0),0)</f>
        <v>25</v>
      </c>
      <c r="Y12" s="1262" t="e">
        <f>#REF!-X12</f>
        <v>#REF!</v>
      </c>
      <c r="AA12" s="1264">
        <f>IFERROR(VLOOKUP(B12,'[17]DSOAT-T8.2022'!B$10:AE$79,30,0),0)</f>
        <v>13306550.955146598</v>
      </c>
      <c r="AB12" s="1265">
        <f t="shared" si="3"/>
        <v>-5234193.9551465977</v>
      </c>
      <c r="AC12" s="1264"/>
      <c r="AD12" s="1266">
        <f>IFERROR(VLOOKUP(B12,'[16]BẢNG LƯƠNG T10.2022'!$B$10:$G$78,6,0),0)</f>
        <v>23.5</v>
      </c>
      <c r="AE12" s="1262" t="e">
        <f>#REF!-AD12</f>
        <v>#REF!</v>
      </c>
    </row>
    <row r="13" spans="1:31" s="140" customFormat="1" ht="20.25" customHeight="1">
      <c r="A13" s="136">
        <v>5</v>
      </c>
      <c r="B13" s="1258" t="s">
        <v>155</v>
      </c>
      <c r="C13" s="1259" t="s">
        <v>142</v>
      </c>
      <c r="D13" s="1260">
        <f>VLOOKUP(B13,'DSOAT-T1.2025'!B15:D92,3,0)</f>
        <v>4718700</v>
      </c>
      <c r="E13" s="137">
        <f>VLOOKUP(B13,'DSOAT-T1.2025'!$B$11:$AJ$88,35,0)</f>
        <v>14323201</v>
      </c>
      <c r="F13" s="138">
        <f>VLOOKUP(B13,'DSOAT-T1.2025'!$B$11:$AQ$88,42,0)</f>
        <v>495464</v>
      </c>
      <c r="G13" s="138">
        <v>11000000</v>
      </c>
      <c r="H13" s="138">
        <f>VLOOKUP(B13,'[14]Thuế TNCN _T1'!$B$9:$H$90,7,0)</f>
        <v>0</v>
      </c>
      <c r="I13" s="138">
        <f t="shared" si="0"/>
        <v>0</v>
      </c>
      <c r="J13" s="138">
        <f t="shared" si="1"/>
        <v>2827737</v>
      </c>
      <c r="K13" s="1261">
        <f t="shared" si="2"/>
        <v>141387</v>
      </c>
      <c r="L13" s="1262" t="e">
        <f>#REF!-#REF!</f>
        <v>#REF!</v>
      </c>
      <c r="R13" s="140">
        <f>IFERROR(VLOOKUP(B13,'[15]Bảng lương'!B$10:G$72,6,0),0)</f>
        <v>22</v>
      </c>
      <c r="S13" s="1262" t="e">
        <f>#REF!-R13</f>
        <v>#REF!</v>
      </c>
      <c r="V13" s="140">
        <f>VLOOKUP(B13,'[16]khen thưởng T2'!$B$8:$E$234,4,0)</f>
        <v>752790</v>
      </c>
      <c r="X13" s="1263">
        <f>IFERROR(VLOOKUP(B13,'[16]BÀNG LƯƠNG THÁNG 8.2022'!$B$10:$G$74,6,0),0)</f>
        <v>25</v>
      </c>
      <c r="Y13" s="1262" t="e">
        <f>#REF!-X13</f>
        <v>#REF!</v>
      </c>
      <c r="AA13" s="1264">
        <f>IFERROR(VLOOKUP(B13,'[17]DSOAT-T8.2022'!B$10:AE$79,30,0),0)</f>
        <v>20976354.980024584</v>
      </c>
      <c r="AB13" s="1265">
        <f t="shared" si="3"/>
        <v>-6653153.9800245836</v>
      </c>
      <c r="AC13" s="1264"/>
      <c r="AD13" s="1266">
        <f>IFERROR(VLOOKUP(B13,'[16]BẢNG LƯƠNG T10.2022'!$B$10:$G$78,6,0),0)</f>
        <v>23.5</v>
      </c>
      <c r="AE13" s="1262" t="e">
        <f>#REF!-AD13</f>
        <v>#REF!</v>
      </c>
    </row>
    <row r="14" spans="1:31" s="140" customFormat="1" ht="20.25" customHeight="1">
      <c r="A14" s="136">
        <v>6</v>
      </c>
      <c r="B14" s="1258" t="s">
        <v>156</v>
      </c>
      <c r="C14" s="1259" t="s">
        <v>143</v>
      </c>
      <c r="D14" s="1260">
        <f>VLOOKUP(B14,'DSOAT-T1.2025'!B16:D93,3,0)</f>
        <v>4718700</v>
      </c>
      <c r="E14" s="137">
        <f>VLOOKUP(B14,'DSOAT-T1.2025'!$B$11:$AJ$88,35,0)</f>
        <v>12985145</v>
      </c>
      <c r="F14" s="138">
        <f>VLOOKUP(B14,'DSOAT-T1.2025'!$B$11:$AQ$88,42,0)</f>
        <v>495464</v>
      </c>
      <c r="G14" s="138">
        <v>11000000</v>
      </c>
      <c r="H14" s="138">
        <f>VLOOKUP(B14,'[14]Thuế TNCN _T1'!$B$9:$H$90,7,0)</f>
        <v>0</v>
      </c>
      <c r="I14" s="138">
        <f t="shared" si="0"/>
        <v>0</v>
      </c>
      <c r="J14" s="138">
        <f t="shared" si="1"/>
        <v>1489681</v>
      </c>
      <c r="K14" s="1261">
        <f t="shared" si="2"/>
        <v>74484</v>
      </c>
      <c r="L14" s="1262" t="e">
        <f>#REF!-#REF!</f>
        <v>#REF!</v>
      </c>
      <c r="R14" s="140">
        <f>IFERROR(VLOOKUP(B14,'[15]Bảng lương'!B$10:G$72,6,0),0)</f>
        <v>22</v>
      </c>
      <c r="S14" s="1262" t="e">
        <f>#REF!-R14</f>
        <v>#REF!</v>
      </c>
      <c r="V14" s="140">
        <f>VLOOKUP(B14,'[16]khen thưởng T2'!$B$8:$E$234,4,0)</f>
        <v>513780</v>
      </c>
      <c r="X14" s="1263">
        <f>IFERROR(VLOOKUP(B14,'[16]BÀNG LƯƠNG THÁNG 8.2022'!$B$10:$G$74,6,0),0)</f>
        <v>25</v>
      </c>
      <c r="Y14" s="1262" t="e">
        <f>#REF!-X14</f>
        <v>#REF!</v>
      </c>
      <c r="AA14" s="1264">
        <f>IFERROR(VLOOKUP(B14,'[17]DSOAT-T8.2022'!B$10:AE$79,30,0),0)</f>
        <v>19868304.167018551</v>
      </c>
      <c r="AB14" s="1265">
        <f t="shared" si="3"/>
        <v>-6883159.1670185514</v>
      </c>
      <c r="AC14" s="1264"/>
      <c r="AD14" s="1266">
        <f>IFERROR(VLOOKUP(B14,'[16]BẢNG LƯƠNG T10.2022'!$B$10:$G$78,6,0),0)</f>
        <v>23.5</v>
      </c>
      <c r="AE14" s="1262" t="e">
        <f>#REF!-AD14</f>
        <v>#REF!</v>
      </c>
    </row>
    <row r="15" spans="1:31" s="140" customFormat="1" ht="20.25" customHeight="1">
      <c r="A15" s="136">
        <v>7</v>
      </c>
      <c r="B15" s="1258" t="s">
        <v>157</v>
      </c>
      <c r="C15" s="1259" t="s">
        <v>144</v>
      </c>
      <c r="D15" s="1260">
        <f>VLOOKUP(B15,'DSOAT-T1.2025'!B17:D94,3,0)</f>
        <v>4718700</v>
      </c>
      <c r="E15" s="137">
        <f>VLOOKUP(B15,'DSOAT-T1.2025'!$B$11:$AJ$88,35,0)</f>
        <v>14443575</v>
      </c>
      <c r="F15" s="138">
        <f>VLOOKUP(B15,'DSOAT-T1.2025'!$B$11:$AQ$88,42,0)</f>
        <v>495464</v>
      </c>
      <c r="G15" s="138">
        <v>11000000</v>
      </c>
      <c r="H15" s="138">
        <f>VLOOKUP(B15,'[14]Thuế TNCN _T1'!$B$9:$H$90,7,0)</f>
        <v>0</v>
      </c>
      <c r="I15" s="138">
        <f t="shared" si="0"/>
        <v>0</v>
      </c>
      <c r="J15" s="138">
        <f t="shared" si="1"/>
        <v>2948111</v>
      </c>
      <c r="K15" s="1261">
        <f t="shared" si="2"/>
        <v>147406</v>
      </c>
      <c r="L15" s="1262" t="e">
        <f>#REF!-#REF!</f>
        <v>#REF!</v>
      </c>
      <c r="R15" s="140">
        <f>IFERROR(VLOOKUP(B15,'[15]Bảng lương'!B$10:G$72,6,0),0)</f>
        <v>22</v>
      </c>
      <c r="S15" s="1262" t="e">
        <f>#REF!-R15</f>
        <v>#REF!</v>
      </c>
      <c r="X15" s="1263">
        <f>IFERROR(VLOOKUP(B15,'[16]BÀNG LƯƠNG THÁNG 8.2022'!$B$10:$G$74,6,0),0)</f>
        <v>25</v>
      </c>
      <c r="Y15" s="1262" t="e">
        <f>#REF!-X15</f>
        <v>#REF!</v>
      </c>
      <c r="AA15" s="1264">
        <f>IFERROR(VLOOKUP(B15,'[17]DSOAT-T8.2022'!B$10:AE$79,30,0),0)</f>
        <v>17325419.878380246</v>
      </c>
      <c r="AB15" s="1265">
        <f t="shared" si="3"/>
        <v>-2881844.8783802465</v>
      </c>
      <c r="AC15" s="1264"/>
      <c r="AD15" s="1266">
        <f>IFERROR(VLOOKUP(B15,'[16]BẢNG LƯƠNG T10.2022'!$B$10:$G$78,6,0),0)</f>
        <v>23.5</v>
      </c>
      <c r="AE15" s="1262" t="e">
        <f>#REF!-AD15</f>
        <v>#REF!</v>
      </c>
    </row>
    <row r="16" spans="1:31" s="140" customFormat="1" ht="20.25" customHeight="1">
      <c r="A16" s="136">
        <v>9</v>
      </c>
      <c r="B16" s="1258" t="s">
        <v>103</v>
      </c>
      <c r="C16" s="1259" t="s">
        <v>104</v>
      </c>
      <c r="D16" s="1260">
        <f>VLOOKUP(B16,'DSOAT-T1.2025'!B18:D96,3,0)</f>
        <v>4718700</v>
      </c>
      <c r="E16" s="137">
        <f>VLOOKUP(B16,'DSOAT-T1.2025'!$B$11:$AJ$88,35,0)</f>
        <v>15956082</v>
      </c>
      <c r="F16" s="138">
        <f>VLOOKUP(B16,'DSOAT-T1.2025'!$B$11:$AQ$88,42,0)</f>
        <v>495464</v>
      </c>
      <c r="G16" s="138">
        <v>11000000</v>
      </c>
      <c r="H16" s="138">
        <f>VLOOKUP(B16,'[14]Thuế TNCN _T1'!$B$9:$H$90,7,0)</f>
        <v>1</v>
      </c>
      <c r="I16" s="138">
        <f t="shared" si="0"/>
        <v>4400000</v>
      </c>
      <c r="J16" s="138">
        <f t="shared" si="1"/>
        <v>60618</v>
      </c>
      <c r="K16" s="1261">
        <f t="shared" si="2"/>
        <v>3031</v>
      </c>
      <c r="L16" s="1262" t="e">
        <f>#REF!-#REF!</f>
        <v>#REF!</v>
      </c>
      <c r="R16" s="140">
        <f>IFERROR(VLOOKUP(B16,'[15]Bảng lương'!B$10:G$72,6,0),0)</f>
        <v>22</v>
      </c>
      <c r="S16" s="1262" t="e">
        <f>#REF!-R16</f>
        <v>#REF!</v>
      </c>
      <c r="V16" s="140">
        <f>VLOOKUP(B16,'[16]khen thưởng T2'!$B$8:$E$234,4,0)</f>
        <v>25000</v>
      </c>
      <c r="X16" s="1263">
        <f>IFERROR(VLOOKUP(B16,'[16]BÀNG LƯƠNG THÁNG 8.2022'!$B$10:$G$74,6,0),0)</f>
        <v>25</v>
      </c>
      <c r="Y16" s="1262" t="e">
        <f>#REF!-X16</f>
        <v>#REF!</v>
      </c>
      <c r="AA16" s="1264">
        <f>IFERROR(VLOOKUP(B16,'[17]DSOAT-T8.2022'!B$10:AE$79,30,0),0)</f>
        <v>18032525.796419106</v>
      </c>
      <c r="AB16" s="1265">
        <f t="shared" si="3"/>
        <v>-2076443.7964191064</v>
      </c>
      <c r="AC16" s="1264"/>
      <c r="AD16" s="1266">
        <f>IFERROR(VLOOKUP(B16,'[16]BẢNG LƯƠNG T10.2022'!$B$10:$G$78,6,0),0)</f>
        <v>23.5</v>
      </c>
      <c r="AE16" s="1262" t="e">
        <f>#REF!-AD16</f>
        <v>#REF!</v>
      </c>
    </row>
    <row r="17" spans="1:31" s="140" customFormat="1" ht="20.25" customHeight="1">
      <c r="A17" s="136">
        <v>10</v>
      </c>
      <c r="B17" s="1258" t="s">
        <v>24</v>
      </c>
      <c r="C17" s="1259" t="s">
        <v>25</v>
      </c>
      <c r="D17" s="1260">
        <f>VLOOKUP(B17,'DSOAT-T1.2025'!B19:D97,3,0)</f>
        <v>4718700</v>
      </c>
      <c r="E17" s="137">
        <f>VLOOKUP(B17,'DSOAT-T1.2025'!$B$11:$AJ$88,35,0)</f>
        <v>11509375</v>
      </c>
      <c r="F17" s="138">
        <f>VLOOKUP(B17,'DSOAT-T1.2025'!$B$11:$AQ$88,42,0)</f>
        <v>495464</v>
      </c>
      <c r="G17" s="138">
        <v>11000000</v>
      </c>
      <c r="H17" s="138">
        <f>VLOOKUP(B17,'[14]Thuế TNCN _T1'!$B$9:$H$90,7,0)</f>
        <v>0</v>
      </c>
      <c r="I17" s="138">
        <f t="shared" si="0"/>
        <v>0</v>
      </c>
      <c r="J17" s="138">
        <f t="shared" si="1"/>
        <v>13911</v>
      </c>
      <c r="K17" s="1261"/>
      <c r="L17" s="1262" t="e">
        <f>#REF!-#REF!</f>
        <v>#REF!</v>
      </c>
      <c r="R17" s="140">
        <f>IFERROR(VLOOKUP(B17,'[15]Bảng lương'!B$10:G$72,6,0),0)</f>
        <v>22.5</v>
      </c>
      <c r="S17" s="1262" t="e">
        <f>#REF!-R17</f>
        <v>#REF!</v>
      </c>
      <c r="V17" s="140">
        <f>VLOOKUP(B17,'[16]khen thưởng T2'!$B$8:$E$234,4,0)</f>
        <v>459350</v>
      </c>
      <c r="X17" s="1263">
        <f>IFERROR(VLOOKUP(B17,'[16]BÀNG LƯƠNG THÁNG 8.2022'!$B$10:$G$74,6,0),0)</f>
        <v>25</v>
      </c>
      <c r="Y17" s="1262" t="e">
        <f>#REF!-X17</f>
        <v>#REF!</v>
      </c>
      <c r="AA17" s="1264">
        <f>IFERROR(VLOOKUP(B17,'[17]DSOAT-T8.2022'!B$10:AE$79,30,0),0)</f>
        <v>16939058.844145499</v>
      </c>
      <c r="AB17" s="1265">
        <f t="shared" si="3"/>
        <v>-5429683.8441454992</v>
      </c>
      <c r="AC17" s="1264"/>
      <c r="AD17" s="1266">
        <f>IFERROR(VLOOKUP(B17,'[16]BẢNG LƯƠNG T10.2022'!$B$10:$G$78,6,0),0)</f>
        <v>20.5</v>
      </c>
      <c r="AE17" s="1262" t="e">
        <f>#REF!-AD17</f>
        <v>#REF!</v>
      </c>
    </row>
    <row r="18" spans="1:31" s="140" customFormat="1" ht="20.25" customHeight="1">
      <c r="A18" s="136">
        <v>11</v>
      </c>
      <c r="B18" s="1258" t="s">
        <v>26</v>
      </c>
      <c r="C18" s="1259" t="s">
        <v>27</v>
      </c>
      <c r="D18" s="1260">
        <f>VLOOKUP(B18,'DSOAT-T1.2025'!B20:D98,3,0)</f>
        <v>4718700</v>
      </c>
      <c r="E18" s="137">
        <f>VLOOKUP(B18,'DSOAT-T1.2025'!$B$11:$AJ$88,35,0)</f>
        <v>8348369</v>
      </c>
      <c r="F18" s="138">
        <f>VLOOKUP(B18,'DSOAT-T1.2025'!$B$11:$AQ$88,42,0)</f>
        <v>495464</v>
      </c>
      <c r="G18" s="138">
        <v>11000000</v>
      </c>
      <c r="H18" s="138">
        <f>VLOOKUP(B18,'[14]Thuế TNCN _T1'!$B$9:$H$90,7,0)</f>
        <v>3</v>
      </c>
      <c r="I18" s="138">
        <f t="shared" si="0"/>
        <v>13200000</v>
      </c>
      <c r="J18" s="138">
        <f t="shared" si="1"/>
        <v>0</v>
      </c>
      <c r="K18" s="1261">
        <f t="shared" si="2"/>
        <v>0</v>
      </c>
      <c r="L18" s="1262" t="e">
        <f>#REF!-#REF!</f>
        <v>#REF!</v>
      </c>
      <c r="R18" s="140">
        <f>IFERROR(VLOOKUP(B18,'[15]Bảng lương'!B$10:G$72,6,0),0)</f>
        <v>22.5</v>
      </c>
      <c r="S18" s="1262" t="e">
        <f>#REF!-R18</f>
        <v>#REF!</v>
      </c>
      <c r="V18" s="140">
        <f>VLOOKUP(B18,'[16]khen thưởng T2'!$B$8:$E$234,4,0)</f>
        <v>1438400</v>
      </c>
      <c r="X18" s="1263">
        <f>IFERROR(VLOOKUP(B18,'[16]BÀNG LƯƠNG THÁNG 8.2022'!$B$10:$G$74,6,0),0)</f>
        <v>26</v>
      </c>
      <c r="Y18" s="1262" t="e">
        <f>#REF!-X18</f>
        <v>#REF!</v>
      </c>
      <c r="AA18" s="1264">
        <f>IFERROR(VLOOKUP(B18,'[17]DSOAT-T8.2022'!B$10:AE$79,30,0),0)</f>
        <v>20915584.23207254</v>
      </c>
      <c r="AB18" s="1265">
        <f t="shared" si="3"/>
        <v>-12567215.23207254</v>
      </c>
      <c r="AC18" s="1264"/>
      <c r="AD18" s="1266">
        <f>IFERROR(VLOOKUP(B18,'[16]BẢNG LƯƠNG T10.2022'!$B$10:$G$78,6,0),0)</f>
        <v>23.5</v>
      </c>
      <c r="AE18" s="1262" t="e">
        <f>#REF!-AD18</f>
        <v>#REF!</v>
      </c>
    </row>
    <row r="19" spans="1:31" s="140" customFormat="1" ht="20.25" customHeight="1">
      <c r="A19" s="136">
        <v>12</v>
      </c>
      <c r="B19" s="1258" t="s">
        <v>28</v>
      </c>
      <c r="C19" s="1259" t="s">
        <v>29</v>
      </c>
      <c r="D19" s="1260">
        <f>VLOOKUP(B19,'DSOAT-T1.2025'!B21:D99,3,0)</f>
        <v>4718700</v>
      </c>
      <c r="E19" s="137">
        <f>VLOOKUP(B19,'DSOAT-T1.2025'!$B$11:$AJ$88,35,0)</f>
        <v>9223260</v>
      </c>
      <c r="F19" s="138">
        <f>VLOOKUP(B19,'DSOAT-T1.2025'!$B$11:$AQ$88,42,0)</f>
        <v>495464</v>
      </c>
      <c r="G19" s="138">
        <v>11000000</v>
      </c>
      <c r="H19" s="138">
        <f>VLOOKUP(B19,'[14]Thuế TNCN _T1'!$B$9:$H$90,7,0)</f>
        <v>1</v>
      </c>
      <c r="I19" s="138">
        <f t="shared" si="0"/>
        <v>4400000</v>
      </c>
      <c r="J19" s="138">
        <f t="shared" si="1"/>
        <v>0</v>
      </c>
      <c r="K19" s="1261">
        <f t="shared" si="2"/>
        <v>0</v>
      </c>
      <c r="L19" s="1262" t="e">
        <f>#REF!-#REF!</f>
        <v>#REF!</v>
      </c>
      <c r="R19" s="140">
        <f>IFERROR(VLOOKUP(B19,'[15]Bảng lương'!B$10:G$72,6,0),0)</f>
        <v>26</v>
      </c>
      <c r="S19" s="1262" t="e">
        <f>#REF!-R19</f>
        <v>#REF!</v>
      </c>
      <c r="V19" s="140">
        <f>VLOOKUP(B19,'[16]khen thưởng T2'!$B$8:$E$234,4,0)</f>
        <v>2975100</v>
      </c>
      <c r="X19" s="1263">
        <f>IFERROR(VLOOKUP(B19,'[16]BÀNG LƯƠNG THÁNG 8.2022'!$B$10:$G$74,6,0),0)</f>
        <v>28</v>
      </c>
      <c r="Y19" s="1262" t="e">
        <f>#REF!-X19</f>
        <v>#REF!</v>
      </c>
      <c r="AA19" s="1264">
        <f>IFERROR(VLOOKUP(B19,'[17]DSOAT-T8.2022'!B$10:AE$79,30,0),0)</f>
        <v>24780202.742632646</v>
      </c>
      <c r="AB19" s="1265">
        <f t="shared" si="3"/>
        <v>-15556942.742632646</v>
      </c>
      <c r="AC19" s="1264"/>
      <c r="AD19" s="1266">
        <f>IFERROR(VLOOKUP(B19,'[16]BẢNG LƯƠNG T10.2022'!$B$10:$G$78,6,0),0)</f>
        <v>24</v>
      </c>
      <c r="AE19" s="1262" t="e">
        <f>#REF!-AD19</f>
        <v>#REF!</v>
      </c>
    </row>
    <row r="20" spans="1:31" s="140" customFormat="1" ht="20.25" customHeight="1">
      <c r="A20" s="136">
        <v>13</v>
      </c>
      <c r="B20" s="1258" t="s">
        <v>30</v>
      </c>
      <c r="C20" s="1267" t="s">
        <v>31</v>
      </c>
      <c r="D20" s="1260">
        <f>VLOOKUP(B20,'DSOAT-T1.2025'!B22:D100,3,0)</f>
        <v>4718700</v>
      </c>
      <c r="E20" s="137">
        <f>VLOOKUP(B20,'DSOAT-T1.2025'!$B$11:$AJ$88,35,0)</f>
        <v>6488258</v>
      </c>
      <c r="F20" s="138">
        <f>VLOOKUP(B20,'DSOAT-T1.2025'!$B$11:$AQ$88,42,0)</f>
        <v>495464</v>
      </c>
      <c r="G20" s="138">
        <v>11000000</v>
      </c>
      <c r="H20" s="138">
        <f>VLOOKUP(B20,'[14]Thuế TNCN _T1'!$B$9:$H$90,7,0)</f>
        <v>1</v>
      </c>
      <c r="I20" s="138">
        <f t="shared" si="0"/>
        <v>4400000</v>
      </c>
      <c r="J20" s="138">
        <f t="shared" si="1"/>
        <v>0</v>
      </c>
      <c r="K20" s="1261">
        <f t="shared" si="2"/>
        <v>0</v>
      </c>
      <c r="L20" s="1262" t="e">
        <f>#REF!-#REF!</f>
        <v>#REF!</v>
      </c>
      <c r="R20" s="140">
        <f>IFERROR(VLOOKUP(B20,'[15]Bảng lương'!B$10:G$72,6,0),0)</f>
        <v>22.5</v>
      </c>
      <c r="S20" s="1262" t="e">
        <f>#REF!-R20</f>
        <v>#REF!</v>
      </c>
      <c r="V20" s="140">
        <f>VLOOKUP(B20,'[16]khen thưởng T2'!$B$8:$E$234,4,0)</f>
        <v>1438800</v>
      </c>
      <c r="X20" s="1263">
        <f>IFERROR(VLOOKUP(B20,'[16]BÀNG LƯƠNG THÁNG 8.2022'!$B$10:$G$74,6,0),0)</f>
        <v>28</v>
      </c>
      <c r="Y20" s="1262" t="e">
        <f>#REF!-X20</f>
        <v>#REF!</v>
      </c>
      <c r="AA20" s="1264">
        <f>IFERROR(VLOOKUP(B20,'[17]DSOAT-T8.2022'!B$10:AE$79,30,0),0)</f>
        <v>24417656.527392771</v>
      </c>
      <c r="AB20" s="1265">
        <f t="shared" si="3"/>
        <v>-17929398.527392771</v>
      </c>
      <c r="AC20" s="1264"/>
      <c r="AD20" s="1266">
        <f>IFERROR(VLOOKUP(B20,'[16]BẢNG LƯƠNG T10.2022'!$B$10:$G$78,6,0),0)</f>
        <v>22</v>
      </c>
      <c r="AE20" s="1262" t="e">
        <f>#REF!-AD20</f>
        <v>#REF!</v>
      </c>
    </row>
    <row r="21" spans="1:31" s="140" customFormat="1" ht="20.25" customHeight="1">
      <c r="A21" s="136">
        <v>14</v>
      </c>
      <c r="B21" s="1258" t="s">
        <v>32</v>
      </c>
      <c r="C21" s="1259" t="s">
        <v>33</v>
      </c>
      <c r="D21" s="1260">
        <f>VLOOKUP(B21,'DSOAT-T1.2025'!B23:D101,3,0)</f>
        <v>4718700</v>
      </c>
      <c r="E21" s="137">
        <f>VLOOKUP(B21,'DSOAT-T1.2025'!$B$11:$AJ$88,35,0)</f>
        <v>10654852</v>
      </c>
      <c r="F21" s="138">
        <f>VLOOKUP(B21,'DSOAT-T1.2025'!$B$11:$AQ$88,42,0)</f>
        <v>495464</v>
      </c>
      <c r="G21" s="138">
        <v>11000000</v>
      </c>
      <c r="H21" s="138">
        <f>VLOOKUP(B21,'[14]Thuế TNCN _T1'!$B$9:$H$90,7,0)</f>
        <v>0</v>
      </c>
      <c r="I21" s="138">
        <f t="shared" si="0"/>
        <v>0</v>
      </c>
      <c r="J21" s="138">
        <f t="shared" si="1"/>
        <v>0</v>
      </c>
      <c r="K21" s="1261">
        <f t="shared" si="2"/>
        <v>0</v>
      </c>
      <c r="L21" s="1262" t="e">
        <f>#REF!-#REF!</f>
        <v>#REF!</v>
      </c>
      <c r="R21" s="140">
        <f>IFERROR(VLOOKUP(B21,'[15]Bảng lương'!B$10:G$72,6,0),0)</f>
        <v>22.5</v>
      </c>
      <c r="S21" s="1262" t="e">
        <f>#REF!-R21</f>
        <v>#REF!</v>
      </c>
      <c r="V21" s="140">
        <f>VLOOKUP(B21,'[16]khen thưởng T2'!$B$8:$E$234,4,0)</f>
        <v>3449250</v>
      </c>
      <c r="X21" s="1263">
        <f>IFERROR(VLOOKUP(B21,'[16]BÀNG LƯƠNG THÁNG 8.2022'!$B$10:$G$74,6,0),0)</f>
        <v>25</v>
      </c>
      <c r="Y21" s="1262" t="e">
        <f>#REF!-X21</f>
        <v>#REF!</v>
      </c>
      <c r="AA21" s="1264">
        <f>IFERROR(VLOOKUP(B21,'[17]DSOAT-T8.2022'!B$10:AE$79,30,0),0)</f>
        <v>21196540.8631391</v>
      </c>
      <c r="AB21" s="1265">
        <f t="shared" si="3"/>
        <v>-10541688.8631391</v>
      </c>
      <c r="AC21" s="1264"/>
      <c r="AD21" s="1266">
        <f>IFERROR(VLOOKUP(B21,'[16]BẢNG LƯƠNG T10.2022'!$B$10:$G$78,6,0),0)</f>
        <v>23.5</v>
      </c>
      <c r="AE21" s="1262" t="e">
        <f>#REF!-AD21</f>
        <v>#REF!</v>
      </c>
    </row>
    <row r="22" spans="1:31" s="140" customFormat="1" ht="20.25" customHeight="1">
      <c r="A22" s="136">
        <v>15</v>
      </c>
      <c r="B22" s="1258" t="s">
        <v>34</v>
      </c>
      <c r="C22" s="1259" t="s">
        <v>35</v>
      </c>
      <c r="D22" s="1260">
        <f>VLOOKUP(B22,'DSOAT-T1.2025'!B24:D102,3,0)</f>
        <v>4718700</v>
      </c>
      <c r="E22" s="137">
        <f>VLOOKUP(B22,'DSOAT-T1.2025'!$B$11:$AJ$88,35,0)</f>
        <v>13373744</v>
      </c>
      <c r="F22" s="138">
        <f>VLOOKUP(B22,'DSOAT-T1.2025'!$B$11:$AQ$88,42,0)</f>
        <v>495464</v>
      </c>
      <c r="G22" s="138">
        <v>11000000</v>
      </c>
      <c r="H22" s="138">
        <f>VLOOKUP(B22,'[14]Thuế TNCN _T1'!$B$9:$H$90,7,0)</f>
        <v>0</v>
      </c>
      <c r="I22" s="138">
        <f t="shared" si="0"/>
        <v>0</v>
      </c>
      <c r="J22" s="138">
        <f t="shared" si="1"/>
        <v>1878280</v>
      </c>
      <c r="K22" s="1261">
        <f t="shared" si="2"/>
        <v>93914</v>
      </c>
      <c r="L22" s="1262" t="e">
        <f>#REF!-#REF!</f>
        <v>#REF!</v>
      </c>
      <c r="R22" s="140">
        <f>IFERROR(VLOOKUP(B22,'[15]Bảng lương'!B$10:G$72,6,0),0)</f>
        <v>22.5</v>
      </c>
      <c r="S22" s="1262" t="e">
        <f>#REF!-R22</f>
        <v>#REF!</v>
      </c>
      <c r="V22" s="140">
        <f>VLOOKUP(B22,'[16]khen thưởng T2'!$B$8:$E$234,4,0)</f>
        <v>761000</v>
      </c>
      <c r="X22" s="1263">
        <f>IFERROR(VLOOKUP(B22,'[16]BÀNG LƯƠNG THÁNG 8.2022'!$B$10:$G$74,6,0),0)</f>
        <v>25</v>
      </c>
      <c r="Y22" s="1262" t="e">
        <f>#REF!-X22</f>
        <v>#REF!</v>
      </c>
      <c r="AA22" s="1264">
        <f>IFERROR(VLOOKUP(B22,'[17]DSOAT-T8.2022'!B$10:AE$79,30,0),0)</f>
        <v>16183531.308739351</v>
      </c>
      <c r="AB22" s="1265">
        <f t="shared" si="3"/>
        <v>-2809787.3087393511</v>
      </c>
      <c r="AC22" s="1264"/>
      <c r="AD22" s="1266">
        <f>IFERROR(VLOOKUP(B22,'[16]BẢNG LƯƠNG T10.2022'!$B$10:$G$78,6,0),0)</f>
        <v>23.5</v>
      </c>
      <c r="AE22" s="1262" t="e">
        <f>#REF!-AD22</f>
        <v>#REF!</v>
      </c>
    </row>
    <row r="23" spans="1:31" s="140" customFormat="1" ht="20.25" customHeight="1">
      <c r="A23" s="136">
        <v>16</v>
      </c>
      <c r="B23" s="1258" t="s">
        <v>36</v>
      </c>
      <c r="C23" s="1259" t="s">
        <v>37</v>
      </c>
      <c r="D23" s="1260">
        <f>VLOOKUP(B23,'DSOAT-T1.2025'!B25:D103,3,0)</f>
        <v>4718700</v>
      </c>
      <c r="E23" s="137">
        <f>VLOOKUP(B23,'DSOAT-T1.2025'!$B$11:$AJ$88,35,0)</f>
        <v>13693595</v>
      </c>
      <c r="F23" s="138">
        <f>VLOOKUP(B23,'DSOAT-T1.2025'!$B$11:$AQ$88,42,0)</f>
        <v>495464</v>
      </c>
      <c r="G23" s="138">
        <v>11000000</v>
      </c>
      <c r="H23" s="138">
        <f>VLOOKUP(B23,'[14]Thuế TNCN _T1'!$B$9:$H$90,7,0)</f>
        <v>0</v>
      </c>
      <c r="I23" s="138">
        <f t="shared" si="0"/>
        <v>0</v>
      </c>
      <c r="J23" s="138">
        <f t="shared" si="1"/>
        <v>2198131</v>
      </c>
      <c r="K23" s="1261">
        <f t="shared" si="2"/>
        <v>109907</v>
      </c>
      <c r="L23" s="1262" t="e">
        <f>#REF!-#REF!</f>
        <v>#REF!</v>
      </c>
      <c r="R23" s="140">
        <f>IFERROR(VLOOKUP(B23,'[15]Bảng lương'!B$10:G$72,6,0),0)</f>
        <v>22.5</v>
      </c>
      <c r="S23" s="1262" t="e">
        <f>#REF!-R23</f>
        <v>#REF!</v>
      </c>
      <c r="X23" s="1263">
        <f>IFERROR(VLOOKUP(B23,'[16]BÀNG LƯƠNG THÁNG 8.2022'!$B$10:$G$74,6,0),0)</f>
        <v>25</v>
      </c>
      <c r="Y23" s="1262" t="e">
        <f>#REF!-X23</f>
        <v>#REF!</v>
      </c>
      <c r="AA23" s="1264">
        <f>IFERROR(VLOOKUP(B23,'[17]DSOAT-T8.2022'!B$10:AE$79,30,0),0)</f>
        <v>16885485.932294451</v>
      </c>
      <c r="AB23" s="1265">
        <f t="shared" si="3"/>
        <v>-3191890.9322944507</v>
      </c>
      <c r="AC23" s="1264"/>
      <c r="AD23" s="1266">
        <f>IFERROR(VLOOKUP(B23,'[16]BẢNG LƯƠNG T10.2022'!$B$10:$G$78,6,0),0)</f>
        <v>23.5</v>
      </c>
      <c r="AE23" s="1262" t="e">
        <f>#REF!-AD23</f>
        <v>#REF!</v>
      </c>
    </row>
    <row r="24" spans="1:31" s="140" customFormat="1" ht="20.25" customHeight="1">
      <c r="A24" s="136">
        <v>17</v>
      </c>
      <c r="B24" s="1258" t="s">
        <v>38</v>
      </c>
      <c r="C24" s="1259" t="s">
        <v>39</v>
      </c>
      <c r="D24" s="1260">
        <f>VLOOKUP(B24,'DSOAT-T1.2025'!B26:D104,3,0)</f>
        <v>4718700</v>
      </c>
      <c r="E24" s="137">
        <f>VLOOKUP(B24,'DSOAT-T1.2025'!$B$11:$AJ$88,35,0)</f>
        <v>16813144</v>
      </c>
      <c r="F24" s="138">
        <f>VLOOKUP(B24,'DSOAT-T1.2025'!$B$11:$AQ$88,42,0)</f>
        <v>495464</v>
      </c>
      <c r="G24" s="138">
        <v>11000000</v>
      </c>
      <c r="H24" s="138">
        <f>VLOOKUP(B24,'[14]Thuế TNCN _T1'!$B$9:$H$90,7,0)</f>
        <v>4</v>
      </c>
      <c r="I24" s="138">
        <f t="shared" si="0"/>
        <v>17600000</v>
      </c>
      <c r="J24" s="138">
        <f t="shared" si="1"/>
        <v>0</v>
      </c>
      <c r="K24" s="1261">
        <f t="shared" si="2"/>
        <v>0</v>
      </c>
      <c r="L24" s="1262" t="e">
        <f>#REF!-#REF!</f>
        <v>#REF!</v>
      </c>
      <c r="R24" s="140">
        <f>IFERROR(VLOOKUP(B24,'[15]Bảng lương'!B$10:G$72,6,0),0)</f>
        <v>23.5</v>
      </c>
      <c r="S24" s="1262" t="e">
        <f>#REF!-R24</f>
        <v>#REF!</v>
      </c>
      <c r="V24" s="140">
        <f>VLOOKUP(B24,'[16]khen thưởng T2'!$B$8:$E$234,4,0)</f>
        <v>4816950</v>
      </c>
      <c r="X24" s="1263">
        <f>IFERROR(VLOOKUP(B24,'[16]BÀNG LƯƠNG THÁNG 8.2022'!$B$10:$G$74,6,0),0)</f>
        <v>29</v>
      </c>
      <c r="Y24" s="1262" t="e">
        <f>#REF!-X24</f>
        <v>#REF!</v>
      </c>
      <c r="AA24" s="1264">
        <f>IFERROR(VLOOKUP(B24,'[17]DSOAT-T8.2022'!B$10:AE$79,30,0),0)</f>
        <v>44059492.560885876</v>
      </c>
      <c r="AB24" s="1265">
        <f t="shared" si="3"/>
        <v>-27246348.560885876</v>
      </c>
      <c r="AC24" s="1264"/>
      <c r="AD24" s="1266">
        <f>IFERROR(VLOOKUP(B24,'[16]BẢNG LƯƠNG T10.2022'!$B$10:$G$78,6,0),0)</f>
        <v>27</v>
      </c>
      <c r="AE24" s="1262" t="e">
        <f>#REF!-AD24</f>
        <v>#REF!</v>
      </c>
    </row>
    <row r="25" spans="1:31" s="140" customFormat="1" ht="20.25" customHeight="1">
      <c r="A25" s="136">
        <v>18</v>
      </c>
      <c r="B25" s="1258" t="s">
        <v>40</v>
      </c>
      <c r="C25" s="1259" t="s">
        <v>41</v>
      </c>
      <c r="D25" s="1260">
        <f>VLOOKUP(B25,'DSOAT-T1.2025'!B27:D105,3,0)</f>
        <v>4130200.0000000005</v>
      </c>
      <c r="E25" s="137">
        <f>VLOOKUP(B25,'DSOAT-T1.2025'!$B$11:$AJ$88,35,0)</f>
        <v>16235963</v>
      </c>
      <c r="F25" s="138">
        <f>VLOOKUP(B25,'DSOAT-T1.2025'!$B$11:$AQ$88,42,0)</f>
        <v>433671</v>
      </c>
      <c r="G25" s="138">
        <v>11000000</v>
      </c>
      <c r="H25" s="138">
        <f>VLOOKUP(B25,'[14]Thuế TNCN _T1'!$B$9:$H$90,7,0)</f>
        <v>1</v>
      </c>
      <c r="I25" s="138">
        <f t="shared" si="0"/>
        <v>4400000</v>
      </c>
      <c r="J25" s="138">
        <f t="shared" si="1"/>
        <v>402292</v>
      </c>
      <c r="K25" s="1261">
        <f t="shared" si="2"/>
        <v>20115</v>
      </c>
      <c r="L25" s="1262" t="e">
        <f>#REF!-#REF!</f>
        <v>#REF!</v>
      </c>
      <c r="R25" s="140">
        <f>IFERROR(VLOOKUP(B25,'[15]Bảng lương'!B$10:G$72,6,0),0)</f>
        <v>22</v>
      </c>
      <c r="S25" s="1262" t="e">
        <f>#REF!-R25</f>
        <v>#REF!</v>
      </c>
      <c r="X25" s="1263">
        <f>IFERROR(VLOOKUP(B25,'[16]BÀNG LƯƠNG THÁNG 8.2022'!$B$10:$G$74,6,0),0)</f>
        <v>25</v>
      </c>
      <c r="Y25" s="1262" t="e">
        <f>#REF!-X25</f>
        <v>#REF!</v>
      </c>
      <c r="AA25" s="1264">
        <f>IFERROR(VLOOKUP(B25,'[17]DSOAT-T8.2022'!B$10:AE$79,30,0),0)</f>
        <v>17634428.571858957</v>
      </c>
      <c r="AB25" s="1265">
        <f t="shared" si="3"/>
        <v>-1398465.5718589574</v>
      </c>
      <c r="AC25" s="1264"/>
      <c r="AD25" s="1266">
        <f>IFERROR(VLOOKUP(B25,'[16]BẢNG LƯƠNG T10.2022'!$B$10:$G$78,6,0),0)</f>
        <v>23.5</v>
      </c>
      <c r="AE25" s="1262" t="e">
        <f>#REF!-AD25</f>
        <v>#REF!</v>
      </c>
    </row>
    <row r="26" spans="1:31" s="140" customFormat="1" ht="20.25" customHeight="1">
      <c r="A26" s="136">
        <v>19</v>
      </c>
      <c r="B26" s="1268" t="s">
        <v>43</v>
      </c>
      <c r="C26" s="1259" t="s">
        <v>44</v>
      </c>
      <c r="D26" s="1260">
        <f>VLOOKUP(B26,'DSOAT-T1.2025'!B28:D106,3,0)</f>
        <v>4130200.0000000005</v>
      </c>
      <c r="E26" s="137">
        <f>VLOOKUP(B26,'DSOAT-T1.2025'!$B$11:$AJ$88,35,0)</f>
        <v>11765118</v>
      </c>
      <c r="F26" s="138">
        <f>VLOOKUP(B26,'DSOAT-T1.2025'!$B$11:$AQ$88,42,0)</f>
        <v>433671</v>
      </c>
      <c r="G26" s="138">
        <v>11000000</v>
      </c>
      <c r="H26" s="138">
        <f>VLOOKUP(B26,'[14]Thuế TNCN _T1'!$B$9:$H$90,7,0)</f>
        <v>1</v>
      </c>
      <c r="I26" s="138">
        <f t="shared" si="0"/>
        <v>4400000</v>
      </c>
      <c r="J26" s="138">
        <f t="shared" si="1"/>
        <v>0</v>
      </c>
      <c r="K26" s="1261">
        <f t="shared" si="2"/>
        <v>0</v>
      </c>
      <c r="L26" s="1262" t="e">
        <f>#REF!-#REF!</f>
        <v>#REF!</v>
      </c>
      <c r="R26" s="140">
        <f>IFERROR(VLOOKUP(B26,'[15]Bảng lương'!B$10:G$72,6,0),0)</f>
        <v>22.5</v>
      </c>
      <c r="S26" s="1262" t="e">
        <f>#REF!-R26</f>
        <v>#REF!</v>
      </c>
      <c r="V26" s="140">
        <f>VLOOKUP(B26,'[16]khen thưởng T2'!$B$8:$E$234,4,0)</f>
        <v>726150</v>
      </c>
      <c r="X26" s="1263">
        <f>IFERROR(VLOOKUP(B26,'[16]BÀNG LƯƠNG THÁNG 8.2022'!$B$10:$G$74,6,0),0)</f>
        <v>25</v>
      </c>
      <c r="Y26" s="1262" t="e">
        <f>#REF!-X26</f>
        <v>#REF!</v>
      </c>
      <c r="AA26" s="1264">
        <f>IFERROR(VLOOKUP(B26,'[17]DSOAT-T8.2022'!B$10:AE$79,30,0),0)</f>
        <v>18417055.887302659</v>
      </c>
      <c r="AB26" s="1265">
        <f t="shared" si="3"/>
        <v>-6651937.8873026595</v>
      </c>
      <c r="AC26" s="1264"/>
      <c r="AD26" s="1266">
        <f>IFERROR(VLOOKUP(B26,'[16]BẢNG LƯƠNG T10.2022'!$B$10:$G$78,6,0),0)</f>
        <v>23.5</v>
      </c>
      <c r="AE26" s="1262" t="e">
        <f>#REF!-AD26</f>
        <v>#REF!</v>
      </c>
    </row>
    <row r="27" spans="1:31" s="140" customFormat="1" ht="20.25" customHeight="1">
      <c r="A27" s="136">
        <v>20</v>
      </c>
      <c r="B27" s="1258" t="s">
        <v>45</v>
      </c>
      <c r="C27" s="1259" t="s">
        <v>46</v>
      </c>
      <c r="D27" s="1260">
        <f>VLOOKUP(B27,'DSOAT-T1.2025'!B29:D107,3,0)</f>
        <v>4130200.0000000005</v>
      </c>
      <c r="E27" s="137">
        <f>VLOOKUP(B27,'DSOAT-T1.2025'!$B$11:$AJ$88,35,0)</f>
        <v>5793574</v>
      </c>
      <c r="F27" s="138">
        <f>VLOOKUP(B27,'DSOAT-T1.2025'!$B$11:$AQ$88,42,0)</f>
        <v>433671</v>
      </c>
      <c r="G27" s="138">
        <v>11000000</v>
      </c>
      <c r="H27" s="138">
        <f>VLOOKUP(B27,'[14]Thuế TNCN _T1'!$B$9:$H$90,7,0)</f>
        <v>1</v>
      </c>
      <c r="I27" s="138">
        <f t="shared" si="0"/>
        <v>4400000</v>
      </c>
      <c r="J27" s="138">
        <f t="shared" si="1"/>
        <v>0</v>
      </c>
      <c r="K27" s="1261">
        <f t="shared" si="2"/>
        <v>0</v>
      </c>
      <c r="L27" s="1262" t="e">
        <f>#REF!-#REF!</f>
        <v>#REF!</v>
      </c>
      <c r="R27" s="140">
        <f>IFERROR(VLOOKUP(B27,'[15]Bảng lương'!B$10:G$72,6,0),0)</f>
        <v>0</v>
      </c>
      <c r="S27" s="1262" t="e">
        <f>#REF!-R27</f>
        <v>#REF!</v>
      </c>
      <c r="X27" s="1263">
        <f>IFERROR(VLOOKUP(B27,'[16]BÀNG LƯƠNG THÁNG 8.2022'!$B$10:$G$74,6,0),0)</f>
        <v>29</v>
      </c>
      <c r="Y27" s="1262" t="e">
        <f>#REF!-X27</f>
        <v>#REF!</v>
      </c>
      <c r="AA27" s="1264">
        <f>IFERROR(VLOOKUP(B27,'[17]DSOAT-T8.2022'!B$10:AE$79,30,0),0)</f>
        <v>20642151.890824497</v>
      </c>
      <c r="AB27" s="1265">
        <f t="shared" si="3"/>
        <v>-14848577.890824497</v>
      </c>
      <c r="AC27" s="1264"/>
      <c r="AD27" s="1266">
        <f>IFERROR(VLOOKUP(B27,'[16]BẢNG LƯƠNG T10.2022'!$B$10:$G$78,6,0),0)</f>
        <v>29</v>
      </c>
      <c r="AE27" s="1262" t="e">
        <f>#REF!-AD27</f>
        <v>#REF!</v>
      </c>
    </row>
    <row r="28" spans="1:31" s="140" customFormat="1" ht="20.25" customHeight="1">
      <c r="A28" s="136">
        <v>21</v>
      </c>
      <c r="B28" s="1258" t="s">
        <v>49</v>
      </c>
      <c r="C28" s="1259" t="s">
        <v>50</v>
      </c>
      <c r="D28" s="1260">
        <f>VLOOKUP(B28,'DSOAT-T1.2025'!B30:D108,3,0)</f>
        <v>4130200.0000000005</v>
      </c>
      <c r="E28" s="137">
        <f>VLOOKUP(B28,'DSOAT-T1.2025'!$B$11:$AJ$88,35,0)</f>
        <v>15912229</v>
      </c>
      <c r="F28" s="138">
        <f>VLOOKUP(B28,'DSOAT-T1.2025'!$B$11:$AQ$88,42,0)</f>
        <v>433671</v>
      </c>
      <c r="G28" s="138">
        <v>11000000</v>
      </c>
      <c r="H28" s="138">
        <f>VLOOKUP(B28,'[14]Thuế TNCN _T1'!$B$9:$H$90,7,0)</f>
        <v>1</v>
      </c>
      <c r="I28" s="138">
        <f t="shared" si="0"/>
        <v>4400000</v>
      </c>
      <c r="J28" s="138">
        <f t="shared" si="1"/>
        <v>78558</v>
      </c>
      <c r="K28" s="1261">
        <f t="shared" si="2"/>
        <v>3928</v>
      </c>
      <c r="L28" s="1262" t="e">
        <f>#REF!-#REF!</f>
        <v>#REF!</v>
      </c>
      <c r="R28" s="140">
        <f>IFERROR(VLOOKUP(B28,'[15]Bảng lương'!B$10:G$72,6,0),0)</f>
        <v>26</v>
      </c>
      <c r="S28" s="1262" t="e">
        <f>#REF!-R28</f>
        <v>#REF!</v>
      </c>
      <c r="V28" s="140">
        <f>VLOOKUP(B28,'[16]khen thưởng T2'!$B$8:$E$234,4,0)</f>
        <v>3325150</v>
      </c>
      <c r="X28" s="1263">
        <f>IFERROR(VLOOKUP(B28,'[16]BÀNG LƯƠNG THÁNG 8.2022'!$B$10:$G$74,6,0),0)</f>
        <v>29</v>
      </c>
      <c r="Y28" s="1262" t="e">
        <f>#REF!-X28</f>
        <v>#REF!</v>
      </c>
      <c r="AA28" s="1264">
        <f>IFERROR(VLOOKUP(B28,'[17]DSOAT-T8.2022'!B$10:AE$79,30,0),0)</f>
        <v>24472875.848057795</v>
      </c>
      <c r="AB28" s="1265">
        <f t="shared" si="3"/>
        <v>-8560646.8480577953</v>
      </c>
      <c r="AC28" s="1264"/>
      <c r="AD28" s="1266">
        <f>IFERROR(VLOOKUP(B28,'[16]BẢNG LƯƠNG T10.2022'!$B$10:$G$78,6,0),0)</f>
        <v>27</v>
      </c>
      <c r="AE28" s="1262" t="e">
        <f>#REF!-AD28</f>
        <v>#REF!</v>
      </c>
    </row>
    <row r="29" spans="1:31" s="140" customFormat="1" ht="20.25" customHeight="1">
      <c r="A29" s="136">
        <v>22</v>
      </c>
      <c r="B29" s="1258" t="s">
        <v>51</v>
      </c>
      <c r="C29" s="1259" t="s">
        <v>52</v>
      </c>
      <c r="D29" s="1260">
        <f>VLOOKUP(B29,'DSOAT-T1.2025'!B31:D109,3,0)</f>
        <v>4130200.0000000005</v>
      </c>
      <c r="E29" s="137">
        <f>VLOOKUP(B29,'DSOAT-T1.2025'!$B$11:$AJ$88,35,0)</f>
        <v>7196396</v>
      </c>
      <c r="F29" s="138">
        <f>VLOOKUP(B29,'DSOAT-T1.2025'!$B$11:$AQ$88,42,0)</f>
        <v>433671</v>
      </c>
      <c r="G29" s="138">
        <v>11000000</v>
      </c>
      <c r="H29" s="138">
        <f>VLOOKUP(B29,'[14]Thuế TNCN _T1'!$B$9:$H$90,7,0)</f>
        <v>0</v>
      </c>
      <c r="I29" s="138">
        <f t="shared" si="0"/>
        <v>0</v>
      </c>
      <c r="J29" s="138">
        <f t="shared" si="1"/>
        <v>0</v>
      </c>
      <c r="K29" s="1261">
        <f t="shared" si="2"/>
        <v>0</v>
      </c>
      <c r="L29" s="1262" t="e">
        <f>#REF!-#REF!</f>
        <v>#REF!</v>
      </c>
      <c r="R29" s="140">
        <f>IFERROR(VLOOKUP(B29,'[15]Bảng lương'!B$10:G$72,6,0),0)</f>
        <v>26</v>
      </c>
      <c r="S29" s="1262" t="e">
        <f>#REF!-R29</f>
        <v>#REF!</v>
      </c>
      <c r="V29" s="140">
        <f>VLOOKUP(B29,'[16]khen thưởng T2'!$B$8:$E$234,4,0)</f>
        <v>2263700</v>
      </c>
      <c r="X29" s="1263">
        <f>IFERROR(VLOOKUP(B29,'[16]BÀNG LƯƠNG THÁNG 8.2022'!$B$10:$G$74,6,0),0)</f>
        <v>29</v>
      </c>
      <c r="Y29" s="1262" t="e">
        <f>#REF!-X29</f>
        <v>#REF!</v>
      </c>
      <c r="AA29" s="1264">
        <f>IFERROR(VLOOKUP(B29,'[17]DSOAT-T8.2022'!B$10:AE$79,30,0),0)</f>
        <v>21592392.286260609</v>
      </c>
      <c r="AB29" s="1265">
        <f t="shared" si="3"/>
        <v>-14395996.286260609</v>
      </c>
      <c r="AC29" s="1264"/>
      <c r="AD29" s="1266">
        <f>IFERROR(VLOOKUP(B29,'[16]BẢNG LƯƠNG T10.2022'!$B$10:$G$78,6,0),0)</f>
        <v>29</v>
      </c>
      <c r="AE29" s="1262" t="e">
        <f>#REF!-AD29</f>
        <v>#REF!</v>
      </c>
    </row>
    <row r="30" spans="1:31" s="140" customFormat="1" ht="20.25" customHeight="1">
      <c r="A30" s="136">
        <v>23</v>
      </c>
      <c r="B30" s="1258" t="s">
        <v>53</v>
      </c>
      <c r="C30" s="1267" t="s">
        <v>138</v>
      </c>
      <c r="D30" s="1260">
        <f>VLOOKUP(B30,'DSOAT-T1.2025'!B32:D110,3,0)</f>
        <v>4130200.0000000005</v>
      </c>
      <c r="E30" s="137">
        <f>VLOOKUP(B30,'DSOAT-T1.2025'!$B$11:$AJ$88,35,0)</f>
        <v>10353100</v>
      </c>
      <c r="F30" s="138">
        <f>VLOOKUP(B30,'DSOAT-T1.2025'!$B$11:$AQ$88,42,0)</f>
        <v>433671</v>
      </c>
      <c r="G30" s="138">
        <v>11000000</v>
      </c>
      <c r="H30" s="138">
        <f>VLOOKUP(B30,'[14]Thuế TNCN _T1'!$B$9:$H$90,7,0)</f>
        <v>2</v>
      </c>
      <c r="I30" s="138">
        <f t="shared" si="0"/>
        <v>8800000</v>
      </c>
      <c r="J30" s="138">
        <f t="shared" si="1"/>
        <v>0</v>
      </c>
      <c r="K30" s="1261">
        <f t="shared" si="2"/>
        <v>0</v>
      </c>
      <c r="L30" s="1262" t="e">
        <f>#REF!-#REF!</f>
        <v>#REF!</v>
      </c>
      <c r="R30" s="140">
        <f>IFERROR(VLOOKUP(B30,'[15]Bảng lương'!B$10:G$72,6,0),0)</f>
        <v>22.5</v>
      </c>
      <c r="S30" s="1262" t="e">
        <f>#REF!-R30</f>
        <v>#REF!</v>
      </c>
      <c r="V30" s="140">
        <f>VLOOKUP(B30,'[16]khen thưởng T2'!$B$8:$E$234,4,0)</f>
        <v>55000</v>
      </c>
      <c r="X30" s="1263">
        <f>IFERROR(VLOOKUP(B30,'[16]BÀNG LƯƠNG THÁNG 8.2022'!$B$10:$G$74,6,0),0)</f>
        <v>25</v>
      </c>
      <c r="Y30" s="1262" t="e">
        <f>#REF!-X30</f>
        <v>#REF!</v>
      </c>
      <c r="AA30" s="1264">
        <f>IFERROR(VLOOKUP(B30,'[17]DSOAT-T8.2022'!B$10:AE$79,30,0),0)</f>
        <v>17089892.874600962</v>
      </c>
      <c r="AB30" s="1265">
        <f t="shared" si="3"/>
        <v>-6736792.8746009618</v>
      </c>
      <c r="AC30" s="1264"/>
      <c r="AD30" s="1266">
        <f>IFERROR(VLOOKUP(B30,'[16]BẢNG LƯƠNG T10.2022'!$B$10:$G$78,6,0),0)</f>
        <v>23.5</v>
      </c>
      <c r="AE30" s="1262" t="e">
        <f>#REF!-AD30</f>
        <v>#REF!</v>
      </c>
    </row>
    <row r="31" spans="1:31" s="140" customFormat="1" ht="20.25" customHeight="1">
      <c r="A31" s="136">
        <v>24</v>
      </c>
      <c r="B31" s="1258" t="s">
        <v>59</v>
      </c>
      <c r="C31" s="1259" t="s">
        <v>60</v>
      </c>
      <c r="D31" s="1260">
        <f>VLOOKUP(B31,'DSOAT-T1.2025'!B33:D111,3,0)</f>
        <v>4130200.0000000005</v>
      </c>
      <c r="E31" s="137">
        <f>VLOOKUP(B31,'DSOAT-T1.2025'!$B$11:$AJ$88,35,0)</f>
        <v>14174897</v>
      </c>
      <c r="F31" s="138">
        <f>VLOOKUP(B31,'DSOAT-T1.2025'!$B$11:$AQ$88,42,0)</f>
        <v>433671</v>
      </c>
      <c r="G31" s="138">
        <v>11000000</v>
      </c>
      <c r="H31" s="138">
        <f>VLOOKUP(B31,'[14]Thuế TNCN _T1'!$B$9:$H$90,7,0)</f>
        <v>2</v>
      </c>
      <c r="I31" s="138">
        <f t="shared" si="0"/>
        <v>8800000</v>
      </c>
      <c r="J31" s="138">
        <f t="shared" si="1"/>
        <v>0</v>
      </c>
      <c r="K31" s="1261">
        <f t="shared" si="2"/>
        <v>0</v>
      </c>
      <c r="L31" s="1262" t="e">
        <f>#REF!-#REF!</f>
        <v>#REF!</v>
      </c>
      <c r="R31" s="140">
        <f>IFERROR(VLOOKUP(B31,'[15]Bảng lương'!B$10:G$72,6,0),0)</f>
        <v>22.5</v>
      </c>
      <c r="S31" s="1262" t="e">
        <f>#REF!-R31</f>
        <v>#REF!</v>
      </c>
      <c r="V31" s="140">
        <f>VLOOKUP(B31,'[16]khen thưởng T2'!$B$8:$E$234,4,0)</f>
        <v>1272700</v>
      </c>
      <c r="X31" s="1263">
        <f>IFERROR(VLOOKUP(B31,'[16]BÀNG LƯƠNG THÁNG 8.2022'!$B$10:$G$74,6,0),0)</f>
        <v>25</v>
      </c>
      <c r="Y31" s="1262" t="e">
        <f>#REF!-X31</f>
        <v>#REF!</v>
      </c>
      <c r="AA31" s="1264">
        <f>IFERROR(VLOOKUP(B31,'[17]DSOAT-T8.2022'!B$10:AE$79,30,0),0)</f>
        <v>17791760.886930805</v>
      </c>
      <c r="AB31" s="1265">
        <f t="shared" si="3"/>
        <v>-3616863.8869308047</v>
      </c>
      <c r="AC31" s="1264"/>
      <c r="AD31" s="1266">
        <f>IFERROR(VLOOKUP(B31,'[16]BẢNG LƯƠNG T10.2022'!$B$10:$G$78,6,0),0)</f>
        <v>23.5</v>
      </c>
      <c r="AE31" s="1262" t="e">
        <f>#REF!-AD31</f>
        <v>#REF!</v>
      </c>
    </row>
    <row r="32" spans="1:31" s="140" customFormat="1" ht="20.25" customHeight="1">
      <c r="A32" s="136">
        <v>25</v>
      </c>
      <c r="B32" s="1258" t="s">
        <v>158</v>
      </c>
      <c r="C32" s="1259" t="s">
        <v>146</v>
      </c>
      <c r="D32" s="1260">
        <f>VLOOKUP(B32,'DSOAT-T1.2025'!B34:D112,3,0)</f>
        <v>4130200.0000000005</v>
      </c>
      <c r="E32" s="137">
        <f>VLOOKUP(B32,'DSOAT-T1.2025'!$B$11:$AJ$88,35,0)</f>
        <v>9386046</v>
      </c>
      <c r="F32" s="138">
        <f>VLOOKUP(B32,'DSOAT-T1.2025'!$B$11:$AQ$88,42,0)</f>
        <v>433671</v>
      </c>
      <c r="G32" s="138">
        <v>11000000</v>
      </c>
      <c r="H32" s="138">
        <f>VLOOKUP(B32,'[14]Thuế TNCN _T1'!$B$9:$H$90,7,0)</f>
        <v>0</v>
      </c>
      <c r="I32" s="138">
        <f t="shared" si="0"/>
        <v>0</v>
      </c>
      <c r="J32" s="138">
        <f t="shared" si="1"/>
        <v>0</v>
      </c>
      <c r="K32" s="1261">
        <f t="shared" si="2"/>
        <v>0</v>
      </c>
      <c r="L32" s="1262" t="e">
        <f>#REF!-#REF!</f>
        <v>#REF!</v>
      </c>
      <c r="R32" s="140">
        <f>IFERROR(VLOOKUP(B32,'[15]Bảng lương'!B$10:G$72,6,0),0)</f>
        <v>22.5</v>
      </c>
      <c r="S32" s="1262" t="e">
        <f>#REF!-R32</f>
        <v>#REF!</v>
      </c>
      <c r="V32" s="140">
        <f>VLOOKUP(B32,'[16]khen thưởng T2'!$B$8:$E$234,4,0)</f>
        <v>375500</v>
      </c>
      <c r="X32" s="1263">
        <f>IFERROR(VLOOKUP(B32,'[16]BÀNG LƯƠNG THÁNG 8.2022'!$B$10:$G$74,6,0),0)</f>
        <v>25</v>
      </c>
      <c r="Y32" s="1262" t="e">
        <f>#REF!-X32</f>
        <v>#REF!</v>
      </c>
      <c r="AA32" s="1264">
        <f>IFERROR(VLOOKUP(B32,'[17]DSOAT-T8.2022'!B$10:AE$79,30,0),0)</f>
        <v>26180481.689201277</v>
      </c>
      <c r="AB32" s="1265">
        <f t="shared" si="3"/>
        <v>-16794435.689201277</v>
      </c>
      <c r="AC32" s="1264"/>
      <c r="AD32" s="1266">
        <f>IFERROR(VLOOKUP(B32,'[16]BẢNG LƯƠNG T10.2022'!$B$10:$G$78,6,0),0)</f>
        <v>23.5</v>
      </c>
      <c r="AE32" s="1262" t="e">
        <f>#REF!-AD32</f>
        <v>#REF!</v>
      </c>
    </row>
    <row r="33" spans="1:31" s="140" customFormat="1" ht="20.25" customHeight="1">
      <c r="A33" s="136">
        <v>26</v>
      </c>
      <c r="B33" s="1258" t="s">
        <v>159</v>
      </c>
      <c r="C33" s="1259" t="s">
        <v>147</v>
      </c>
      <c r="D33" s="1260">
        <f>VLOOKUP(B33,'DSOAT-T1.2025'!B35:D113,3,0)</f>
        <v>4130200.0000000005</v>
      </c>
      <c r="E33" s="137">
        <f>VLOOKUP(B33,'DSOAT-T1.2025'!$B$11:$AJ$88,35,0)</f>
        <v>13520690</v>
      </c>
      <c r="F33" s="138">
        <f>VLOOKUP(B33,'DSOAT-T1.2025'!$B$11:$AQ$88,42,0)</f>
        <v>433671</v>
      </c>
      <c r="G33" s="138">
        <v>11000000</v>
      </c>
      <c r="H33" s="138">
        <f>VLOOKUP(B33,'[14]Thuế TNCN _T1'!$B$9:$H$90,7,0)</f>
        <v>4</v>
      </c>
      <c r="I33" s="138">
        <f t="shared" si="0"/>
        <v>17600000</v>
      </c>
      <c r="J33" s="138">
        <f t="shared" si="1"/>
        <v>0</v>
      </c>
      <c r="K33" s="1261">
        <f t="shared" si="2"/>
        <v>0</v>
      </c>
      <c r="L33" s="1262" t="e">
        <f>#REF!-#REF!</f>
        <v>#REF!</v>
      </c>
      <c r="R33" s="140">
        <f>IFERROR(VLOOKUP(B33,'[15]Bảng lương'!B$10:G$72,6,0),0)</f>
        <v>22.5</v>
      </c>
      <c r="S33" s="1262" t="e">
        <f>#REF!-R33</f>
        <v>#REF!</v>
      </c>
      <c r="V33" s="140">
        <f>VLOOKUP(B33,'[16]khen thưởng T2'!$B$8:$E$234,4,0)</f>
        <v>3635710</v>
      </c>
      <c r="X33" s="1263">
        <f>IFERROR(VLOOKUP(B33,'[16]BÀNG LƯƠNG THÁNG 8.2022'!$B$10:$G$74,6,0),0)</f>
        <v>25</v>
      </c>
      <c r="Y33" s="1262" t="e">
        <f>#REF!-X33</f>
        <v>#REF!</v>
      </c>
      <c r="AA33" s="1264">
        <f>IFERROR(VLOOKUP(B33,'[17]DSOAT-T8.2022'!B$10:AE$79,30,0),0)</f>
        <v>33121618.612560231</v>
      </c>
      <c r="AB33" s="1265">
        <f t="shared" si="3"/>
        <v>-19600928.612560231</v>
      </c>
      <c r="AC33" s="1264"/>
      <c r="AD33" s="1266">
        <f>IFERROR(VLOOKUP(B33,'[16]BẢNG LƯƠNG T10.2022'!$B$10:$G$78,6,0),0)</f>
        <v>25.5</v>
      </c>
      <c r="AE33" s="1262" t="e">
        <f>#REF!-AD33</f>
        <v>#REF!</v>
      </c>
    </row>
    <row r="34" spans="1:31" s="140" customFormat="1" ht="20.25" customHeight="1">
      <c r="A34" s="136">
        <v>27</v>
      </c>
      <c r="B34" s="1258" t="s">
        <v>64</v>
      </c>
      <c r="C34" s="1259" t="s">
        <v>65</v>
      </c>
      <c r="D34" s="1260">
        <f>VLOOKUP(B34,'DSOAT-T1.2025'!B36:D114,3,0)</f>
        <v>3691500</v>
      </c>
      <c r="E34" s="137">
        <f>VLOOKUP(B34,'DSOAT-T1.2025'!$B$11:$AJ$88,35,0)</f>
        <v>5836668</v>
      </c>
      <c r="F34" s="138">
        <f>VLOOKUP(B34,'DSOAT-T1.2025'!$B$11:$AQ$88,42,0)</f>
        <v>387608</v>
      </c>
      <c r="G34" s="138">
        <v>11000000</v>
      </c>
      <c r="H34" s="138">
        <f>VLOOKUP(B34,'[14]Thuế TNCN _T1'!$B$9:$H$90,7,0)</f>
        <v>0</v>
      </c>
      <c r="I34" s="138">
        <f t="shared" si="0"/>
        <v>0</v>
      </c>
      <c r="J34" s="138">
        <f t="shared" si="1"/>
        <v>0</v>
      </c>
      <c r="K34" s="1261">
        <f t="shared" si="2"/>
        <v>0</v>
      </c>
      <c r="L34" s="1262" t="e">
        <f>#REF!-#REF!</f>
        <v>#REF!</v>
      </c>
      <c r="R34" s="140">
        <f>IFERROR(VLOOKUP(B34,'[15]Bảng lương'!B$10:G$72,6,0),0)</f>
        <v>25</v>
      </c>
      <c r="S34" s="1262" t="e">
        <f>#REF!-R34</f>
        <v>#REF!</v>
      </c>
      <c r="V34" s="140">
        <f>VLOOKUP(B34,'[16]khen thưởng T2'!$B$8:$E$234,4,0)</f>
        <v>1738900</v>
      </c>
      <c r="X34" s="1263">
        <f>IFERROR(VLOOKUP(B34,'[16]BÀNG LƯƠNG THÁNG 8.2022'!$B$10:$G$74,6,0),0)</f>
        <v>27</v>
      </c>
      <c r="Y34" s="1262" t="e">
        <f>#REF!-X34</f>
        <v>#REF!</v>
      </c>
      <c r="AA34" s="1264">
        <f>IFERROR(VLOOKUP(B34,'[17]DSOAT-T8.2022'!B$10:AE$79,30,0),0)</f>
        <v>14001622.238354815</v>
      </c>
      <c r="AB34" s="1265">
        <f t="shared" si="3"/>
        <v>-8164954.2383548152</v>
      </c>
      <c r="AC34" s="1264"/>
      <c r="AD34" s="1266">
        <f>IFERROR(VLOOKUP(B34,'[16]BẢNG LƯƠNG T10.2022'!$B$10:$G$78,6,0),0)</f>
        <v>26</v>
      </c>
      <c r="AE34" s="1262" t="e">
        <f>#REF!-AD34</f>
        <v>#REF!</v>
      </c>
    </row>
    <row r="35" spans="1:31" s="140" customFormat="1" ht="20.25" customHeight="1">
      <c r="A35" s="136">
        <v>28</v>
      </c>
      <c r="B35" s="1258" t="s">
        <v>66</v>
      </c>
      <c r="C35" s="1259" t="s">
        <v>67</v>
      </c>
      <c r="D35" s="1260">
        <f>VLOOKUP(B35,'DSOAT-T1.2025'!B37:D115,3,0)</f>
        <v>3691500</v>
      </c>
      <c r="E35" s="137">
        <f>VLOOKUP(B35,'DSOAT-T1.2025'!$B$11:$AJ$88,35,0)</f>
        <v>8688870</v>
      </c>
      <c r="F35" s="138">
        <f>VLOOKUP(B35,'DSOAT-T1.2025'!$B$11:$AQ$88,42,0)</f>
        <v>387608</v>
      </c>
      <c r="G35" s="138">
        <v>11000000</v>
      </c>
      <c r="H35" s="138">
        <f>VLOOKUP(B35,'[14]Thuế TNCN _T1'!$B$9:$H$90,7,0)</f>
        <v>1</v>
      </c>
      <c r="I35" s="138">
        <f t="shared" si="0"/>
        <v>4400000</v>
      </c>
      <c r="J35" s="138">
        <f t="shared" si="1"/>
        <v>0</v>
      </c>
      <c r="K35" s="1261">
        <f t="shared" si="2"/>
        <v>0</v>
      </c>
      <c r="L35" s="1262" t="e">
        <f>#REF!-#REF!</f>
        <v>#REF!</v>
      </c>
      <c r="R35" s="140">
        <f>IFERROR(VLOOKUP(B35,'[15]Bảng lương'!B$10:G$72,6,0),0)</f>
        <v>22.5</v>
      </c>
      <c r="S35" s="1262" t="e">
        <f>#REF!-R35</f>
        <v>#REF!</v>
      </c>
      <c r="V35" s="140">
        <f>VLOOKUP(B35,'[16]khen thưởng T2'!$B$8:$E$234,4,0)</f>
        <v>230000</v>
      </c>
      <c r="X35" s="1263">
        <f>IFERROR(VLOOKUP(B35,'[16]BÀNG LƯƠNG THÁNG 8.2022'!$B$10:$G$74,6,0),0)</f>
        <v>25</v>
      </c>
      <c r="Y35" s="1262" t="e">
        <f>#REF!-X35</f>
        <v>#REF!</v>
      </c>
      <c r="AA35" s="1264">
        <f>IFERROR(VLOOKUP(B35,'[17]DSOAT-T8.2022'!B$10:AE$79,30,0),0)</f>
        <v>14347563.880569607</v>
      </c>
      <c r="AB35" s="1265">
        <f t="shared" si="3"/>
        <v>-5658693.880569607</v>
      </c>
      <c r="AC35" s="1264"/>
      <c r="AD35" s="1266">
        <f>IFERROR(VLOOKUP(B35,'[16]BẢNG LƯƠNG T10.2022'!$B$10:$G$78,6,0),0)</f>
        <v>23.5</v>
      </c>
      <c r="AE35" s="1262" t="e">
        <f>#REF!-AD35</f>
        <v>#REF!</v>
      </c>
    </row>
    <row r="36" spans="1:31" s="140" customFormat="1" ht="20.25" customHeight="1">
      <c r="A36" s="136">
        <v>29</v>
      </c>
      <c r="B36" s="1258" t="s">
        <v>160</v>
      </c>
      <c r="C36" s="1259" t="s">
        <v>148</v>
      </c>
      <c r="D36" s="1260">
        <f>VLOOKUP(B36,'DSOAT-T1.2025'!B38:D116,3,0)</f>
        <v>3691500</v>
      </c>
      <c r="E36" s="137">
        <f>VLOOKUP(B36,'DSOAT-T1.2025'!$B$11:$AJ$88,35,0)</f>
        <v>13454648</v>
      </c>
      <c r="F36" s="138">
        <f>VLOOKUP(B36,'DSOAT-T1.2025'!$B$11:$AQ$88,42,0)</f>
        <v>387608</v>
      </c>
      <c r="G36" s="138">
        <v>11000000</v>
      </c>
      <c r="H36" s="138">
        <f>VLOOKUP(B36,'[14]Thuế TNCN _T1'!$B$9:$H$90,7,0)</f>
        <v>2</v>
      </c>
      <c r="I36" s="138">
        <f t="shared" si="0"/>
        <v>8800000</v>
      </c>
      <c r="J36" s="138">
        <f t="shared" si="1"/>
        <v>0</v>
      </c>
      <c r="K36" s="1261">
        <f t="shared" si="2"/>
        <v>0</v>
      </c>
      <c r="L36" s="1262" t="e">
        <f>#REF!-#REF!</f>
        <v>#REF!</v>
      </c>
      <c r="R36" s="140">
        <f>IFERROR(VLOOKUP(B36,'[15]Bảng lương'!B$10:G$72,6,0),0)</f>
        <v>24</v>
      </c>
      <c r="S36" s="1262" t="e">
        <f>#REF!-R36</f>
        <v>#REF!</v>
      </c>
      <c r="V36" s="140">
        <f>VLOOKUP(B36,'[16]khen thưởng T2'!$B$8:$E$234,4,0)</f>
        <v>1462900</v>
      </c>
      <c r="X36" s="1263">
        <f>IFERROR(VLOOKUP(B36,'[16]BÀNG LƯƠNG THÁNG 8.2022'!$B$10:$G$74,6,0),0)</f>
        <v>25</v>
      </c>
      <c r="Y36" s="1262" t="e">
        <f>#REF!-X36</f>
        <v>#REF!</v>
      </c>
      <c r="AA36" s="1264">
        <f>IFERROR(VLOOKUP(B36,'[17]DSOAT-T8.2022'!B$10:AE$79,30,0),0)</f>
        <v>26198100.374509539</v>
      </c>
      <c r="AB36" s="1265">
        <f t="shared" si="3"/>
        <v>-12743452.374509539</v>
      </c>
      <c r="AC36" s="1264"/>
      <c r="AD36" s="1266">
        <f>IFERROR(VLOOKUP(B36,'[16]BẢNG LƯƠNG T10.2022'!$B$10:$G$78,6,0),0)</f>
        <v>24.5</v>
      </c>
      <c r="AE36" s="1262" t="e">
        <f>#REF!-AD36</f>
        <v>#REF!</v>
      </c>
    </row>
    <row r="37" spans="1:31" s="140" customFormat="1" ht="20.25" customHeight="1">
      <c r="A37" s="136">
        <v>30</v>
      </c>
      <c r="B37" s="1258" t="s">
        <v>171</v>
      </c>
      <c r="C37" s="1269" t="s">
        <v>168</v>
      </c>
      <c r="D37" s="1260">
        <f>VLOOKUP(B37,'DSOAT-T1.2025'!B39:D117,3,0)</f>
        <v>3691500</v>
      </c>
      <c r="E37" s="137">
        <f>VLOOKUP(B37,'DSOAT-T1.2025'!$B$11:$AJ$88,35,0)</f>
        <v>11446304</v>
      </c>
      <c r="F37" s="138">
        <f>VLOOKUP(B37,'DSOAT-T1.2025'!$B$11:$AQ$88,42,0)</f>
        <v>387608</v>
      </c>
      <c r="G37" s="138">
        <v>11000000</v>
      </c>
      <c r="H37" s="138">
        <f>VLOOKUP(B37,'[14]Thuế TNCN _T1'!$B$9:$H$90,7,0)</f>
        <v>0</v>
      </c>
      <c r="I37" s="138">
        <f t="shared" si="0"/>
        <v>0</v>
      </c>
      <c r="J37" s="138">
        <f t="shared" si="1"/>
        <v>58696</v>
      </c>
      <c r="K37" s="1261">
        <f t="shared" si="2"/>
        <v>2935</v>
      </c>
      <c r="L37" s="1262" t="e">
        <f>#REF!-#REF!</f>
        <v>#REF!</v>
      </c>
      <c r="R37" s="140">
        <f>IFERROR(VLOOKUP(B37,'[15]Bảng lương'!B$10:G$72,6,0),0)</f>
        <v>24</v>
      </c>
      <c r="S37" s="1262" t="e">
        <f>#REF!-R37</f>
        <v>#REF!</v>
      </c>
      <c r="V37" s="140">
        <f>VLOOKUP(B37,'[16]khen thưởng T2'!$B$8:$E$234,4,0)</f>
        <v>274650</v>
      </c>
      <c r="X37" s="1263">
        <f>IFERROR(VLOOKUP(B37,'[16]BÀNG LƯƠNG THÁNG 8.2022'!$B$10:$G$74,6,0),0)</f>
        <v>25</v>
      </c>
      <c r="Y37" s="1262" t="e">
        <f>#REF!-X37</f>
        <v>#REF!</v>
      </c>
      <c r="AA37" s="1264">
        <f>IFERROR(VLOOKUP(B37,'[17]DSOAT-T8.2022'!B$10:AE$79,30,0),0)</f>
        <v>18668229.820321828</v>
      </c>
      <c r="AB37" s="1265">
        <f t="shared" si="3"/>
        <v>-7221925.8203218281</v>
      </c>
      <c r="AC37" s="1264"/>
      <c r="AD37" s="1266">
        <f>IFERROR(VLOOKUP(B37,'[16]BẢNG LƯƠNG T10.2022'!$B$10:$G$78,6,0),0)</f>
        <v>24.5</v>
      </c>
      <c r="AE37" s="1262" t="e">
        <f>#REF!-AD37</f>
        <v>#REF!</v>
      </c>
    </row>
    <row r="38" spans="1:31" s="140" customFormat="1" ht="20.25" customHeight="1">
      <c r="A38" s="136">
        <v>31</v>
      </c>
      <c r="B38" s="1258" t="s">
        <v>68</v>
      </c>
      <c r="C38" s="1269" t="s">
        <v>69</v>
      </c>
      <c r="D38" s="1260">
        <f>VLOOKUP(B38,'DSOAT-T1.2025'!B40:D118,3,0)</f>
        <v>3691500</v>
      </c>
      <c r="E38" s="137">
        <f>VLOOKUP(B38,'DSOAT-T1.2025'!$B$11:$AJ$88,35,0)</f>
        <v>9214188</v>
      </c>
      <c r="F38" s="138">
        <f>VLOOKUP(B38,'DSOAT-T1.2025'!$B$11:$AQ$88,42,0)</f>
        <v>387608</v>
      </c>
      <c r="G38" s="138">
        <v>11000000</v>
      </c>
      <c r="H38" s="138">
        <f>VLOOKUP(B38,'[14]Thuế TNCN _T1'!$B$9:$H$90,7,0)</f>
        <v>0</v>
      </c>
      <c r="I38" s="138">
        <f t="shared" si="0"/>
        <v>0</v>
      </c>
      <c r="J38" s="138">
        <f t="shared" si="1"/>
        <v>0</v>
      </c>
      <c r="K38" s="1261">
        <f t="shared" si="2"/>
        <v>0</v>
      </c>
      <c r="L38" s="1262" t="e">
        <f>#REF!-#REF!</f>
        <v>#REF!</v>
      </c>
      <c r="R38" s="140">
        <f>IFERROR(VLOOKUP(B38,'[15]Bảng lương'!B$10:G$72,6,0),0)</f>
        <v>22.5</v>
      </c>
      <c r="S38" s="1262" t="e">
        <f>#REF!-R38</f>
        <v>#REF!</v>
      </c>
      <c r="V38" s="140">
        <f>VLOOKUP(B38,'[16]khen thưởng T2'!$B$8:$E$234,4,0)</f>
        <v>115000</v>
      </c>
      <c r="X38" s="1263">
        <f>IFERROR(VLOOKUP(B38,'[16]BÀNG LƯƠNG THÁNG 8.2022'!$B$10:$G$74,6,0),0)</f>
        <v>25</v>
      </c>
      <c r="Y38" s="1262" t="e">
        <f>#REF!-X38</f>
        <v>#REF!</v>
      </c>
      <c r="AA38" s="1264">
        <f>IFERROR(VLOOKUP(B38,'[17]DSOAT-T8.2022'!B$10:AE$79,30,0),0)</f>
        <v>19759861.299436502</v>
      </c>
      <c r="AB38" s="1265">
        <f t="shared" si="3"/>
        <v>-10545673.299436502</v>
      </c>
      <c r="AC38" s="1264"/>
      <c r="AD38" s="1266">
        <f>IFERROR(VLOOKUP(B38,'[16]BẢNG LƯƠNG T10.2022'!$B$10:$G$78,6,0),0)</f>
        <v>23.5</v>
      </c>
      <c r="AE38" s="1262" t="e">
        <f>#REF!-AD38</f>
        <v>#REF!</v>
      </c>
    </row>
    <row r="39" spans="1:31" s="140" customFormat="1" ht="20.25" customHeight="1">
      <c r="A39" s="136">
        <v>32</v>
      </c>
      <c r="B39" s="1258" t="s">
        <v>71</v>
      </c>
      <c r="C39" s="1259" t="s">
        <v>72</v>
      </c>
      <c r="D39" s="1260">
        <f>VLOOKUP(B39,'DSOAT-T1.2025'!B41:D119,3,0)</f>
        <v>3691500</v>
      </c>
      <c r="E39" s="137">
        <f>VLOOKUP(B39,'DSOAT-T1.2025'!$B$11:$AJ$88,35,0)</f>
        <v>17226382</v>
      </c>
      <c r="F39" s="138">
        <f>VLOOKUP(B39,'DSOAT-T1.2025'!$B$11:$AQ$88,42,0)</f>
        <v>387608</v>
      </c>
      <c r="G39" s="138">
        <v>11000000</v>
      </c>
      <c r="H39" s="138">
        <f>VLOOKUP(B39,'[14]Thuế TNCN _T1'!$B$9:$H$90,7,0)</f>
        <v>1</v>
      </c>
      <c r="I39" s="138">
        <f t="shared" si="0"/>
        <v>4400000</v>
      </c>
      <c r="J39" s="138">
        <f t="shared" si="1"/>
        <v>1438774</v>
      </c>
      <c r="K39" s="1261">
        <f t="shared" si="2"/>
        <v>71939</v>
      </c>
      <c r="L39" s="1262" t="e">
        <f>#REF!-#REF!</f>
        <v>#REF!</v>
      </c>
      <c r="R39" s="140">
        <f>IFERROR(VLOOKUP(B39,'[15]Bảng lương'!B$10:G$72,6,0),0)</f>
        <v>22.5</v>
      </c>
      <c r="S39" s="1262" t="e">
        <f>#REF!-R39</f>
        <v>#REF!</v>
      </c>
      <c r="V39" s="140">
        <f>VLOOKUP(B39,'[16]khen thưởng T2'!$B$8:$E$234,4,0)</f>
        <v>1369500</v>
      </c>
      <c r="X39" s="1263">
        <f>IFERROR(VLOOKUP(B39,'[16]BÀNG LƯƠNG THÁNG 8.2022'!$B$10:$G$74,6,0),0)</f>
        <v>25</v>
      </c>
      <c r="Y39" s="1262" t="e">
        <f>#REF!-X39</f>
        <v>#REF!</v>
      </c>
      <c r="AA39" s="1264">
        <f>IFERROR(VLOOKUP(B39,'[17]DSOAT-T8.2022'!B$10:AE$79,30,0),0)</f>
        <v>15192196.381850004</v>
      </c>
      <c r="AB39" s="1265">
        <f t="shared" si="3"/>
        <v>2034185.6181499958</v>
      </c>
      <c r="AC39" s="1264"/>
      <c r="AD39" s="1266">
        <f>IFERROR(VLOOKUP(B39,'[16]BẢNG LƯƠNG T10.2022'!$B$10:$G$78,6,0),0)</f>
        <v>23.5</v>
      </c>
      <c r="AE39" s="1262" t="e">
        <f>#REF!-AD39</f>
        <v>#REF!</v>
      </c>
    </row>
    <row r="40" spans="1:31" s="140" customFormat="1" ht="20.25" customHeight="1">
      <c r="A40" s="136">
        <v>33</v>
      </c>
      <c r="B40" s="1258" t="s">
        <v>73</v>
      </c>
      <c r="C40" s="1259" t="s">
        <v>74</v>
      </c>
      <c r="D40" s="1260">
        <f>VLOOKUP(B40,'DSOAT-T1.2025'!B42:D120,3,0)</f>
        <v>3691500</v>
      </c>
      <c r="E40" s="137">
        <f>VLOOKUP(B40,'DSOAT-T1.2025'!$B$11:$AJ$88,35,0)</f>
        <v>7715360</v>
      </c>
      <c r="F40" s="138">
        <f>VLOOKUP(B40,'DSOAT-T1.2025'!$B$11:$AQ$88,42,0)</f>
        <v>387608</v>
      </c>
      <c r="G40" s="138">
        <v>11000000</v>
      </c>
      <c r="H40" s="138">
        <f>VLOOKUP(B40,'[14]Thuế TNCN _T1'!$B$9:$H$90,7,0)</f>
        <v>1</v>
      </c>
      <c r="I40" s="138">
        <f t="shared" si="0"/>
        <v>4400000</v>
      </c>
      <c r="J40" s="138">
        <f t="shared" si="1"/>
        <v>0</v>
      </c>
      <c r="K40" s="1261">
        <f t="shared" si="2"/>
        <v>0</v>
      </c>
      <c r="L40" s="1262" t="e">
        <f>#REF!-#REF!</f>
        <v>#REF!</v>
      </c>
      <c r="R40" s="140">
        <f>IFERROR(VLOOKUP(B40,'[15]Bảng lương'!B$10:G$72,6,0),0)</f>
        <v>22.5</v>
      </c>
      <c r="S40" s="1262" t="e">
        <f>#REF!-R40</f>
        <v>#REF!</v>
      </c>
      <c r="V40" s="140">
        <f>VLOOKUP(B40,'[16]khen thưởng T2'!$B$8:$E$234,4,0)</f>
        <v>340000</v>
      </c>
      <c r="X40" s="1263">
        <f>IFERROR(VLOOKUP(B40,'[16]BÀNG LƯƠNG THÁNG 8.2022'!$B$10:$G$74,6,0),0)</f>
        <v>25</v>
      </c>
      <c r="Y40" s="1262" t="e">
        <f>#REF!-X40</f>
        <v>#REF!</v>
      </c>
      <c r="AA40" s="1264">
        <f>IFERROR(VLOOKUP(B40,'[17]DSOAT-T8.2022'!B$10:AE$79,30,0),0)</f>
        <v>17960262.351378683</v>
      </c>
      <c r="AB40" s="1265">
        <f t="shared" si="3"/>
        <v>-10244902.351378683</v>
      </c>
      <c r="AC40" s="1264"/>
      <c r="AD40" s="1266">
        <f>IFERROR(VLOOKUP(B40,'[16]BẢNG LƯƠNG T10.2022'!$B$10:$G$78,6,0),0)</f>
        <v>23.5</v>
      </c>
      <c r="AE40" s="1262" t="e">
        <f>#REF!-AD40</f>
        <v>#REF!</v>
      </c>
    </row>
    <row r="41" spans="1:31" s="140" customFormat="1" ht="20.25" customHeight="1">
      <c r="A41" s="136">
        <v>34</v>
      </c>
      <c r="B41" s="1258" t="s">
        <v>166</v>
      </c>
      <c r="C41" s="1259" t="s">
        <v>149</v>
      </c>
      <c r="D41" s="1260">
        <f>VLOOKUP(B41,'DSOAT-T1.2025'!B43:D121,3,0)</f>
        <v>3691500</v>
      </c>
      <c r="E41" s="137">
        <f>VLOOKUP(B41,'DSOAT-T1.2025'!$B$11:$AJ$88,35,0)</f>
        <v>14315737</v>
      </c>
      <c r="F41" s="138">
        <f>VLOOKUP(B41,'DSOAT-T1.2025'!$B$11:$AQ$88,42,0)</f>
        <v>387608</v>
      </c>
      <c r="G41" s="138">
        <v>11000000</v>
      </c>
      <c r="H41" s="138">
        <f>VLOOKUP(B41,'[14]Thuế TNCN _T1'!$B$9:$H$90,7,0)</f>
        <v>0</v>
      </c>
      <c r="I41" s="138">
        <f t="shared" si="0"/>
        <v>0</v>
      </c>
      <c r="J41" s="138">
        <f t="shared" si="1"/>
        <v>2928129</v>
      </c>
      <c r="K41" s="1261">
        <f t="shared" si="2"/>
        <v>146406</v>
      </c>
      <c r="L41" s="1262" t="e">
        <f>#REF!-#REF!</f>
        <v>#REF!</v>
      </c>
      <c r="R41" s="140">
        <f>IFERROR(VLOOKUP(B41,'[15]Bảng lương'!B$10:G$72,6,0),0)</f>
        <v>22.5</v>
      </c>
      <c r="S41" s="1262" t="e">
        <f>#REF!-R41</f>
        <v>#REF!</v>
      </c>
      <c r="V41" s="140">
        <f>VLOOKUP(B41,'[16]khen thưởng T2'!$B$8:$E$234,4,0)</f>
        <v>2568700</v>
      </c>
      <c r="X41" s="1263">
        <f>IFERROR(VLOOKUP(B41,'[16]BÀNG LƯƠNG THÁNG 8.2022'!$B$10:$G$74,6,0),0)</f>
        <v>25</v>
      </c>
      <c r="Y41" s="1262" t="e">
        <f>#REF!-X41</f>
        <v>#REF!</v>
      </c>
      <c r="AA41" s="1264">
        <f>IFERROR(VLOOKUP(B41,'[17]DSOAT-T8.2022'!B$10:AE$79,30,0),0)</f>
        <v>22626809.779382072</v>
      </c>
      <c r="AB41" s="1265">
        <f t="shared" si="3"/>
        <v>-8311072.7793820724</v>
      </c>
      <c r="AC41" s="1264"/>
      <c r="AD41" s="1266">
        <f>IFERROR(VLOOKUP(B41,'[16]BẢNG LƯƠNG T10.2022'!$B$10:$G$78,6,0),0)</f>
        <v>23.5</v>
      </c>
      <c r="AE41" s="1262" t="e">
        <f>#REF!-AD41</f>
        <v>#REF!</v>
      </c>
    </row>
    <row r="42" spans="1:31" s="140" customFormat="1" ht="20.25" customHeight="1">
      <c r="A42" s="136">
        <v>35</v>
      </c>
      <c r="B42" s="1270" t="s">
        <v>162</v>
      </c>
      <c r="C42" s="1269" t="s">
        <v>150</v>
      </c>
      <c r="D42" s="1260">
        <f>VLOOKUP(B42,'DSOAT-T1.2025'!B44:D122,3,0)</f>
        <v>3691500</v>
      </c>
      <c r="E42" s="137">
        <f>VLOOKUP(B42,'DSOAT-T1.2025'!$B$11:$AJ$88,35,0)</f>
        <v>10048562</v>
      </c>
      <c r="F42" s="138">
        <f>VLOOKUP(B42,'DSOAT-T1.2025'!$B$11:$AQ$88,42,0)</f>
        <v>387608</v>
      </c>
      <c r="G42" s="138">
        <v>11000000</v>
      </c>
      <c r="H42" s="138">
        <f>VLOOKUP(B42,'[14]Thuế TNCN _T1'!$B$9:$H$90,7,0)</f>
        <v>0</v>
      </c>
      <c r="I42" s="138">
        <f t="shared" si="0"/>
        <v>0</v>
      </c>
      <c r="J42" s="138">
        <f t="shared" si="1"/>
        <v>0</v>
      </c>
      <c r="K42" s="1261">
        <f t="shared" si="2"/>
        <v>0</v>
      </c>
      <c r="L42" s="1262" t="e">
        <f>#REF!-#REF!</f>
        <v>#REF!</v>
      </c>
      <c r="R42" s="140">
        <f>IFERROR(VLOOKUP(B42,'[15]Bảng lương'!B$10:G$72,6,0),0)</f>
        <v>22.5</v>
      </c>
      <c r="S42" s="1262" t="e">
        <f>#REF!-R42</f>
        <v>#REF!</v>
      </c>
      <c r="V42" s="140">
        <f>VLOOKUP(B42,'[16]khen thưởng T2'!$B$8:$E$234,4,0)</f>
        <v>543400</v>
      </c>
      <c r="X42" s="1263">
        <f>IFERROR(VLOOKUP(B42,'[16]BÀNG LƯƠNG THÁNG 8.2022'!$B$10:$G$74,6,0),0)</f>
        <v>25</v>
      </c>
      <c r="Y42" s="1262" t="e">
        <f>#REF!-X42</f>
        <v>#REF!</v>
      </c>
      <c r="AA42" s="1264">
        <f>IFERROR(VLOOKUP(B42,'[17]DSOAT-T8.2022'!B$10:AE$79,30,0),0)</f>
        <v>23955627.634507284</v>
      </c>
      <c r="AB42" s="1265">
        <f t="shared" si="3"/>
        <v>-13907065.634507284</v>
      </c>
      <c r="AC42" s="1264"/>
      <c r="AD42" s="1266">
        <f>IFERROR(VLOOKUP(B42,'[16]BẢNG LƯƠNG T10.2022'!$B$10:$G$78,6,0),0)</f>
        <v>23.5</v>
      </c>
      <c r="AE42" s="1262" t="e">
        <f>#REF!-AD42</f>
        <v>#REF!</v>
      </c>
    </row>
    <row r="43" spans="1:31" s="140" customFormat="1" ht="20.25" customHeight="1">
      <c r="A43" s="136">
        <v>36</v>
      </c>
      <c r="B43" s="1258" t="s">
        <v>165</v>
      </c>
      <c r="C43" s="1271" t="s">
        <v>151</v>
      </c>
      <c r="D43" s="1260">
        <f>VLOOKUP(B43,'DSOAT-T1.2025'!B45:D123,3,0)</f>
        <v>4130200.0000000005</v>
      </c>
      <c r="E43" s="137">
        <f>VLOOKUP(B43,'DSOAT-T1.2025'!$B$11:$AJ$88,35,0)</f>
        <v>31960720</v>
      </c>
      <c r="F43" s="138">
        <f>VLOOKUP(B43,'DSOAT-T1.2025'!$B$11:$AQ$88,42,0)</f>
        <v>433671</v>
      </c>
      <c r="G43" s="138">
        <v>11000000</v>
      </c>
      <c r="H43" s="138">
        <f>VLOOKUP(B43,'[14]Thuế TNCN _T1'!$B$9:$H$90,7,0)</f>
        <v>2</v>
      </c>
      <c r="I43" s="138">
        <f t="shared" si="0"/>
        <v>8800000</v>
      </c>
      <c r="J43" s="138">
        <f t="shared" si="1"/>
        <v>11727049</v>
      </c>
      <c r="K43" s="1261">
        <f t="shared" si="2"/>
        <v>1009057</v>
      </c>
      <c r="L43" s="1262" t="e">
        <f>#REF!-#REF!</f>
        <v>#REF!</v>
      </c>
      <c r="R43" s="140">
        <f>IFERROR(VLOOKUP(B43,'[15]Bảng lương'!B$10:G$72,6,0),0)</f>
        <v>22.5</v>
      </c>
      <c r="S43" s="1262" t="e">
        <f>#REF!-R43</f>
        <v>#REF!</v>
      </c>
      <c r="V43" s="140">
        <f>VLOOKUP(B43,'[16]khen thưởng T2'!$B$8:$E$234,4,0)</f>
        <v>1851500</v>
      </c>
      <c r="X43" s="1263">
        <f>IFERROR(VLOOKUP(B43,'[16]BÀNG LƯƠNG THÁNG 8.2022'!$B$10:$G$74,6,0),0)</f>
        <v>25</v>
      </c>
      <c r="Y43" s="1262" t="e">
        <f>#REF!-X43</f>
        <v>#REF!</v>
      </c>
      <c r="AA43" s="1264">
        <f>IFERROR(VLOOKUP(B43,'[17]DSOAT-T8.2022'!B$10:AE$79,30,0),0)</f>
        <v>28895788.982846789</v>
      </c>
      <c r="AB43" s="1265">
        <f t="shared" si="3"/>
        <v>3064931.0171532109</v>
      </c>
      <c r="AC43" s="1264"/>
      <c r="AD43" s="1266">
        <f>IFERROR(VLOOKUP(B43,'[16]BẢNG LƯƠNG T10.2022'!$B$10:$G$78,6,0),0)</f>
        <v>23.5</v>
      </c>
      <c r="AE43" s="1262" t="e">
        <f>#REF!-AD43</f>
        <v>#REF!</v>
      </c>
    </row>
    <row r="44" spans="1:31" s="140" customFormat="1" ht="20.25" customHeight="1">
      <c r="A44" s="136">
        <v>37</v>
      </c>
      <c r="B44" s="1258" t="s">
        <v>57</v>
      </c>
      <c r="C44" s="1271" t="s">
        <v>211</v>
      </c>
      <c r="D44" s="1260">
        <f>VLOOKUP(B44,'DSOAT-T1.2025'!B46:D124,3,0)</f>
        <v>4718700</v>
      </c>
      <c r="E44" s="137">
        <f>VLOOKUP(B44,'DSOAT-T1.2025'!$B$11:$AJ$88,35,0)</f>
        <v>12785925</v>
      </c>
      <c r="F44" s="138">
        <f>VLOOKUP(B44,'DSOAT-T1.2025'!$B$11:$AQ$88,42,0)</f>
        <v>495464</v>
      </c>
      <c r="G44" s="138">
        <v>11000000</v>
      </c>
      <c r="H44" s="138">
        <f>VLOOKUP(B44,'[14]Thuế TNCN _T1'!$B$9:$H$90,7,0)</f>
        <v>2</v>
      </c>
      <c r="I44" s="138">
        <f t="shared" si="0"/>
        <v>8800000</v>
      </c>
      <c r="J44" s="138">
        <f t="shared" si="1"/>
        <v>0</v>
      </c>
      <c r="K44" s="1261">
        <f t="shared" si="2"/>
        <v>0</v>
      </c>
      <c r="L44" s="1262" t="e">
        <f>#REF!-#REF!</f>
        <v>#REF!</v>
      </c>
      <c r="R44" s="140">
        <f>IFERROR(VLOOKUP(B44,'[15]Bảng lương'!B$10:G$72,6,0),0)</f>
        <v>22</v>
      </c>
      <c r="S44" s="1262" t="e">
        <f>#REF!-R44</f>
        <v>#REF!</v>
      </c>
      <c r="V44" s="140" t="e">
        <f>VLOOKUP(B44,'[16]khen thưởng T2'!$B$8:$E$234,4,0)</f>
        <v>#N/A</v>
      </c>
      <c r="X44" s="1263">
        <f>IFERROR(VLOOKUP(B44,'[16]BÀNG LƯƠNG THÁNG 8.2022'!$B$10:$G$74,6,0),0)</f>
        <v>25</v>
      </c>
      <c r="Y44" s="1262" t="e">
        <f>#REF!-X44</f>
        <v>#REF!</v>
      </c>
      <c r="AA44" s="1264">
        <f>IFERROR(VLOOKUP(B44,'[17]DSOAT-T8.2022'!B$10:AE$79,30,0),0)</f>
        <v>14939594.726866605</v>
      </c>
      <c r="AB44" s="1265">
        <f t="shared" si="3"/>
        <v>-2153669.7268666048</v>
      </c>
      <c r="AC44" s="1264"/>
      <c r="AD44" s="1266">
        <f>IFERROR(VLOOKUP(B44,'[16]BẢNG LƯƠNG T10.2022'!$B$10:$G$78,6,0),0)</f>
        <v>23.5</v>
      </c>
      <c r="AE44" s="1262" t="e">
        <f>#REF!-AD44</f>
        <v>#REF!</v>
      </c>
    </row>
    <row r="45" spans="1:31" s="140" customFormat="1" ht="20.25" customHeight="1">
      <c r="A45" s="136">
        <v>38</v>
      </c>
      <c r="B45" s="1258" t="s">
        <v>77</v>
      </c>
      <c r="C45" s="1271" t="s">
        <v>78</v>
      </c>
      <c r="D45" s="1260">
        <f>VLOOKUP(B45,'DSOAT-T1.2025'!B47:D125,3,0)</f>
        <v>4718700</v>
      </c>
      <c r="E45" s="137">
        <f>VLOOKUP(B45,'DSOAT-T1.2025'!$B$11:$AJ$88,35,0)</f>
        <v>57762898</v>
      </c>
      <c r="F45" s="138">
        <f>VLOOKUP(B45,'DSOAT-T1.2025'!$B$11:$AQ$88,42,0)</f>
        <v>495464</v>
      </c>
      <c r="G45" s="138">
        <v>11000000</v>
      </c>
      <c r="H45" s="138">
        <f>VLOOKUP(B45,'[14]Thuế TNCN _T1'!$B$9:$H$90,7,0)</f>
        <v>2</v>
      </c>
      <c r="I45" s="138">
        <f t="shared" si="0"/>
        <v>8800000</v>
      </c>
      <c r="J45" s="138">
        <f t="shared" si="1"/>
        <v>37467434</v>
      </c>
      <c r="K45" s="1261">
        <f t="shared" si="2"/>
        <v>6116859</v>
      </c>
      <c r="L45" s="1262" t="e">
        <f>#REF!-#REF!</f>
        <v>#REF!</v>
      </c>
      <c r="R45" s="140">
        <f>IFERROR(VLOOKUP(B45,'[15]Bảng lương'!B$10:G$72,6,0),0)</f>
        <v>22.5</v>
      </c>
      <c r="S45" s="1262" t="e">
        <f>#REF!-R45</f>
        <v>#REF!</v>
      </c>
      <c r="V45" s="140">
        <f>VLOOKUP(B45,'[16]khen thưởng T2'!$B$8:$E$234,4,0)</f>
        <v>604800</v>
      </c>
      <c r="X45" s="1263">
        <f>IFERROR(VLOOKUP(B45,'[16]BÀNG LƯƠNG THÁNG 8.2022'!$B$10:$G$74,6,0),0)</f>
        <v>25</v>
      </c>
      <c r="Y45" s="1262" t="e">
        <f>#REF!-X45</f>
        <v>#REF!</v>
      </c>
      <c r="AA45" s="1264">
        <f>IFERROR(VLOOKUP(B45,'[17]DSOAT-T8.2022'!B$10:AE$79,30,0),0)</f>
        <v>26561523.836837713</v>
      </c>
      <c r="AB45" s="1265">
        <f t="shared" si="3"/>
        <v>31201374.163162287</v>
      </c>
      <c r="AC45" s="1264"/>
      <c r="AD45" s="1266">
        <f>IFERROR(VLOOKUP(B45,'[16]BẢNG LƯƠNG T10.2022'!$B$10:$G$78,6,0),0)</f>
        <v>23.5</v>
      </c>
      <c r="AE45" s="1262" t="e">
        <f>#REF!-AD45</f>
        <v>#REF!</v>
      </c>
    </row>
    <row r="46" spans="1:31" s="140" customFormat="1" ht="20.25" customHeight="1">
      <c r="A46" s="136">
        <v>39</v>
      </c>
      <c r="B46" s="1258" t="s">
        <v>80</v>
      </c>
      <c r="C46" s="1272" t="s">
        <v>81</v>
      </c>
      <c r="D46" s="1260">
        <f>VLOOKUP(B46,'DSOAT-T1.2025'!B48:D126,3,0)</f>
        <v>4718700</v>
      </c>
      <c r="E46" s="137">
        <f>VLOOKUP(B46,'DSOAT-T1.2025'!$B$11:$AJ$88,35,0)</f>
        <v>7494468</v>
      </c>
      <c r="F46" s="138">
        <f>VLOOKUP(B46,'DSOAT-T1.2025'!$B$11:$AQ$88,42,0)</f>
        <v>495464</v>
      </c>
      <c r="G46" s="138">
        <v>11000000</v>
      </c>
      <c r="H46" s="138">
        <f>VLOOKUP(B46,'[14]Thuế TNCN _T1'!$B$9:$H$90,7,0)</f>
        <v>1</v>
      </c>
      <c r="I46" s="138">
        <f t="shared" si="0"/>
        <v>4400000</v>
      </c>
      <c r="J46" s="138">
        <f t="shared" si="1"/>
        <v>0</v>
      </c>
      <c r="K46" s="1261">
        <f t="shared" si="2"/>
        <v>0</v>
      </c>
      <c r="L46" s="1262" t="e">
        <f>#REF!-#REF!</f>
        <v>#REF!</v>
      </c>
      <c r="R46" s="140">
        <f>IFERROR(VLOOKUP(B46,'[15]Bảng lương'!B$10:G$72,6,0),0)</f>
        <v>22.5</v>
      </c>
      <c r="S46" s="1262" t="e">
        <f>#REF!-R46</f>
        <v>#REF!</v>
      </c>
      <c r="X46" s="1263">
        <f>IFERROR(VLOOKUP(B46,'[16]BÀNG LƯƠNG THÁNG 8.2022'!$B$10:$G$74,6,0),0)</f>
        <v>26</v>
      </c>
      <c r="Y46" s="1262" t="e">
        <f>#REF!-X46</f>
        <v>#REF!</v>
      </c>
      <c r="AA46" s="1264">
        <f>IFERROR(VLOOKUP(B46,'[17]DSOAT-T8.2022'!B$10:AE$79,30,0),0)</f>
        <v>19075636.403522667</v>
      </c>
      <c r="AB46" s="1265">
        <f t="shared" si="3"/>
        <v>-11581168.403522667</v>
      </c>
      <c r="AC46" s="1264"/>
      <c r="AD46" s="1266">
        <f>IFERROR(VLOOKUP(B46,'[16]BẢNG LƯƠNG T10.2022'!$B$10:$G$78,6,0),0)</f>
        <v>23.5</v>
      </c>
      <c r="AE46" s="1262" t="e">
        <f>#REF!-AD46</f>
        <v>#REF!</v>
      </c>
    </row>
    <row r="47" spans="1:31" s="140" customFormat="1" ht="20.25" customHeight="1">
      <c r="A47" s="136">
        <v>40</v>
      </c>
      <c r="B47" s="1258" t="s">
        <v>82</v>
      </c>
      <c r="C47" s="1273" t="s">
        <v>83</v>
      </c>
      <c r="D47" s="1260">
        <f>VLOOKUP(B47,'DSOAT-T1.2025'!B49:D127,3,0)</f>
        <v>3691500</v>
      </c>
      <c r="E47" s="137">
        <f>VLOOKUP(B47,'DSOAT-T1.2025'!$B$11:$AJ$88,35,0)</f>
        <v>5689994</v>
      </c>
      <c r="F47" s="138">
        <f>VLOOKUP(B47,'DSOAT-T1.2025'!$B$11:$AQ$88,42,0)</f>
        <v>387608</v>
      </c>
      <c r="G47" s="138">
        <v>11000000</v>
      </c>
      <c r="H47" s="138">
        <f>VLOOKUP(B47,'[14]Thuế TNCN _T1'!$B$9:$H$90,7,0)</f>
        <v>0</v>
      </c>
      <c r="I47" s="138">
        <f t="shared" si="0"/>
        <v>0</v>
      </c>
      <c r="J47" s="138">
        <f t="shared" si="1"/>
        <v>0</v>
      </c>
      <c r="K47" s="1261">
        <f t="shared" si="2"/>
        <v>0</v>
      </c>
      <c r="L47" s="1262" t="e">
        <f>#REF!-#REF!</f>
        <v>#REF!</v>
      </c>
      <c r="R47" s="140">
        <f>IFERROR(VLOOKUP(B47,'[15]Bảng lương'!B$10:G$72,6,0),0)</f>
        <v>22.5</v>
      </c>
      <c r="S47" s="1262" t="e">
        <f>#REF!-R47</f>
        <v>#REF!</v>
      </c>
      <c r="V47" s="140">
        <f>VLOOKUP(B47,'[16]khen thưởng T2'!$B$8:$E$234,4,0)</f>
        <v>1351610</v>
      </c>
      <c r="X47" s="1263">
        <f>IFERROR(VLOOKUP(B47,'[16]BÀNG LƯƠNG THÁNG 8.2022'!$B$10:$G$74,6,0),0)</f>
        <v>26</v>
      </c>
      <c r="Y47" s="1262" t="e">
        <f>#REF!-X47</f>
        <v>#REF!</v>
      </c>
      <c r="AA47" s="1264">
        <f>IFERROR(VLOOKUP(B47,'[17]DSOAT-T8.2022'!B$10:AE$79,30,0),0)</f>
        <v>22062149.602457203</v>
      </c>
      <c r="AB47" s="1265">
        <f t="shared" si="3"/>
        <v>-16372155.602457203</v>
      </c>
      <c r="AC47" s="1264"/>
      <c r="AD47" s="1266">
        <f>IFERROR(VLOOKUP(B47,'[16]BẢNG LƯƠNG T10.2022'!$B$10:$G$78,6,0),0)</f>
        <v>24.5</v>
      </c>
      <c r="AE47" s="1262" t="e">
        <f>#REF!-AD47</f>
        <v>#REF!</v>
      </c>
    </row>
    <row r="48" spans="1:31" s="140" customFormat="1" ht="20.25" customHeight="1">
      <c r="A48" s="136">
        <v>41</v>
      </c>
      <c r="B48" s="1258" t="s">
        <v>84</v>
      </c>
      <c r="C48" s="1274" t="s">
        <v>139</v>
      </c>
      <c r="D48" s="1260">
        <f>VLOOKUP(B48,'DSOAT-T1.2025'!B50:D128,3,0)</f>
        <v>4718700</v>
      </c>
      <c r="E48" s="137">
        <f>VLOOKUP(B48,'DSOAT-T1.2025'!$B$11:$AJ$88,35,0)</f>
        <v>8576977</v>
      </c>
      <c r="F48" s="138">
        <f>VLOOKUP(B48,'DSOAT-T1.2025'!$B$11:$AQ$88,42,0)</f>
        <v>495464</v>
      </c>
      <c r="G48" s="138">
        <v>11000000</v>
      </c>
      <c r="H48" s="138">
        <f>VLOOKUP(B48,'[14]Thuế TNCN _T1'!$B$9:$H$90,7,0)</f>
        <v>2</v>
      </c>
      <c r="I48" s="138">
        <f t="shared" si="0"/>
        <v>8800000</v>
      </c>
      <c r="J48" s="138">
        <f t="shared" si="1"/>
        <v>0</v>
      </c>
      <c r="K48" s="1261">
        <f t="shared" si="2"/>
        <v>0</v>
      </c>
      <c r="L48" s="1262" t="e">
        <f>#REF!-#REF!</f>
        <v>#REF!</v>
      </c>
      <c r="R48" s="140">
        <f>IFERROR(VLOOKUP(B48,'[15]Bảng lương'!B$10:G$72,6,0),0)</f>
        <v>22.5</v>
      </c>
      <c r="S48" s="1262" t="e">
        <f>#REF!-R48</f>
        <v>#REF!</v>
      </c>
      <c r="V48" s="140" t="e">
        <f>VLOOKUP(B48,'[16]khen thưởng T2'!$B$8:$E$234,4,0)</f>
        <v>#N/A</v>
      </c>
      <c r="X48" s="1263">
        <f>IFERROR(VLOOKUP(B48,'[16]BÀNG LƯƠNG THÁNG 8.2022'!$B$10:$G$74,6,0),0)</f>
        <v>25</v>
      </c>
      <c r="Y48" s="1262" t="e">
        <f>#REF!-X48</f>
        <v>#REF!</v>
      </c>
      <c r="AA48" s="1264">
        <f>IFERROR(VLOOKUP(B48,'[17]DSOAT-T8.2022'!B$10:AE$79,30,0),0)</f>
        <v>13939763.558889337</v>
      </c>
      <c r="AB48" s="1265">
        <f t="shared" si="3"/>
        <v>-5362786.5588893369</v>
      </c>
      <c r="AC48" s="1264"/>
      <c r="AD48" s="1266">
        <f>IFERROR(VLOOKUP(B48,'[16]BẢNG LƯƠNG T10.2022'!$B$10:$G$78,6,0),0)</f>
        <v>23.5</v>
      </c>
      <c r="AE48" s="1262" t="e">
        <f>#REF!-AD48</f>
        <v>#REF!</v>
      </c>
    </row>
    <row r="49" spans="1:35" s="140" customFormat="1" ht="20.25" customHeight="1">
      <c r="A49" s="136">
        <v>42</v>
      </c>
      <c r="B49" s="1258" t="s">
        <v>161</v>
      </c>
      <c r="C49" s="1259" t="s">
        <v>152</v>
      </c>
      <c r="D49" s="1260">
        <f>VLOOKUP(B49,'DSOAT-T1.2025'!B51:D129,3,0)</f>
        <v>4718700</v>
      </c>
      <c r="E49" s="137">
        <f>VLOOKUP(B49,'DSOAT-T1.2025'!$B$11:$AJ$88,35,0)</f>
        <v>32763853</v>
      </c>
      <c r="F49" s="138">
        <f>VLOOKUP(B49,'DSOAT-T1.2025'!$B$11:$AQ$88,42,0)</f>
        <v>495464</v>
      </c>
      <c r="G49" s="138">
        <v>11000000</v>
      </c>
      <c r="H49" s="138">
        <f>VLOOKUP(B49,'[14]Thuế TNCN _T1'!$B$9:$H$90,7,0)</f>
        <v>4</v>
      </c>
      <c r="I49" s="138">
        <f t="shared" si="0"/>
        <v>17600000</v>
      </c>
      <c r="J49" s="138">
        <f t="shared" si="1"/>
        <v>3668389</v>
      </c>
      <c r="K49" s="1261">
        <f t="shared" si="2"/>
        <v>183419</v>
      </c>
      <c r="L49" s="1262" t="e">
        <f>#REF!-#REF!</f>
        <v>#REF!</v>
      </c>
      <c r="R49" s="140">
        <f>IFERROR(VLOOKUP(B49,'[15]Bảng lương'!B$10:G$72,6,0),0)</f>
        <v>22.5</v>
      </c>
      <c r="S49" s="1262" t="e">
        <f>#REF!-R49</f>
        <v>#REF!</v>
      </c>
      <c r="V49" s="140">
        <f>VLOOKUP(B49,'[16]khen thưởng T2'!$B$8:$E$234,4,0)</f>
        <v>1534000</v>
      </c>
      <c r="X49" s="1263">
        <f>IFERROR(VLOOKUP(B49,'[16]BÀNG LƯƠNG THÁNG 8.2022'!$B$10:$G$74,6,0),0)</f>
        <v>25</v>
      </c>
      <c r="Y49" s="1262" t="e">
        <f>#REF!-X49</f>
        <v>#REF!</v>
      </c>
      <c r="AA49" s="1264">
        <f>IFERROR(VLOOKUP(B49,'[17]DSOAT-T8.2022'!B$10:AE$79,30,0),0)</f>
        <v>33349777.344617266</v>
      </c>
      <c r="AB49" s="1265">
        <f t="shared" si="3"/>
        <v>-585924.34461726621</v>
      </c>
      <c r="AC49" s="1264"/>
      <c r="AD49" s="1266">
        <f>IFERROR(VLOOKUP(B49,'[16]BẢNG LƯƠNG T10.2022'!$B$10:$G$78,6,0),0)</f>
        <v>23.5</v>
      </c>
      <c r="AE49" s="1262" t="e">
        <f>#REF!-AD49</f>
        <v>#REF!</v>
      </c>
    </row>
    <row r="50" spans="1:35" s="140" customFormat="1" ht="20.25" customHeight="1">
      <c r="A50" s="136">
        <v>43</v>
      </c>
      <c r="B50" s="1258" t="s">
        <v>85</v>
      </c>
      <c r="C50" s="1259" t="s">
        <v>86</v>
      </c>
      <c r="D50" s="1260">
        <f>VLOOKUP(B50,'DSOAT-T1.2025'!B52:D130,3,0)</f>
        <v>4130200.0000000005</v>
      </c>
      <c r="E50" s="137">
        <f>VLOOKUP(B50,'DSOAT-T1.2025'!$B$11:$AJ$88,35,0)</f>
        <v>9695532</v>
      </c>
      <c r="F50" s="138">
        <f>VLOOKUP(B50,'DSOAT-T1.2025'!$B$11:$AQ$88,42,0)</f>
        <v>433671</v>
      </c>
      <c r="G50" s="138">
        <v>11000000</v>
      </c>
      <c r="H50" s="138">
        <f>VLOOKUP(B50,'[14]Thuế TNCN _T1'!$B$9:$H$90,7,0)</f>
        <v>0</v>
      </c>
      <c r="I50" s="138">
        <f t="shared" si="0"/>
        <v>0</v>
      </c>
      <c r="J50" s="138">
        <f t="shared" si="1"/>
        <v>0</v>
      </c>
      <c r="K50" s="1261">
        <f t="shared" si="2"/>
        <v>0</v>
      </c>
      <c r="L50" s="1262" t="e">
        <f>#REF!-#REF!</f>
        <v>#REF!</v>
      </c>
      <c r="R50" s="140">
        <f>IFERROR(VLOOKUP(B50,'[15]Bảng lương'!B$10:G$72,6,0),0)</f>
        <v>22.5</v>
      </c>
      <c r="S50" s="1262" t="e">
        <f>#REF!-R50</f>
        <v>#REF!</v>
      </c>
      <c r="X50" s="1263">
        <f>IFERROR(VLOOKUP(B50,'[16]BÀNG LƯƠNG THÁNG 8.2022'!$B$10:$G$74,6,0),0)</f>
        <v>25</v>
      </c>
      <c r="Y50" s="1262" t="e">
        <f>#REF!-X50</f>
        <v>#REF!</v>
      </c>
      <c r="AA50" s="1264">
        <f>IFERROR(VLOOKUP(B50,'[17]DSOAT-T8.2022'!B$10:AE$79,30,0),0)</f>
        <v>22829598.976521567</v>
      </c>
      <c r="AB50" s="1265">
        <f t="shared" si="3"/>
        <v>-13134066.976521567</v>
      </c>
      <c r="AC50" s="1264"/>
      <c r="AD50" s="1266">
        <f>IFERROR(VLOOKUP(B50,'[16]BẢNG LƯƠNG T10.2022'!$B$10:$G$78,6,0),0)</f>
        <v>23.5</v>
      </c>
      <c r="AE50" s="1262" t="e">
        <f>#REF!-AD50</f>
        <v>#REF!</v>
      </c>
    </row>
    <row r="51" spans="1:35" s="140" customFormat="1" ht="20.25" customHeight="1">
      <c r="A51" s="136">
        <v>44</v>
      </c>
      <c r="B51" s="1258" t="s">
        <v>88</v>
      </c>
      <c r="C51" s="1259" t="s">
        <v>89</v>
      </c>
      <c r="D51" s="1260">
        <f>VLOOKUP(B51,'DSOAT-T1.2025'!B53:D131,3,0)</f>
        <v>3691500</v>
      </c>
      <c r="E51" s="137">
        <f>VLOOKUP(B51,'DSOAT-T1.2025'!$B$11:$AJ$88,35,0)</f>
        <v>32050427</v>
      </c>
      <c r="F51" s="138">
        <f>VLOOKUP(B51,'DSOAT-T1.2025'!$B$11:$AQ$88,42,0)</f>
        <v>387608</v>
      </c>
      <c r="G51" s="138">
        <v>11000000</v>
      </c>
      <c r="H51" s="138">
        <f>VLOOKUP(B51,'[14]Thuế TNCN _T1'!$B$9:$H$90,7,0)</f>
        <v>1</v>
      </c>
      <c r="I51" s="138">
        <f t="shared" si="0"/>
        <v>4400000</v>
      </c>
      <c r="J51" s="138">
        <f t="shared" si="1"/>
        <v>16262819</v>
      </c>
      <c r="K51" s="1261">
        <f t="shared" si="2"/>
        <v>1689423</v>
      </c>
      <c r="L51" s="1262" t="e">
        <f>#REF!-#REF!</f>
        <v>#REF!</v>
      </c>
      <c r="R51" s="140">
        <f>IFERROR(VLOOKUP(B51,'[15]Bảng lương'!B$10:G$72,6,0),0)</f>
        <v>26</v>
      </c>
      <c r="S51" s="1262" t="e">
        <f>#REF!-R51</f>
        <v>#REF!</v>
      </c>
      <c r="V51" s="140">
        <f>VLOOKUP(B51,'[16]khen thưởng T2'!$B$8:$E$234,4,0)</f>
        <v>1048700</v>
      </c>
      <c r="X51" s="1263">
        <f>IFERROR(VLOOKUP(B51,'[16]BÀNG LƯƠNG THÁNG 8.2022'!$B$10:$G$74,6,0),0)</f>
        <v>25</v>
      </c>
      <c r="Y51" s="1262" t="e">
        <f>#REF!-X51</f>
        <v>#REF!</v>
      </c>
      <c r="AA51" s="1264">
        <f>IFERROR(VLOOKUP(B51,'[17]DSOAT-T8.2022'!B$10:AE$79,30,0),0)</f>
        <v>19503965.516132906</v>
      </c>
      <c r="AB51" s="1265">
        <f t="shared" si="3"/>
        <v>12546461.483867094</v>
      </c>
      <c r="AC51" s="1264"/>
      <c r="AD51" s="1266">
        <f>IFERROR(VLOOKUP(B51,'[16]BẢNG LƯƠNG T10.2022'!$B$10:$G$78,6,0),0)</f>
        <v>23.5</v>
      </c>
      <c r="AE51" s="1262" t="e">
        <f>#REF!-AD51</f>
        <v>#REF!</v>
      </c>
    </row>
    <row r="52" spans="1:35" s="140" customFormat="1" ht="20.25" customHeight="1">
      <c r="A52" s="136">
        <v>45</v>
      </c>
      <c r="B52" s="1258" t="s">
        <v>90</v>
      </c>
      <c r="C52" s="1259" t="s">
        <v>91</v>
      </c>
      <c r="D52" s="1260">
        <f>VLOOKUP(B52,'DSOAT-T1.2025'!B54:D132,3,0)</f>
        <v>3691500</v>
      </c>
      <c r="E52" s="137">
        <f>VLOOKUP(B52,'DSOAT-T1.2025'!$B$11:$AJ$88,35,0)</f>
        <v>20122370</v>
      </c>
      <c r="F52" s="138">
        <f>VLOOKUP(B52,'DSOAT-T1.2025'!$B$11:$AQ$88,42,0)</f>
        <v>387608</v>
      </c>
      <c r="G52" s="138">
        <v>11000000</v>
      </c>
      <c r="H52" s="138">
        <f>VLOOKUP(B52,'[14]Thuế TNCN _T1'!$B$9:$H$90,7,0)</f>
        <v>2</v>
      </c>
      <c r="I52" s="138">
        <f t="shared" si="0"/>
        <v>8800000</v>
      </c>
      <c r="J52" s="138">
        <f t="shared" si="1"/>
        <v>0</v>
      </c>
      <c r="K52" s="1261">
        <f t="shared" si="2"/>
        <v>0</v>
      </c>
      <c r="L52" s="1262" t="e">
        <f>#REF!-#REF!</f>
        <v>#REF!</v>
      </c>
      <c r="R52" s="140">
        <f>IFERROR(VLOOKUP(B52,'[15]Bảng lương'!B$10:G$72,6,0),0)</f>
        <v>24</v>
      </c>
      <c r="S52" s="1262" t="e">
        <f>#REF!-R52</f>
        <v>#REF!</v>
      </c>
      <c r="V52" s="140">
        <f>VLOOKUP(B52,'[16]khen thưởng T2'!$B$8:$E$234,4,0)</f>
        <v>2186150</v>
      </c>
      <c r="X52" s="1263">
        <f>IFERROR(VLOOKUP(B52,'[16]BÀNG LƯƠNG THÁNG 8.2022'!$B$10:$G$74,6,0),0)</f>
        <v>26</v>
      </c>
      <c r="Y52" s="1262" t="e">
        <f>#REF!-X52</f>
        <v>#REF!</v>
      </c>
      <c r="AA52" s="1264">
        <f>IFERROR(VLOOKUP(B52,'[17]DSOAT-T8.2022'!B$10:AE$79,30,0),0)</f>
        <v>32184829.918960456</v>
      </c>
      <c r="AB52" s="1265">
        <f t="shared" si="3"/>
        <v>-12062459.918960456</v>
      </c>
      <c r="AC52" s="1264"/>
      <c r="AD52" s="1266">
        <f>IFERROR(VLOOKUP(B52,'[16]BẢNG LƯƠNG T10.2022'!$B$10:$G$78,6,0),0)</f>
        <v>25</v>
      </c>
      <c r="AE52" s="1262" t="e">
        <f>#REF!-AD52</f>
        <v>#REF!</v>
      </c>
    </row>
    <row r="53" spans="1:35" s="140" customFormat="1" ht="20.25" customHeight="1">
      <c r="A53" s="136">
        <v>46</v>
      </c>
      <c r="B53" s="1258" t="s">
        <v>93</v>
      </c>
      <c r="C53" s="1259" t="s">
        <v>94</v>
      </c>
      <c r="D53" s="1260">
        <f>VLOOKUP(B53,'DSOAT-T1.2025'!B55:D133,3,0)</f>
        <v>4130200.0000000005</v>
      </c>
      <c r="E53" s="137">
        <f>VLOOKUP(B53,'DSOAT-T1.2025'!$B$11:$AJ$88,35,0)</f>
        <v>27283978</v>
      </c>
      <c r="F53" s="138">
        <f>VLOOKUP(B53,'DSOAT-T1.2025'!$B$11:$AQ$88,42,0)</f>
        <v>433671</v>
      </c>
      <c r="G53" s="138">
        <v>11000000</v>
      </c>
      <c r="H53" s="138">
        <f>VLOOKUP(B53,'[14]Thuế TNCN _T1'!$B$9:$H$90,7,0)</f>
        <v>2</v>
      </c>
      <c r="I53" s="138">
        <f t="shared" si="0"/>
        <v>8800000</v>
      </c>
      <c r="J53" s="138">
        <f t="shared" si="1"/>
        <v>7050307</v>
      </c>
      <c r="K53" s="1261">
        <f t="shared" si="2"/>
        <v>455031</v>
      </c>
      <c r="L53" s="1262" t="e">
        <f>#REF!-#REF!</f>
        <v>#REF!</v>
      </c>
      <c r="R53" s="140">
        <f>IFERROR(VLOOKUP(B53,'[15]Bảng lương'!B$10:G$72,6,0),0)</f>
        <v>22.5</v>
      </c>
      <c r="S53" s="1262" t="e">
        <f>#REF!-R53</f>
        <v>#REF!</v>
      </c>
      <c r="V53" s="140">
        <f>VLOOKUP(B53,'[16]khen thưởng T2'!$B$8:$E$234,4,0)</f>
        <v>415000</v>
      </c>
      <c r="X53" s="1263">
        <f>IFERROR(VLOOKUP(B53,'[16]BÀNG LƯƠNG THÁNG 8.2022'!$B$10:$G$74,6,0),0)</f>
        <v>25</v>
      </c>
      <c r="Y53" s="1262" t="e">
        <f>#REF!-X53</f>
        <v>#REF!</v>
      </c>
      <c r="AA53" s="1264">
        <f>IFERROR(VLOOKUP(B53,'[17]DSOAT-T8.2022'!B$10:AE$79,30,0),0)</f>
        <v>23634651.448678926</v>
      </c>
      <c r="AB53" s="1265">
        <f t="shared" si="3"/>
        <v>3649326.5513210744</v>
      </c>
      <c r="AC53" s="1264"/>
      <c r="AD53" s="1266">
        <f>IFERROR(VLOOKUP(B53,'[16]BẢNG LƯƠNG T10.2022'!$B$10:$G$78,6,0),0)</f>
        <v>23.5</v>
      </c>
      <c r="AE53" s="1262" t="e">
        <f>#REF!-AD53</f>
        <v>#REF!</v>
      </c>
    </row>
    <row r="54" spans="1:35" s="140" customFormat="1" ht="20.25" customHeight="1">
      <c r="A54" s="136">
        <v>47</v>
      </c>
      <c r="B54" s="1258" t="s">
        <v>164</v>
      </c>
      <c r="C54" s="1259" t="s">
        <v>153</v>
      </c>
      <c r="D54" s="1260">
        <f>VLOOKUP(B54,'DSOAT-T1.2025'!B56:D134,3,0)</f>
        <v>4130200.0000000005</v>
      </c>
      <c r="E54" s="137">
        <f>VLOOKUP(B54,'DSOAT-T1.2025'!$B$11:$AJ$88,35,0)</f>
        <v>6945786</v>
      </c>
      <c r="F54" s="138">
        <f>VLOOKUP(B54,'DSOAT-T1.2025'!$B$11:$AQ$88,42,0)</f>
        <v>433671</v>
      </c>
      <c r="G54" s="138">
        <v>11000000</v>
      </c>
      <c r="H54" s="138">
        <f>VLOOKUP(B54,'[14]Thuế TNCN _T1'!$B$9:$H$90,7,0)</f>
        <v>0</v>
      </c>
      <c r="I54" s="138">
        <f t="shared" si="0"/>
        <v>0</v>
      </c>
      <c r="J54" s="138">
        <f t="shared" si="1"/>
        <v>0</v>
      </c>
      <c r="K54" s="1261">
        <f t="shared" si="2"/>
        <v>0</v>
      </c>
      <c r="L54" s="1262" t="e">
        <f>#REF!-#REF!</f>
        <v>#REF!</v>
      </c>
      <c r="R54" s="140">
        <f>IFERROR(VLOOKUP(B54,'[15]Bảng lương'!B$10:G$72,6,0),0)</f>
        <v>22.5</v>
      </c>
      <c r="S54" s="1262" t="e">
        <f>#REF!-R54</f>
        <v>#REF!</v>
      </c>
      <c r="V54" s="140">
        <f>VLOOKUP(B54,'[16]khen thưởng T2'!$B$8:$E$234,4,0)</f>
        <v>360000</v>
      </c>
      <c r="X54" s="1263">
        <f>IFERROR(VLOOKUP(B54,'[16]BÀNG LƯƠNG THÁNG 8.2022'!$B$10:$G$74,6,0),0)</f>
        <v>25</v>
      </c>
      <c r="Y54" s="1262" t="e">
        <f>#REF!-X54</f>
        <v>#REF!</v>
      </c>
      <c r="AA54" s="1264">
        <f>IFERROR(VLOOKUP(B54,'[17]DSOAT-T8.2022'!B$10:AE$79,30,0),0)</f>
        <v>83079692.512475654</v>
      </c>
      <c r="AB54" s="1265">
        <f t="shared" si="3"/>
        <v>-76133906.512475654</v>
      </c>
      <c r="AC54" s="1264"/>
      <c r="AD54" s="1266">
        <f>IFERROR(VLOOKUP(B54,'[16]BẢNG LƯƠNG T10.2022'!$B$10:$G$78,6,0),0)</f>
        <v>23.5</v>
      </c>
      <c r="AE54" s="1262" t="e">
        <f>#REF!-AD54</f>
        <v>#REF!</v>
      </c>
    </row>
    <row r="55" spans="1:35" s="140" customFormat="1" ht="20.25" customHeight="1">
      <c r="A55" s="136">
        <v>48</v>
      </c>
      <c r="B55" s="1258" t="s">
        <v>18</v>
      </c>
      <c r="C55" s="1259" t="s">
        <v>19</v>
      </c>
      <c r="D55" s="1260">
        <f>VLOOKUP(B55,'DSOAT-T1.2025'!B57:D135,3,0)</f>
        <v>4130200.0000000005</v>
      </c>
      <c r="E55" s="137">
        <f>VLOOKUP(B55,'DSOAT-T1.2025'!$B$11:$AJ$88,35,0)</f>
        <v>5424111</v>
      </c>
      <c r="F55" s="138">
        <f>VLOOKUP(B55,'DSOAT-T1.2025'!$B$11:$AQ$88,42,0)</f>
        <v>433671</v>
      </c>
      <c r="G55" s="138">
        <v>11000000</v>
      </c>
      <c r="H55" s="138">
        <f>VLOOKUP(B55,'[14]Thuế TNCN _T1'!$B$9:$H$90,7,0)</f>
        <v>0</v>
      </c>
      <c r="I55" s="138">
        <f t="shared" si="0"/>
        <v>0</v>
      </c>
      <c r="J55" s="138">
        <f t="shared" si="1"/>
        <v>0</v>
      </c>
      <c r="K55" s="1261">
        <f t="shared" si="2"/>
        <v>0</v>
      </c>
      <c r="L55" s="1262" t="e">
        <f>#REF!-#REF!</f>
        <v>#REF!</v>
      </c>
      <c r="R55" s="140">
        <f>IFERROR(VLOOKUP(B55,'[15]Bảng lương'!B$10:G$72,6,0),0)</f>
        <v>23</v>
      </c>
      <c r="S55" s="1262" t="e">
        <f>#REF!-R55</f>
        <v>#REF!</v>
      </c>
      <c r="V55" s="140">
        <f>VLOOKUP(B55,'[16]khen thưởng T2'!$B$8:$E$234,4,0)</f>
        <v>631900</v>
      </c>
      <c r="X55" s="1263">
        <f>IFERROR(VLOOKUP(B55,'[16]BÀNG LƯƠNG THÁNG 8.2022'!$B$10:$G$74,6,0),0)</f>
        <v>26</v>
      </c>
      <c r="Y55" s="1262" t="e">
        <f>#REF!-X55</f>
        <v>#REF!</v>
      </c>
      <c r="AA55" s="1264">
        <f>IFERROR(VLOOKUP(B55,'[17]DSOAT-T8.2022'!B$10:AE$79,30,0),0)</f>
        <v>18062060</v>
      </c>
      <c r="AB55" s="1265">
        <f t="shared" si="3"/>
        <v>-12637949</v>
      </c>
      <c r="AC55" s="1264"/>
      <c r="AD55" s="1266">
        <f>IFERROR(VLOOKUP(B55,'[16]BẢNG LƯƠNG T10.2022'!$B$10:$G$78,6,0),0)</f>
        <v>26</v>
      </c>
      <c r="AE55" s="1262" t="e">
        <f>#REF!-AD55</f>
        <v>#REF!</v>
      </c>
    </row>
    <row r="56" spans="1:35" s="140" customFormat="1" ht="20.25" customHeight="1">
      <c r="A56" s="136">
        <v>49</v>
      </c>
      <c r="B56" s="1258" t="s">
        <v>95</v>
      </c>
      <c r="C56" s="1259" t="s">
        <v>96</v>
      </c>
      <c r="D56" s="1260">
        <f>VLOOKUP(B56,'DSOAT-T1.2025'!B58:D136,3,0)</f>
        <v>4130200.0000000005</v>
      </c>
      <c r="E56" s="137">
        <f>VLOOKUP(B56,'DSOAT-T1.2025'!$B$11:$AJ$88,35,0)</f>
        <v>12317722</v>
      </c>
      <c r="F56" s="138">
        <f>VLOOKUP(B56,'DSOAT-T1.2025'!$B$11:$AQ$88,42,0)</f>
        <v>433671</v>
      </c>
      <c r="G56" s="138">
        <v>11000000</v>
      </c>
      <c r="H56" s="138">
        <f>VLOOKUP(B56,'[14]Thuế TNCN _T1'!$B$9:$H$90,7,0)</f>
        <v>0</v>
      </c>
      <c r="I56" s="138">
        <f t="shared" si="0"/>
        <v>0</v>
      </c>
      <c r="J56" s="138">
        <f t="shared" si="1"/>
        <v>884051</v>
      </c>
      <c r="K56" s="1261">
        <f t="shared" si="2"/>
        <v>44203</v>
      </c>
      <c r="L56" s="1262" t="e">
        <f>#REF!-#REF!</f>
        <v>#REF!</v>
      </c>
      <c r="R56" s="140">
        <f>IFERROR(VLOOKUP(B56,'[15]Bảng lương'!B$10:G$72,6,0),0)</f>
        <v>23</v>
      </c>
      <c r="S56" s="1262" t="e">
        <f>#REF!-R56</f>
        <v>#REF!</v>
      </c>
      <c r="V56" s="140">
        <f>VLOOKUP(B56,'[16]khen thưởng T2'!$B$8:$E$234,4,0)</f>
        <v>1655750</v>
      </c>
      <c r="X56" s="1263">
        <f>IFERROR(VLOOKUP(B56,'[16]BÀNG LƯƠNG THÁNG 8.2022'!$B$10:$G$74,6,0),0)</f>
        <v>25</v>
      </c>
      <c r="Y56" s="1262" t="e">
        <f>#REF!-X56</f>
        <v>#REF!</v>
      </c>
      <c r="AA56" s="1264">
        <f>IFERROR(VLOOKUP(B56,'[17]DSOAT-T8.2022'!B$10:AE$79,30,0),0)</f>
        <v>19765906</v>
      </c>
      <c r="AB56" s="1265">
        <f t="shared" si="3"/>
        <v>-7448184</v>
      </c>
      <c r="AC56" s="1264"/>
      <c r="AD56" s="1266">
        <f>IFERROR(VLOOKUP(B56,'[16]BẢNG LƯƠNG T10.2022'!$B$10:$G$78,6,0),0)</f>
        <v>23.5</v>
      </c>
      <c r="AE56" s="1262" t="e">
        <f>#REF!-AD56</f>
        <v>#REF!</v>
      </c>
    </row>
    <row r="57" spans="1:35" s="140" customFormat="1" ht="20.25" customHeight="1">
      <c r="A57" s="136">
        <v>50</v>
      </c>
      <c r="B57" s="1258" t="s">
        <v>97</v>
      </c>
      <c r="C57" s="1259" t="s">
        <v>98</v>
      </c>
      <c r="D57" s="1260">
        <f>VLOOKUP(B57,'DSOAT-T1.2025'!B59:D137,3,0)</f>
        <v>4130200.0000000005</v>
      </c>
      <c r="E57" s="137">
        <f>VLOOKUP(B57,'DSOAT-T1.2025'!$B$11:$AJ$88,35,0)</f>
        <v>8620153</v>
      </c>
      <c r="F57" s="138">
        <f>VLOOKUP(B57,'DSOAT-T1.2025'!$B$11:$AQ$88,42,0)</f>
        <v>433671</v>
      </c>
      <c r="G57" s="138">
        <v>11000000</v>
      </c>
      <c r="H57" s="138">
        <f>VLOOKUP(B57,'[14]Thuế TNCN _T1'!$B$9:$H$90,7,0)</f>
        <v>0</v>
      </c>
      <c r="I57" s="138">
        <f t="shared" si="0"/>
        <v>0</v>
      </c>
      <c r="J57" s="138">
        <f t="shared" si="1"/>
        <v>0</v>
      </c>
      <c r="K57" s="1261">
        <f t="shared" si="2"/>
        <v>0</v>
      </c>
      <c r="L57" s="1262" t="e">
        <f>#REF!-#REF!</f>
        <v>#REF!</v>
      </c>
      <c r="R57" s="140">
        <f>IFERROR(VLOOKUP(B57,'[15]Bảng lương'!B$10:G$72,6,0),0)</f>
        <v>22.5</v>
      </c>
      <c r="S57" s="1262" t="e">
        <f>#REF!-R57</f>
        <v>#REF!</v>
      </c>
      <c r="V57" s="140">
        <f>VLOOKUP(B57,'[16]khen thưởng T2'!$B$8:$E$234,4,0)</f>
        <v>1422000</v>
      </c>
      <c r="X57" s="1263">
        <f>IFERROR(VLOOKUP(B57,'[16]BÀNG LƯƠNG THÁNG 8.2022'!$B$10:$G$74,6,0),0)</f>
        <v>26</v>
      </c>
      <c r="Y57" s="1262" t="e">
        <f>#REF!-X57</f>
        <v>#REF!</v>
      </c>
      <c r="AA57" s="1264">
        <f>IFERROR(VLOOKUP(B57,'[17]DSOAT-T8.2022'!B$10:AE$79,30,0),0)</f>
        <v>22692056</v>
      </c>
      <c r="AB57" s="1265">
        <f t="shared" si="3"/>
        <v>-14071903</v>
      </c>
      <c r="AC57" s="1264"/>
      <c r="AD57" s="1266">
        <f>IFERROR(VLOOKUP(B57,'[16]BẢNG LƯƠNG T10.2022'!$B$10:$G$78,6,0),0)</f>
        <v>26</v>
      </c>
      <c r="AE57" s="1262" t="e">
        <f>#REF!-AD57</f>
        <v>#REF!</v>
      </c>
    </row>
    <row r="58" spans="1:35" s="140" customFormat="1" ht="20.25" customHeight="1">
      <c r="A58" s="136">
        <v>51</v>
      </c>
      <c r="B58" s="1258" t="s">
        <v>101</v>
      </c>
      <c r="C58" s="1259" t="s">
        <v>102</v>
      </c>
      <c r="D58" s="1260">
        <f>VLOOKUP(B58,'DSOAT-T1.2025'!B60:D138,3,0)</f>
        <v>4130200.0000000005</v>
      </c>
      <c r="E58" s="137">
        <f>VLOOKUP(B58,'DSOAT-T1.2025'!$B$11:$AJ$88,35,0)</f>
        <v>8803146</v>
      </c>
      <c r="F58" s="138">
        <f>VLOOKUP(B58,'DSOAT-T1.2025'!$B$11:$AQ$88,42,0)</f>
        <v>433671</v>
      </c>
      <c r="G58" s="138">
        <v>11000000</v>
      </c>
      <c r="H58" s="138">
        <f>VLOOKUP(B58,'[14]Thuế TNCN _T1'!$B$9:$H$90,7,0)</f>
        <v>1</v>
      </c>
      <c r="I58" s="138">
        <f t="shared" si="0"/>
        <v>4400000</v>
      </c>
      <c r="J58" s="138">
        <f t="shared" si="1"/>
        <v>0</v>
      </c>
      <c r="K58" s="1261">
        <f t="shared" si="2"/>
        <v>0</v>
      </c>
      <c r="L58" s="1262" t="e">
        <f>#REF!-#REF!</f>
        <v>#REF!</v>
      </c>
      <c r="R58" s="140">
        <f>IFERROR(VLOOKUP(B58,'[15]Bảng lương'!B$10:G$72,6,0),0)</f>
        <v>22.5</v>
      </c>
      <c r="S58" s="1262" t="e">
        <f>#REF!-R58</f>
        <v>#REF!</v>
      </c>
      <c r="V58" s="140">
        <f>VLOOKUP(B58,'[16]khen thưởng T2'!$B$8:$E$234,4,0)</f>
        <v>90000</v>
      </c>
      <c r="X58" s="1263">
        <f>IFERROR(VLOOKUP(B58,'[16]BÀNG LƯƠNG THÁNG 8.2022'!$B$10:$G$74,6,0),0)</f>
        <v>25</v>
      </c>
      <c r="Y58" s="1262" t="e">
        <f>#REF!-X58</f>
        <v>#REF!</v>
      </c>
      <c r="AA58" s="1264">
        <f>IFERROR(VLOOKUP(B58,'[17]DSOAT-T8.2022'!B$10:AE$79,30,0),0)</f>
        <v>16268800</v>
      </c>
      <c r="AB58" s="1265">
        <f t="shared" si="3"/>
        <v>-7465654</v>
      </c>
      <c r="AC58" s="1264"/>
      <c r="AD58" s="1266">
        <f>IFERROR(VLOOKUP(B58,'[16]BẢNG LƯƠNG T10.2022'!$B$10:$G$78,6,0),0)</f>
        <v>23.5</v>
      </c>
      <c r="AE58" s="1262" t="e">
        <f>#REF!-AD58</f>
        <v>#REF!</v>
      </c>
    </row>
    <row r="59" spans="1:35" s="140" customFormat="1" ht="20.25" customHeight="1">
      <c r="A59" s="136">
        <v>53</v>
      </c>
      <c r="B59" s="1258" t="s">
        <v>163</v>
      </c>
      <c r="C59" s="1259" t="s">
        <v>154</v>
      </c>
      <c r="D59" s="1260">
        <f>VLOOKUP(B59,'DSOAT-T1.2025'!B61:D140,3,0)</f>
        <v>4130200.0000000005</v>
      </c>
      <c r="E59" s="137">
        <f>VLOOKUP(B59,'DSOAT-T1.2025'!$B$11:$AJ$88,35,0)</f>
        <v>14694412</v>
      </c>
      <c r="F59" s="138">
        <f>VLOOKUP(B59,'DSOAT-T1.2025'!$B$11:$AQ$88,42,0)</f>
        <v>433671</v>
      </c>
      <c r="G59" s="138">
        <v>11000000</v>
      </c>
      <c r="H59" s="138">
        <f>VLOOKUP(B59,'[14]Thuế TNCN _T1'!$B$9:$H$90,7,0)</f>
        <v>2</v>
      </c>
      <c r="I59" s="138">
        <f t="shared" si="0"/>
        <v>8800000</v>
      </c>
      <c r="J59" s="138">
        <f t="shared" si="1"/>
        <v>0</v>
      </c>
      <c r="K59" s="1261">
        <f t="shared" si="2"/>
        <v>0</v>
      </c>
      <c r="L59" s="1262" t="e">
        <f>#REF!-#REF!</f>
        <v>#REF!</v>
      </c>
      <c r="R59" s="140">
        <f>IFERROR(VLOOKUP(B59,'[15]Bảng lương'!B$10:G$72,6,0),0)</f>
        <v>22.5</v>
      </c>
      <c r="S59" s="1262" t="e">
        <f>#REF!-R59</f>
        <v>#REF!</v>
      </c>
      <c r="V59" s="140">
        <f>VLOOKUP(B59,'[16]khen thưởng T2'!$B$8:$E$234,4,0)</f>
        <v>861050</v>
      </c>
      <c r="X59" s="1263">
        <f>IFERROR(VLOOKUP(B59,'[16]BÀNG LƯƠNG THÁNG 8.2022'!$B$10:$G$74,6,0),0)</f>
        <v>25</v>
      </c>
      <c r="Y59" s="1262" t="e">
        <f>#REF!-X59</f>
        <v>#REF!</v>
      </c>
      <c r="AA59" s="1264">
        <f>IFERROR(VLOOKUP(B59,'[17]DSOAT-T8.2022'!B$10:AE$79,30,0),0)</f>
        <v>22429805</v>
      </c>
      <c r="AB59" s="1265">
        <f t="shared" si="3"/>
        <v>-7735393</v>
      </c>
      <c r="AC59" s="1264"/>
      <c r="AD59" s="1266">
        <f>IFERROR(VLOOKUP(B59,'[16]BẢNG LƯƠNG T10.2022'!$B$10:$G$78,6,0),0)</f>
        <v>23.5</v>
      </c>
      <c r="AE59" s="1262" t="e">
        <f>#REF!-AD59</f>
        <v>#REF!</v>
      </c>
    </row>
    <row r="60" spans="1:35" s="140" customFormat="1" ht="20.25" customHeight="1">
      <c r="A60" s="136">
        <v>55</v>
      </c>
      <c r="B60" s="1258" t="s">
        <v>209</v>
      </c>
      <c r="C60" s="1259" t="s">
        <v>210</v>
      </c>
      <c r="D60" s="1260">
        <f>VLOOKUP(B60,'DSOAT-T1.2025'!B62:D142,3,0)</f>
        <v>4130200.0000000005</v>
      </c>
      <c r="E60" s="137">
        <f>VLOOKUP(B60,'DSOAT-T1.2025'!$B$11:$AJ$88,35,0)</f>
        <v>16973224</v>
      </c>
      <c r="F60" s="138">
        <f>VLOOKUP(B60,'DSOAT-T1.2025'!$B$11:$AQ$88,42,0)</f>
        <v>433671</v>
      </c>
      <c r="G60" s="138">
        <v>11000000</v>
      </c>
      <c r="H60" s="138">
        <f>VLOOKUP(B60,'[14]Thuế TNCN _T1'!$B$9:$H$90,7,0)</f>
        <v>1</v>
      </c>
      <c r="I60" s="138">
        <f t="shared" si="0"/>
        <v>4400000</v>
      </c>
      <c r="J60" s="138">
        <f t="shared" si="1"/>
        <v>1139553</v>
      </c>
      <c r="K60" s="1261">
        <f t="shared" si="2"/>
        <v>56978</v>
      </c>
      <c r="L60" s="1262" t="e">
        <f>#REF!-#REF!</f>
        <v>#REF!</v>
      </c>
      <c r="R60" s="140">
        <f>IFERROR(VLOOKUP(B60,'[15]Bảng lương'!B$10:G$72,6,0),0)</f>
        <v>0</v>
      </c>
      <c r="S60" s="1262" t="e">
        <f>#REF!-R60</f>
        <v>#REF!</v>
      </c>
      <c r="V60" s="140">
        <f>VLOOKUP(B60,'[16]khen thưởng T2'!$B$8:$E$234,4,0)</f>
        <v>1249500</v>
      </c>
      <c r="X60" s="1263">
        <f>IFERROR(VLOOKUP(B60,'[16]BÀNG LƯƠNG THÁNG 8.2022'!$B$10:$G$74,6,0),0)</f>
        <v>25</v>
      </c>
      <c r="Y60" s="1262" t="e">
        <f>#REF!-X60</f>
        <v>#REF!</v>
      </c>
      <c r="AA60" s="1264">
        <f>IFERROR(VLOOKUP(B60,'[17]DSOAT-T8.2022'!B$10:AE$79,30,0),0)</f>
        <v>30742255</v>
      </c>
      <c r="AB60" s="1265">
        <f t="shared" si="3"/>
        <v>-13769031</v>
      </c>
      <c r="AC60" s="1264"/>
      <c r="AD60" s="1266">
        <f>IFERROR(VLOOKUP(B60,'[16]BẢNG LƯƠNG T10.2022'!$B$10:$G$78,6,0),0)</f>
        <v>23.5</v>
      </c>
      <c r="AE60" s="1262" t="e">
        <f>#REF!-AD60</f>
        <v>#REF!</v>
      </c>
      <c r="AI60" s="140" t="s">
        <v>222</v>
      </c>
    </row>
    <row r="61" spans="1:35" s="140" customFormat="1" ht="20.25" customHeight="1">
      <c r="A61" s="136">
        <v>56</v>
      </c>
      <c r="B61" s="1258" t="s">
        <v>204</v>
      </c>
      <c r="C61" s="1259" t="s">
        <v>205</v>
      </c>
      <c r="D61" s="1260">
        <f>VLOOKUP(B61,'DSOAT-T1.2025'!B63:D143,3,0)</f>
        <v>4718700</v>
      </c>
      <c r="E61" s="137">
        <f>VLOOKUP(B61,'DSOAT-T1.2025'!$B$11:$AJ$88,35,0)</f>
        <v>15524916</v>
      </c>
      <c r="F61" s="138">
        <f>VLOOKUP(B61,'DSOAT-T1.2025'!$B$11:$AQ$88,42,0)</f>
        <v>495464</v>
      </c>
      <c r="G61" s="138">
        <v>11000000</v>
      </c>
      <c r="H61" s="138">
        <f>VLOOKUP(B61,'[14]Thuế TNCN _T1'!$B$9:$H$90,7,0)</f>
        <v>1</v>
      </c>
      <c r="I61" s="138">
        <f t="shared" si="0"/>
        <v>4400000</v>
      </c>
      <c r="J61" s="138">
        <f t="shared" si="1"/>
        <v>0</v>
      </c>
      <c r="K61" s="1261">
        <f t="shared" si="2"/>
        <v>0</v>
      </c>
      <c r="L61" s="1262" t="e">
        <f>#REF!-#REF!</f>
        <v>#REF!</v>
      </c>
      <c r="R61" s="140">
        <f>IFERROR(VLOOKUP(B61,'[15]Bảng lương'!B$10:G$72,6,0),0)</f>
        <v>0</v>
      </c>
      <c r="S61" s="1262" t="e">
        <f>#REF!-R61</f>
        <v>#REF!</v>
      </c>
      <c r="V61" s="140">
        <f>VLOOKUP(B61,'[16]khen thưởng T2'!$B$8:$E$234,4,0)</f>
        <v>3104580</v>
      </c>
      <c r="X61" s="1263">
        <f>IFERROR(VLOOKUP(B61,'[16]BÀNG LƯƠNG THÁNG 8.2022'!$B$10:$G$74,6,0),0)</f>
        <v>25</v>
      </c>
      <c r="Y61" s="1262" t="e">
        <f>#REF!-X61</f>
        <v>#REF!</v>
      </c>
      <c r="AA61" s="1264">
        <f>IFERROR(VLOOKUP(B61,'[17]DSOAT-T8.2022'!B$10:AE$79,30,0),0)</f>
        <v>23355923.199981719</v>
      </c>
      <c r="AB61" s="1265">
        <f t="shared" si="3"/>
        <v>-7831007.1999817193</v>
      </c>
      <c r="AC61" s="1264"/>
      <c r="AD61" s="1266">
        <f>IFERROR(VLOOKUP(B61,'[16]BẢNG LƯƠNG T10.2022'!$B$10:$G$78,6,0),0)</f>
        <v>23.5</v>
      </c>
      <c r="AE61" s="1262" t="e">
        <f>#REF!-AD61</f>
        <v>#REF!</v>
      </c>
    </row>
    <row r="62" spans="1:35" s="140" customFormat="1" ht="20.25" customHeight="1">
      <c r="A62" s="136">
        <v>57</v>
      </c>
      <c r="B62" s="1258" t="s">
        <v>212</v>
      </c>
      <c r="C62" s="1259" t="s">
        <v>213</v>
      </c>
      <c r="D62" s="1260">
        <f>VLOOKUP(B62,'DSOAT-T1.2025'!B64:D144,3,0)</f>
        <v>4718700</v>
      </c>
      <c r="E62" s="137">
        <f>VLOOKUP(B62,'DSOAT-T1.2025'!$B$11:$AJ$88,35,0)</f>
        <v>8487626</v>
      </c>
      <c r="F62" s="138">
        <f>VLOOKUP(B62,'DSOAT-T1.2025'!$B$11:$AQ$88,42,0)</f>
        <v>495464</v>
      </c>
      <c r="G62" s="138">
        <v>11000000</v>
      </c>
      <c r="H62" s="138">
        <f>VLOOKUP(B62,'[14]Thuế TNCN _T1'!$B$9:$H$90,7,0)</f>
        <v>0</v>
      </c>
      <c r="I62" s="138">
        <f t="shared" si="0"/>
        <v>0</v>
      </c>
      <c r="J62" s="138">
        <f t="shared" si="1"/>
        <v>0</v>
      </c>
      <c r="K62" s="1261">
        <f t="shared" si="2"/>
        <v>0</v>
      </c>
      <c r="L62" s="1262" t="e">
        <f>#REF!-#REF!</f>
        <v>#REF!</v>
      </c>
      <c r="R62" s="140">
        <f>IFERROR(VLOOKUP(B62,'[15]Bảng lương'!B$10:G$72,6,0),0)</f>
        <v>0</v>
      </c>
      <c r="S62" s="1262" t="e">
        <f>#REF!-R62</f>
        <v>#REF!</v>
      </c>
      <c r="V62" s="140" t="e">
        <f>VLOOKUP(B62,'[16]khen thưởng T2'!$B$8:$E$234,4,0)</f>
        <v>#N/A</v>
      </c>
      <c r="X62" s="1263">
        <f>IFERROR(VLOOKUP(B62,'[16]BÀNG LƯƠNG THÁNG 8.2022'!$B$10:$G$74,6,0),0)</f>
        <v>0</v>
      </c>
      <c r="Y62" s="1262" t="e">
        <f>#REF!-X62</f>
        <v>#REF!</v>
      </c>
      <c r="AA62" s="1264">
        <f>IFERROR(VLOOKUP(B62,'[17]DSOAT-T8.2022'!B$10:AE$79,30,0),0)</f>
        <v>0</v>
      </c>
      <c r="AB62" s="1265">
        <f t="shared" si="3"/>
        <v>8487626</v>
      </c>
      <c r="AC62" s="1264"/>
      <c r="AD62" s="1266">
        <f>IFERROR(VLOOKUP(B62,'[16]BẢNG LƯƠNG T10.2022'!$B$10:$G$78,6,0),0)</f>
        <v>26</v>
      </c>
      <c r="AE62" s="1262" t="e">
        <f>#REF!-AD62</f>
        <v>#REF!</v>
      </c>
    </row>
    <row r="63" spans="1:35" s="140" customFormat="1" ht="20.25" customHeight="1">
      <c r="A63" s="136">
        <v>59</v>
      </c>
      <c r="B63" s="1258" t="s">
        <v>206</v>
      </c>
      <c r="C63" s="1259" t="s">
        <v>207</v>
      </c>
      <c r="D63" s="1260">
        <f>VLOOKUP(B63,'DSOAT-T1.2025'!B65:D146,3,0)</f>
        <v>4130200.0000000005</v>
      </c>
      <c r="E63" s="137">
        <f>VLOOKUP(B63,'DSOAT-T1.2025'!$B$11:$AJ$88,35,0)</f>
        <v>6768775</v>
      </c>
      <c r="F63" s="138">
        <f>VLOOKUP(B63,'DSOAT-T1.2025'!$B$11:$AQ$88,42,0)</f>
        <v>433671</v>
      </c>
      <c r="G63" s="138">
        <v>11000000</v>
      </c>
      <c r="H63" s="138">
        <f>VLOOKUP(B63,'[14]Thuế TNCN _T1'!$B$9:$H$90,7,0)</f>
        <v>0</v>
      </c>
      <c r="I63" s="138">
        <f t="shared" si="0"/>
        <v>0</v>
      </c>
      <c r="J63" s="138">
        <f t="shared" si="1"/>
        <v>0</v>
      </c>
      <c r="K63" s="1261">
        <f t="shared" si="2"/>
        <v>0</v>
      </c>
      <c r="L63" s="1262"/>
      <c r="S63" s="1262"/>
      <c r="X63" s="1263">
        <f>IFERROR(VLOOKUP(B63,'[16]BÀNG LƯƠNG THÁNG 8.2022'!$B$10:$G$74,6,0),0)</f>
        <v>0</v>
      </c>
      <c r="Y63" s="1262" t="e">
        <f>#REF!-X63</f>
        <v>#REF!</v>
      </c>
      <c r="AA63" s="1264">
        <f>IFERROR(VLOOKUP(B63,'[17]DSOAT-T8.2022'!B$10:AE$79,30,0),0)</f>
        <v>0</v>
      </c>
      <c r="AB63" s="1265">
        <f t="shared" si="3"/>
        <v>6768775</v>
      </c>
      <c r="AC63" s="1264"/>
      <c r="AD63" s="1266">
        <f>IFERROR(VLOOKUP(B63,'[16]BẢNG LƯƠNG T10.2022'!$B$10:$G$78,6,0),0)</f>
        <v>23.5</v>
      </c>
      <c r="AE63" s="1262" t="e">
        <f>#REF!-AD63</f>
        <v>#REF!</v>
      </c>
    </row>
    <row r="64" spans="1:35" s="140" customFormat="1" ht="20.25" customHeight="1">
      <c r="A64" s="136">
        <v>60</v>
      </c>
      <c r="B64" s="1258" t="s">
        <v>217</v>
      </c>
      <c r="C64" s="1259" t="s">
        <v>216</v>
      </c>
      <c r="D64" s="1260">
        <f>VLOOKUP(B64,'DSOAT-T1.2025'!B66:D147,3,0)</f>
        <v>4718700</v>
      </c>
      <c r="E64" s="137">
        <f>VLOOKUP(B64,'DSOAT-T1.2025'!$B$11:$AJ$88,35,0)</f>
        <v>11473947</v>
      </c>
      <c r="F64" s="138">
        <f>VLOOKUP(B64,'DSOAT-T1.2025'!$B$11:$AQ$88,42,0)</f>
        <v>495464</v>
      </c>
      <c r="G64" s="138">
        <v>11000000</v>
      </c>
      <c r="H64" s="138">
        <f>VLOOKUP(B64,'[14]Thuế TNCN _T1'!$B$9:$H$90,7,0)</f>
        <v>0</v>
      </c>
      <c r="I64" s="138">
        <f t="shared" si="0"/>
        <v>0</v>
      </c>
      <c r="J64" s="138">
        <f t="shared" si="1"/>
        <v>0</v>
      </c>
      <c r="K64" s="1261">
        <f t="shared" si="2"/>
        <v>0</v>
      </c>
      <c r="L64" s="1262"/>
      <c r="S64" s="1262"/>
      <c r="X64" s="1263">
        <f>IFERROR(VLOOKUP(B64,'[16]BÀNG LƯƠNG THÁNG 8.2022'!$B$10:$G$74,6,0),0)</f>
        <v>0</v>
      </c>
      <c r="Y64" s="1262" t="e">
        <f>#REF!-X64</f>
        <v>#REF!</v>
      </c>
      <c r="AA64" s="1264">
        <f>IFERROR(VLOOKUP(B64,'[17]DSOAT-T8.2022'!B$10:AE$79,30,0),0)</f>
        <v>0</v>
      </c>
      <c r="AB64" s="1265">
        <f t="shared" si="3"/>
        <v>11473947</v>
      </c>
      <c r="AC64" s="1264"/>
      <c r="AD64" s="1266">
        <f>IFERROR(VLOOKUP(B64,'[16]BẢNG LƯƠNG T10.2022'!$B$10:$G$78,6,0),0)</f>
        <v>27</v>
      </c>
      <c r="AE64" s="1262" t="e">
        <f>#REF!-AD64</f>
        <v>#REF!</v>
      </c>
    </row>
    <row r="65" spans="1:31" s="140" customFormat="1" ht="20.25" customHeight="1">
      <c r="A65" s="136">
        <v>62</v>
      </c>
      <c r="B65" s="1258" t="s">
        <v>141</v>
      </c>
      <c r="C65" s="1275" t="s">
        <v>187</v>
      </c>
      <c r="D65" s="1260">
        <f>VLOOKUP(B65,'DSOAT-T1.2025'!B67:D149,3,0)</f>
        <v>4718700</v>
      </c>
      <c r="E65" s="137">
        <f>VLOOKUP(B65,'DSOAT-T1.2025'!$B$11:$AJ$88,35,0)</f>
        <v>20015200</v>
      </c>
      <c r="F65" s="138">
        <f>VLOOKUP(B65,'DSOAT-T1.2025'!$B$11:$AQ$88,42,0)</f>
        <v>495464</v>
      </c>
      <c r="G65" s="138">
        <v>11000000</v>
      </c>
      <c r="H65" s="138">
        <f>VLOOKUP(B65,'[14]Thuế TNCN _T1'!$B$9:$H$90,7,0)</f>
        <v>1</v>
      </c>
      <c r="I65" s="138">
        <f t="shared" si="0"/>
        <v>4400000</v>
      </c>
      <c r="J65" s="138">
        <f t="shared" si="1"/>
        <v>4119736</v>
      </c>
      <c r="K65" s="1261">
        <f t="shared" si="2"/>
        <v>205987</v>
      </c>
      <c r="L65" s="1262"/>
      <c r="S65" s="1262"/>
      <c r="X65" s="1263"/>
      <c r="Y65" s="1262"/>
      <c r="AA65" s="1264"/>
      <c r="AB65" s="1265"/>
      <c r="AC65" s="1264" t="s">
        <v>218</v>
      </c>
      <c r="AD65" s="1266">
        <f>IFERROR(VLOOKUP(B65,'[16]BẢNG LƯƠNG T10.2022'!$B$10:$G$78,6,0),0)</f>
        <v>0</v>
      </c>
      <c r="AE65" s="1262" t="e">
        <f>#REF!-AD65</f>
        <v>#REF!</v>
      </c>
    </row>
    <row r="66" spans="1:31" s="140" customFormat="1" ht="20.25" customHeight="1">
      <c r="A66" s="136">
        <v>63</v>
      </c>
      <c r="B66" s="1258" t="s">
        <v>263</v>
      </c>
      <c r="C66" s="1275" t="s">
        <v>262</v>
      </c>
      <c r="D66" s="1260">
        <f>VLOOKUP(B66,'DSOAT-T1.2025'!B68:D150,3,0)</f>
        <v>4718700</v>
      </c>
      <c r="E66" s="137">
        <f>VLOOKUP(B66,'DSOAT-T1.2025'!$B$11:$AJ$88,35,0)</f>
        <v>9526023</v>
      </c>
      <c r="F66" s="138">
        <f>VLOOKUP(B66,'DSOAT-T1.2025'!$B$11:$AQ$88,42,0)</f>
        <v>495464</v>
      </c>
      <c r="G66" s="138">
        <v>11000000</v>
      </c>
      <c r="H66" s="138">
        <f>VLOOKUP(B66,'[14]Thuế TNCN _T1'!$B$9:$H$90,7,0)</f>
        <v>0</v>
      </c>
      <c r="I66" s="138">
        <f t="shared" si="0"/>
        <v>0</v>
      </c>
      <c r="J66" s="138">
        <f t="shared" si="1"/>
        <v>0</v>
      </c>
      <c r="K66" s="1261">
        <f t="shared" si="2"/>
        <v>0</v>
      </c>
      <c r="L66" s="1262"/>
      <c r="S66" s="1262"/>
      <c r="X66" s="1263"/>
      <c r="Y66" s="1262"/>
      <c r="AA66" s="1264"/>
      <c r="AB66" s="1265"/>
      <c r="AC66" s="1264" t="s">
        <v>218</v>
      </c>
      <c r="AD66" s="1266">
        <f>IFERROR(VLOOKUP(B66,'[16]BẢNG LƯƠNG T10.2022'!$B$10:$G$78,6,0),0)</f>
        <v>0</v>
      </c>
      <c r="AE66" s="1262" t="e">
        <f>#REF!-AD66</f>
        <v>#REF!</v>
      </c>
    </row>
    <row r="67" spans="1:31" s="140" customFormat="1" ht="20.25" customHeight="1">
      <c r="A67" s="136">
        <v>64</v>
      </c>
      <c r="B67" s="1276" t="s">
        <v>47</v>
      </c>
      <c r="C67" s="1277" t="s">
        <v>48</v>
      </c>
      <c r="D67" s="1260">
        <f>VLOOKUP(B67,'DSOAT-T1.2025'!B69:D151,3,0)</f>
        <v>4130200.0000000005</v>
      </c>
      <c r="E67" s="137">
        <f>VLOOKUP(B67,'DSOAT-T1.2025'!$B$11:$AJ$88,35,0)</f>
        <v>8182234</v>
      </c>
      <c r="F67" s="138">
        <f>VLOOKUP(B67,'DSOAT-T1.2025'!$B$11:$AQ$88,42,0)</f>
        <v>433671</v>
      </c>
      <c r="G67" s="138">
        <v>11000000</v>
      </c>
      <c r="H67" s="138">
        <f>VLOOKUP(B67,'[14]Thuế TNCN _T1'!$B$9:$H$90,7,0)</f>
        <v>2</v>
      </c>
      <c r="I67" s="138">
        <f t="shared" si="0"/>
        <v>8800000</v>
      </c>
      <c r="J67" s="138">
        <f t="shared" si="1"/>
        <v>0</v>
      </c>
      <c r="K67" s="1261">
        <f t="shared" si="2"/>
        <v>0</v>
      </c>
      <c r="L67" s="1262"/>
      <c r="S67" s="1262"/>
      <c r="X67" s="1263"/>
      <c r="Y67" s="1262"/>
      <c r="AA67" s="1264"/>
      <c r="AB67" s="1265"/>
      <c r="AC67" s="1264" t="s">
        <v>218</v>
      </c>
      <c r="AD67" s="1266">
        <f>IFERROR(VLOOKUP(B67,'[16]BẢNG LƯƠNG T10.2022'!$B$10:$G$78,6,0),0)</f>
        <v>0</v>
      </c>
      <c r="AE67" s="1262" t="e">
        <f>#REF!-AD67</f>
        <v>#REF!</v>
      </c>
    </row>
    <row r="68" spans="1:31" s="140" customFormat="1" ht="20.25" customHeight="1">
      <c r="A68" s="136">
        <v>65</v>
      </c>
      <c r="B68" s="1276" t="s">
        <v>271</v>
      </c>
      <c r="C68" s="1277" t="s">
        <v>269</v>
      </c>
      <c r="D68" s="1260">
        <f>VLOOKUP(B68,'DSOAT-T1.2025'!B70:D152,3,0)</f>
        <v>3691500</v>
      </c>
      <c r="E68" s="137">
        <f>VLOOKUP(B68,'DSOAT-T1.2025'!$B$11:$AJ$88,35,0)</f>
        <v>7114891</v>
      </c>
      <c r="F68" s="138">
        <f>VLOOKUP(B68,'DSOAT-T1.2025'!$B$11:$AQ$88,42,0)</f>
        <v>387608</v>
      </c>
      <c r="G68" s="138">
        <v>11000000</v>
      </c>
      <c r="H68" s="138">
        <f>VLOOKUP(B68,'[14]Thuế TNCN _T1'!$B$9:$H$90,7,0)</f>
        <v>0</v>
      </c>
      <c r="I68" s="138">
        <f t="shared" si="0"/>
        <v>0</v>
      </c>
      <c r="J68" s="138">
        <f t="shared" si="1"/>
        <v>0</v>
      </c>
      <c r="K68" s="1261">
        <f t="shared" si="2"/>
        <v>0</v>
      </c>
      <c r="L68" s="1262"/>
      <c r="S68" s="1262"/>
      <c r="X68" s="1263"/>
      <c r="Y68" s="1262"/>
      <c r="AA68" s="1264"/>
      <c r="AB68" s="1265"/>
      <c r="AC68" s="1264"/>
      <c r="AD68" s="1266"/>
      <c r="AE68" s="1262"/>
    </row>
    <row r="69" spans="1:31" s="140" customFormat="1" ht="20.25" customHeight="1">
      <c r="A69" s="136">
        <v>66</v>
      </c>
      <c r="B69" s="1276" t="s">
        <v>272</v>
      </c>
      <c r="C69" s="1277" t="s">
        <v>273</v>
      </c>
      <c r="D69" s="1260">
        <f>VLOOKUP(B69,'DSOAT-T1.2025'!B71:D153,3,0)</f>
        <v>4718700</v>
      </c>
      <c r="E69" s="137">
        <f>VLOOKUP(B69,'DSOAT-T1.2025'!$B$11:$AJ$88,35,0)</f>
        <v>11958730</v>
      </c>
      <c r="F69" s="138">
        <f>VLOOKUP(B69,'DSOAT-T1.2025'!$B$11:$AQ$88,42,0)</f>
        <v>495464</v>
      </c>
      <c r="G69" s="138">
        <v>11000000</v>
      </c>
      <c r="H69" s="138">
        <f>VLOOKUP(B69,'[14]Thuế TNCN _T1'!$B$9:$H$90,7,0)</f>
        <v>0</v>
      </c>
      <c r="I69" s="138">
        <f t="shared" ref="I69:I86" si="4">H69*4400000</f>
        <v>0</v>
      </c>
      <c r="J69" s="138">
        <f t="shared" ref="J69:J86" si="5">IF(E69-F69-G69-I69&gt;0,E69-F69-G69-I69,0)</f>
        <v>463266</v>
      </c>
      <c r="K69" s="1261">
        <f t="shared" ref="K69:K86" si="6">ROUND(IF(J69&gt;80000000,J69*35%-9850000,IF(J69&gt;52000000,J69*30%-5850000,IF(J69&gt;32000000,J69*25%-3250000,IF(J69&gt;18000000,J69*20%-1650000,IF(J69&gt;10000000,J69*15%-750000,IF(J69&gt;5000000,J69*10%-250000,IF(J69&gt;0,J69*5%,0))))))),0)</f>
        <v>23163</v>
      </c>
      <c r="L69" s="1262"/>
      <c r="S69" s="1262"/>
      <c r="X69" s="1263"/>
      <c r="Y69" s="1262"/>
      <c r="AA69" s="1264"/>
      <c r="AB69" s="1265"/>
      <c r="AC69" s="1264"/>
      <c r="AD69" s="1266"/>
      <c r="AE69" s="1262"/>
    </row>
    <row r="70" spans="1:31" s="140" customFormat="1" ht="20.25" customHeight="1">
      <c r="A70" s="136">
        <v>67</v>
      </c>
      <c r="B70" s="1276" t="s">
        <v>283</v>
      </c>
      <c r="C70" s="1277" t="s">
        <v>281</v>
      </c>
      <c r="D70" s="1260">
        <f>VLOOKUP(B70,'DSOAT-T1.2025'!B72:D154,3,0)</f>
        <v>4130200.0000000005</v>
      </c>
      <c r="E70" s="137">
        <f>VLOOKUP(B70,'DSOAT-T1.2025'!$B$11:$AJ$88,35,0)</f>
        <v>10560883</v>
      </c>
      <c r="F70" s="138">
        <f>VLOOKUP(B70,'DSOAT-T1.2025'!$B$11:$AQ$88,42,0)</f>
        <v>433671</v>
      </c>
      <c r="G70" s="138">
        <v>11000000</v>
      </c>
      <c r="H70" s="138">
        <f>VLOOKUP(B70,'[14]Thuế TNCN _T1'!$B$9:$H$90,7,0)</f>
        <v>0</v>
      </c>
      <c r="I70" s="138">
        <f t="shared" si="4"/>
        <v>0</v>
      </c>
      <c r="J70" s="138">
        <f t="shared" si="5"/>
        <v>0</v>
      </c>
      <c r="K70" s="1261">
        <f t="shared" si="6"/>
        <v>0</v>
      </c>
      <c r="L70" s="1262"/>
      <c r="S70" s="1262"/>
      <c r="X70" s="1263"/>
      <c r="Y70" s="1262"/>
      <c r="AA70" s="1264"/>
      <c r="AB70" s="1265"/>
      <c r="AC70" s="1264"/>
      <c r="AD70" s="1266"/>
      <c r="AE70" s="1262"/>
    </row>
    <row r="71" spans="1:31" s="140" customFormat="1" ht="20.25" customHeight="1">
      <c r="A71" s="136">
        <v>68</v>
      </c>
      <c r="B71" s="1276" t="s">
        <v>284</v>
      </c>
      <c r="C71" s="1277" t="s">
        <v>282</v>
      </c>
      <c r="D71" s="1260">
        <f>VLOOKUP(B71,'DSOAT-T1.2025'!B73:D155,3,0)</f>
        <v>3691500</v>
      </c>
      <c r="E71" s="137">
        <f>VLOOKUP(B71,'DSOAT-T1.2025'!$B$11:$AJ$88,35,0)</f>
        <v>11990352</v>
      </c>
      <c r="F71" s="138">
        <f>VLOOKUP(B71,'DSOAT-T1.2025'!$B$11:$AQ$88,42,0)</f>
        <v>387608</v>
      </c>
      <c r="G71" s="138">
        <v>11000000</v>
      </c>
      <c r="H71" s="138">
        <f>VLOOKUP(B71,'[14]Thuế TNCN _T1'!$B$9:$H$90,7,0)</f>
        <v>0</v>
      </c>
      <c r="I71" s="138">
        <f t="shared" si="4"/>
        <v>0</v>
      </c>
      <c r="J71" s="138">
        <f t="shared" si="5"/>
        <v>602744</v>
      </c>
      <c r="K71" s="1261">
        <f t="shared" si="6"/>
        <v>30137</v>
      </c>
      <c r="L71" s="1262"/>
      <c r="S71" s="1262"/>
      <c r="X71" s="1263"/>
      <c r="Y71" s="1262"/>
      <c r="AA71" s="1264"/>
      <c r="AB71" s="1265"/>
      <c r="AC71" s="1264"/>
      <c r="AD71" s="1266"/>
      <c r="AE71" s="1262"/>
    </row>
    <row r="72" spans="1:31" s="140" customFormat="1" ht="20.25" customHeight="1">
      <c r="A72" s="136">
        <v>69</v>
      </c>
      <c r="B72" s="1276" t="s">
        <v>287</v>
      </c>
      <c r="C72" s="1277" t="s">
        <v>288</v>
      </c>
      <c r="D72" s="1260">
        <f>VLOOKUP(B72,'DSOAT-T1.2025'!B74:D156,3,0)</f>
        <v>3691500</v>
      </c>
      <c r="E72" s="137">
        <f>VLOOKUP(B72,'DSOAT-T1.2025'!$B$11:$AJ$88,35,0)</f>
        <v>10516287</v>
      </c>
      <c r="F72" s="138">
        <f>VLOOKUP(B72,'DSOAT-T1.2025'!$B$11:$AQ$88,42,0)</f>
        <v>0</v>
      </c>
      <c r="G72" s="138">
        <v>11000000</v>
      </c>
      <c r="H72" s="138">
        <f>VLOOKUP(B72,'[14]Thuế TNCN _T1'!$B$9:$H$90,7,0)</f>
        <v>0</v>
      </c>
      <c r="I72" s="138">
        <f t="shared" si="4"/>
        <v>0</v>
      </c>
      <c r="J72" s="138">
        <f t="shared" si="5"/>
        <v>0</v>
      </c>
      <c r="K72" s="1261">
        <f t="shared" si="6"/>
        <v>0</v>
      </c>
      <c r="L72" s="1262"/>
      <c r="S72" s="1262"/>
      <c r="X72" s="1263"/>
      <c r="Y72" s="1262"/>
      <c r="AA72" s="1264"/>
      <c r="AB72" s="1265"/>
      <c r="AC72" s="1264"/>
      <c r="AD72" s="1266"/>
      <c r="AE72" s="1262"/>
    </row>
    <row r="73" spans="1:31" s="140" customFormat="1" ht="20.25" customHeight="1">
      <c r="A73" s="136">
        <v>70</v>
      </c>
      <c r="B73" s="1276" t="s">
        <v>290</v>
      </c>
      <c r="C73" s="1277" t="s">
        <v>289</v>
      </c>
      <c r="D73" s="1260">
        <f>VLOOKUP(B73,'DSOAT-T1.2025'!B75:D157,3,0)</f>
        <v>3691500</v>
      </c>
      <c r="E73" s="137">
        <f>VLOOKUP(B73,'DSOAT-T1.2025'!$B$11:$AJ$88,35,0)</f>
        <v>7816107</v>
      </c>
      <c r="F73" s="138">
        <f>VLOOKUP(B73,'DSOAT-T1.2025'!$B$11:$AQ$88,42,0)</f>
        <v>387608</v>
      </c>
      <c r="G73" s="138">
        <v>11000000</v>
      </c>
      <c r="H73" s="138">
        <f>VLOOKUP(B73,'[14]Thuế TNCN _T1'!$B$9:$H$90,7,0)</f>
        <v>0</v>
      </c>
      <c r="I73" s="138">
        <f t="shared" si="4"/>
        <v>0</v>
      </c>
      <c r="J73" s="138">
        <f t="shared" si="5"/>
        <v>0</v>
      </c>
      <c r="K73" s="1261">
        <f t="shared" si="6"/>
        <v>0</v>
      </c>
      <c r="L73" s="1262"/>
      <c r="S73" s="1262"/>
      <c r="X73" s="1263"/>
      <c r="Y73" s="1262"/>
      <c r="AA73" s="1264"/>
      <c r="AB73" s="1265"/>
      <c r="AC73" s="1264"/>
      <c r="AD73" s="1266"/>
      <c r="AE73" s="1262"/>
    </row>
    <row r="74" spans="1:31" s="140" customFormat="1" ht="20.25" customHeight="1">
      <c r="A74" s="136">
        <v>71</v>
      </c>
      <c r="B74" s="1276" t="s">
        <v>294</v>
      </c>
      <c r="C74" s="1277" t="s">
        <v>295</v>
      </c>
      <c r="D74" s="1260">
        <f>VLOOKUP(B74,'DSOAT-T1.2025'!B76:D158,3,0)</f>
        <v>4718700</v>
      </c>
      <c r="E74" s="137">
        <f>VLOOKUP(B74,'DSOAT-T1.2025'!$B$11:$AJ$88,35,0)</f>
        <v>7289048</v>
      </c>
      <c r="F74" s="138">
        <f>VLOOKUP(B74,'DSOAT-T1.2025'!$B$11:$AQ$88,42,0)</f>
        <v>495464</v>
      </c>
      <c r="G74" s="138">
        <v>11000000</v>
      </c>
      <c r="H74" s="138">
        <f>VLOOKUP(B74,'[14]Thuế TNCN _T1'!$B$9:$H$90,7,0)</f>
        <v>0</v>
      </c>
      <c r="I74" s="138">
        <f t="shared" si="4"/>
        <v>0</v>
      </c>
      <c r="J74" s="138">
        <f t="shared" si="5"/>
        <v>0</v>
      </c>
      <c r="K74" s="1261">
        <f t="shared" si="6"/>
        <v>0</v>
      </c>
      <c r="L74" s="1262"/>
      <c r="S74" s="1262"/>
      <c r="X74" s="1263"/>
      <c r="Y74" s="1262"/>
      <c r="AA74" s="1264"/>
      <c r="AB74" s="1265"/>
      <c r="AC74" s="1264"/>
      <c r="AD74" s="1266"/>
      <c r="AE74" s="1262"/>
    </row>
    <row r="75" spans="1:31" s="140" customFormat="1" ht="20.25" customHeight="1">
      <c r="A75" s="136">
        <v>72</v>
      </c>
      <c r="B75" s="1276" t="s">
        <v>434</v>
      </c>
      <c r="C75" s="1277" t="s">
        <v>435</v>
      </c>
      <c r="D75" s="1260">
        <f>VLOOKUP(B75,'DSOAT-T1.2025'!B77:D159,3,0)</f>
        <v>4718700</v>
      </c>
      <c r="E75" s="137">
        <f>VLOOKUP(B75,'DSOAT-T1.2025'!$B$11:$AJ$88,35,0)</f>
        <v>8073742</v>
      </c>
      <c r="F75" s="138">
        <f>VLOOKUP(B75,'DSOAT-T1.2025'!$B$11:$AQ$88,42,0)</f>
        <v>495464</v>
      </c>
      <c r="G75" s="138">
        <v>11000000</v>
      </c>
      <c r="H75" s="138">
        <f>VLOOKUP(B75,'[14]Thuế TNCN _T1'!$B$9:$H$90,7,0)</f>
        <v>0</v>
      </c>
      <c r="I75" s="138">
        <f t="shared" si="4"/>
        <v>0</v>
      </c>
      <c r="J75" s="138">
        <f t="shared" si="5"/>
        <v>0</v>
      </c>
      <c r="K75" s="1261">
        <f t="shared" si="6"/>
        <v>0</v>
      </c>
      <c r="L75" s="1262"/>
      <c r="S75" s="1262"/>
      <c r="X75" s="1263"/>
      <c r="Y75" s="1262"/>
      <c r="AA75" s="1264"/>
      <c r="AB75" s="1265"/>
      <c r="AC75" s="1264"/>
      <c r="AD75" s="1266"/>
      <c r="AE75" s="1262"/>
    </row>
    <row r="76" spans="1:31" s="140" customFormat="1" ht="20.25" customHeight="1">
      <c r="A76" s="136">
        <v>73</v>
      </c>
      <c r="B76" s="1276" t="s">
        <v>901</v>
      </c>
      <c r="C76" s="1277" t="s">
        <v>644</v>
      </c>
      <c r="D76" s="1260">
        <f>VLOOKUP(B76,'DSOAT-T1.2025'!B78:D160,3,0)</f>
        <v>4130200.0000000005</v>
      </c>
      <c r="E76" s="137">
        <f>VLOOKUP(B76,'DSOAT-T1.2025'!$B$11:$AJ$88,35,0)</f>
        <v>7233883</v>
      </c>
      <c r="F76" s="138">
        <f>VLOOKUP(B76,'DSOAT-T1.2025'!$B$11:$AQ$88,42,0)</f>
        <v>433671</v>
      </c>
      <c r="G76" s="138">
        <v>11000000</v>
      </c>
      <c r="H76" s="138">
        <f>VLOOKUP(B76,'[14]Thuế TNCN _T1'!$B$9:$H$90,7,0)</f>
        <v>0</v>
      </c>
      <c r="I76" s="138">
        <f t="shared" si="4"/>
        <v>0</v>
      </c>
      <c r="J76" s="138">
        <f t="shared" si="5"/>
        <v>0</v>
      </c>
      <c r="K76" s="1261">
        <f t="shared" si="6"/>
        <v>0</v>
      </c>
      <c r="L76" s="1262"/>
      <c r="S76" s="1262"/>
      <c r="X76" s="1263"/>
      <c r="Y76" s="1262"/>
      <c r="AA76" s="1264"/>
      <c r="AB76" s="1265"/>
      <c r="AC76" s="1264"/>
      <c r="AD76" s="1266"/>
      <c r="AE76" s="1262"/>
    </row>
    <row r="77" spans="1:31" s="140" customFormat="1" ht="20.25" customHeight="1">
      <c r="A77" s="136">
        <v>74</v>
      </c>
      <c r="B77" s="1276" t="s">
        <v>1310</v>
      </c>
      <c r="C77" s="1277" t="s">
        <v>1313</v>
      </c>
      <c r="D77" s="1260">
        <f>VLOOKUP(B77,'DSOAT-T1.2025'!B79:D161,3,0)</f>
        <v>4718700</v>
      </c>
      <c r="E77" s="137">
        <f>VLOOKUP(B77,'DSOAT-T1.2025'!$B$11:$AJ$88,35,0)</f>
        <v>10220303</v>
      </c>
      <c r="F77" s="138">
        <f>VLOOKUP(B77,'DSOAT-T1.2025'!$B$11:$AQ$88,42,0)</f>
        <v>495464</v>
      </c>
      <c r="G77" s="138">
        <v>11000000</v>
      </c>
      <c r="H77" s="138">
        <f>VLOOKUP(B77,'[14]Thuế TNCN _T1'!$B$9:$H$90,7,0)</f>
        <v>0</v>
      </c>
      <c r="I77" s="138">
        <f t="shared" si="4"/>
        <v>0</v>
      </c>
      <c r="J77" s="138">
        <f t="shared" si="5"/>
        <v>0</v>
      </c>
      <c r="K77" s="1261">
        <f t="shared" si="6"/>
        <v>0</v>
      </c>
      <c r="L77" s="1262"/>
      <c r="S77" s="1262"/>
      <c r="X77" s="1263"/>
      <c r="Y77" s="1262"/>
      <c r="AA77" s="1264"/>
      <c r="AB77" s="1265"/>
      <c r="AC77" s="1264"/>
      <c r="AD77" s="1266"/>
      <c r="AE77" s="1262"/>
    </row>
    <row r="78" spans="1:31" s="140" customFormat="1" ht="20.25" customHeight="1">
      <c r="A78" s="136">
        <v>75</v>
      </c>
      <c r="B78" s="1276" t="s">
        <v>1312</v>
      </c>
      <c r="C78" s="1277" t="s">
        <v>1314</v>
      </c>
      <c r="D78" s="1260">
        <f>VLOOKUP(B78,'DSOAT-T1.2025'!B80:D162,3,0)</f>
        <v>3691500</v>
      </c>
      <c r="E78" s="137">
        <f>VLOOKUP(B78,'DSOAT-T1.2025'!$B$11:$AJ$88,35,0)</f>
        <v>4750992</v>
      </c>
      <c r="F78" s="138">
        <f>VLOOKUP(B78,'DSOAT-T1.2025'!$B$11:$AQ$88,42,0)</f>
        <v>387608</v>
      </c>
      <c r="G78" s="138">
        <v>11000000</v>
      </c>
      <c r="H78" s="138">
        <f>VLOOKUP(B78,'[14]Thuế TNCN _T1'!$B$9:$H$90,7,0)</f>
        <v>0</v>
      </c>
      <c r="I78" s="138">
        <f t="shared" si="4"/>
        <v>0</v>
      </c>
      <c r="J78" s="138">
        <f t="shared" si="5"/>
        <v>0</v>
      </c>
      <c r="K78" s="1261">
        <f t="shared" si="6"/>
        <v>0</v>
      </c>
      <c r="L78" s="1262"/>
      <c r="S78" s="1262"/>
      <c r="X78" s="1263"/>
      <c r="Y78" s="1262"/>
      <c r="AA78" s="1264"/>
      <c r="AB78" s="1265"/>
      <c r="AC78" s="1264"/>
      <c r="AD78" s="1266"/>
      <c r="AE78" s="1262"/>
    </row>
    <row r="79" spans="1:31" s="140" customFormat="1" ht="20.25" customHeight="1">
      <c r="A79" s="136">
        <v>76</v>
      </c>
      <c r="B79" s="1276" t="s">
        <v>1311</v>
      </c>
      <c r="C79" s="1277" t="s">
        <v>1316</v>
      </c>
      <c r="D79" s="1260">
        <f>VLOOKUP(B79,'DSOAT-T1.2025'!B81:D163,3,0)</f>
        <v>4718700</v>
      </c>
      <c r="E79" s="137">
        <f>VLOOKUP(B79,'DSOAT-T1.2025'!$B$11:$AJ$88,35,0)</f>
        <v>7503465</v>
      </c>
      <c r="F79" s="138">
        <f>VLOOKUP(B79,'DSOAT-T1.2025'!$B$11:$AQ$88,42,0)</f>
        <v>495464</v>
      </c>
      <c r="G79" s="138">
        <v>11000000</v>
      </c>
      <c r="H79" s="138">
        <f>VLOOKUP(B79,'[14]Thuế TNCN _T1'!$B$9:$H$90,7,0)</f>
        <v>0</v>
      </c>
      <c r="I79" s="138">
        <f t="shared" si="4"/>
        <v>0</v>
      </c>
      <c r="J79" s="138">
        <f t="shared" si="5"/>
        <v>0</v>
      </c>
      <c r="K79" s="1261">
        <f t="shared" si="6"/>
        <v>0</v>
      </c>
      <c r="L79" s="1262"/>
      <c r="S79" s="1262"/>
      <c r="X79" s="1263"/>
      <c r="Y79" s="1262"/>
      <c r="AA79" s="1264"/>
      <c r="AB79" s="1265"/>
      <c r="AC79" s="1264"/>
      <c r="AD79" s="1266"/>
      <c r="AE79" s="1262"/>
    </row>
    <row r="80" spans="1:31" s="140" customFormat="1" ht="20.25" customHeight="1">
      <c r="A80" s="136">
        <v>77</v>
      </c>
      <c r="B80" s="1276" t="s">
        <v>1457</v>
      </c>
      <c r="C80" s="1277" t="s">
        <v>1458</v>
      </c>
      <c r="D80" s="1260">
        <f>VLOOKUP(B80,'DSOAT-T1.2025'!B82:D164,3,0)</f>
        <v>4130200.0000000005</v>
      </c>
      <c r="E80" s="137">
        <f>VLOOKUP(B80,'DSOAT-T1.2025'!$B$11:$AJ$88,35,0)</f>
        <v>6725717</v>
      </c>
      <c r="F80" s="138">
        <f>VLOOKUP(B80,'DSOAT-T1.2025'!$B$11:$AQ$88,42,0)</f>
        <v>433671</v>
      </c>
      <c r="G80" s="138">
        <v>11000000</v>
      </c>
      <c r="H80" s="138">
        <f>VLOOKUP(B80,'[14]Thuế TNCN _T1'!$B$9:$H$90,7,0)</f>
        <v>0</v>
      </c>
      <c r="I80" s="138">
        <f t="shared" si="4"/>
        <v>0</v>
      </c>
      <c r="J80" s="138">
        <f t="shared" si="5"/>
        <v>0</v>
      </c>
      <c r="K80" s="1261">
        <f t="shared" si="6"/>
        <v>0</v>
      </c>
      <c r="L80" s="1262"/>
      <c r="S80" s="1262"/>
      <c r="X80" s="1263"/>
      <c r="Y80" s="1262"/>
      <c r="AA80" s="1264"/>
      <c r="AB80" s="1265"/>
      <c r="AC80" s="1264"/>
      <c r="AD80" s="1266"/>
      <c r="AE80" s="1262"/>
    </row>
    <row r="81" spans="1:31" s="140" customFormat="1" ht="20.25" customHeight="1">
      <c r="A81" s="136">
        <v>72</v>
      </c>
      <c r="B81" s="1276" t="s">
        <v>1471</v>
      </c>
      <c r="C81" s="1277" t="s">
        <v>690</v>
      </c>
      <c r="D81" s="1260">
        <f>VLOOKUP(B81,'DSOAT-T1.2025'!B83:D165,3,0)</f>
        <v>4130200.0000000005</v>
      </c>
      <c r="E81" s="137">
        <f>VLOOKUP(B81,'DSOAT-T1.2025'!$B$11:$AJ$88,35,0)</f>
        <v>11111868</v>
      </c>
      <c r="F81" s="138">
        <f>VLOOKUP(B81,'DSOAT-T1.2025'!$B$11:$AQ$88,42,0)</f>
        <v>433671</v>
      </c>
      <c r="G81" s="138">
        <v>11000000</v>
      </c>
      <c r="H81" s="138">
        <f>VLOOKUP(B81,'[14]Thuế TNCN _T1'!$B$9:$H$90,7,0)</f>
        <v>0</v>
      </c>
      <c r="I81" s="138">
        <f t="shared" si="4"/>
        <v>0</v>
      </c>
      <c r="J81" s="138">
        <f t="shared" si="5"/>
        <v>0</v>
      </c>
      <c r="K81" s="1261">
        <f t="shared" si="6"/>
        <v>0</v>
      </c>
      <c r="L81" s="1262"/>
      <c r="S81" s="1262"/>
      <c r="X81" s="1263"/>
      <c r="Y81" s="1262"/>
      <c r="AA81" s="1264"/>
      <c r="AB81" s="1265"/>
      <c r="AC81" s="1264"/>
      <c r="AD81" s="1266"/>
      <c r="AE81" s="1262"/>
    </row>
    <row r="82" spans="1:31" s="140" customFormat="1" ht="20.25" customHeight="1">
      <c r="A82" s="136">
        <v>73</v>
      </c>
      <c r="B82" s="1276" t="s">
        <v>1472</v>
      </c>
      <c r="C82" s="1277" t="s">
        <v>1473</v>
      </c>
      <c r="D82" s="1260">
        <f>VLOOKUP(B82,'DSOAT-T1.2025'!B84:D166,3,0)</f>
        <v>3691500</v>
      </c>
      <c r="E82" s="137">
        <f>VLOOKUP(B82,'DSOAT-T1.2025'!$B$11:$AJ$88,35,0)</f>
        <v>5796171</v>
      </c>
      <c r="F82" s="138">
        <f>VLOOKUP(B82,'DSOAT-T1.2025'!$B$11:$AQ$88,42,0)</f>
        <v>387608</v>
      </c>
      <c r="G82" s="138">
        <v>11000000</v>
      </c>
      <c r="H82" s="138">
        <f>VLOOKUP(B82,'[14]Thuế TNCN _T1'!$B$9:$H$90,7,0)</f>
        <v>0</v>
      </c>
      <c r="I82" s="138">
        <f t="shared" si="4"/>
        <v>0</v>
      </c>
      <c r="J82" s="138">
        <f t="shared" si="5"/>
        <v>0</v>
      </c>
      <c r="K82" s="1261">
        <f t="shared" si="6"/>
        <v>0</v>
      </c>
      <c r="L82" s="1262"/>
      <c r="S82" s="1262"/>
      <c r="X82" s="1263"/>
      <c r="Y82" s="1262"/>
      <c r="AA82" s="1264"/>
      <c r="AB82" s="1265"/>
      <c r="AC82" s="1264"/>
      <c r="AD82" s="1266"/>
      <c r="AE82" s="1262"/>
    </row>
    <row r="83" spans="1:31" s="140" customFormat="1" ht="20.25" customHeight="1">
      <c r="A83" s="136">
        <v>74</v>
      </c>
      <c r="B83" s="1276" t="s">
        <v>1655</v>
      </c>
      <c r="C83" s="1277" t="s">
        <v>765</v>
      </c>
      <c r="D83" s="1260">
        <f>VLOOKUP(B83,'DSOAT-T1.2025'!B85:D167,3,0)</f>
        <v>3691500</v>
      </c>
      <c r="E83" s="137">
        <f>VLOOKUP(B83,'DSOAT-T1.2025'!$B$11:$AJ$88,35,0)</f>
        <v>12355786</v>
      </c>
      <c r="F83" s="138">
        <f>VLOOKUP(B83,'DSOAT-T1.2025'!$B$11:$AQ$88,42,0)</f>
        <v>387608</v>
      </c>
      <c r="G83" s="138">
        <v>11000000</v>
      </c>
      <c r="H83" s="138">
        <f>VLOOKUP(B83,'[14]Thuế TNCN _T1'!$B$9:$H$90,7,0)</f>
        <v>0</v>
      </c>
      <c r="I83" s="138">
        <f t="shared" si="4"/>
        <v>0</v>
      </c>
      <c r="J83" s="138">
        <f t="shared" si="5"/>
        <v>968178</v>
      </c>
      <c r="K83" s="1261">
        <f t="shared" si="6"/>
        <v>48409</v>
      </c>
      <c r="L83" s="1262"/>
      <c r="S83" s="1262"/>
      <c r="X83" s="1263"/>
      <c r="Y83" s="1262"/>
      <c r="AA83" s="1264"/>
      <c r="AB83" s="1265"/>
      <c r="AC83" s="1264"/>
      <c r="AD83" s="1266"/>
      <c r="AE83" s="1262"/>
    </row>
    <row r="84" spans="1:31" s="140" customFormat="1" ht="20.25" customHeight="1">
      <c r="A84" s="136">
        <v>75</v>
      </c>
      <c r="B84" s="1276" t="s">
        <v>2057</v>
      </c>
      <c r="C84" s="1277" t="s">
        <v>1434</v>
      </c>
      <c r="D84" s="1260">
        <f>VLOOKUP(B84,'DSOAT-T1.2025'!B86:D168,3,0)</f>
        <v>3691500</v>
      </c>
      <c r="E84" s="137">
        <f>VLOOKUP(B84,'DSOAT-T1.2025'!$B$11:$AJ$88,35,0)</f>
        <v>10253595</v>
      </c>
      <c r="F84" s="138">
        <f>VLOOKUP(B84,'DSOAT-T1.2025'!$B$11:$AQ$88,42,0)</f>
        <v>387608</v>
      </c>
      <c r="G84" s="138">
        <v>11000000</v>
      </c>
      <c r="H84" s="138">
        <f>VLOOKUP(B84,'[14]Thuế TNCN _T1'!$B$9:$H$90,7,0)</f>
        <v>0</v>
      </c>
      <c r="I84" s="138">
        <f t="shared" si="4"/>
        <v>0</v>
      </c>
      <c r="J84" s="138">
        <f t="shared" si="5"/>
        <v>0</v>
      </c>
      <c r="K84" s="1261">
        <f t="shared" si="6"/>
        <v>0</v>
      </c>
      <c r="L84" s="1262"/>
      <c r="S84" s="1262"/>
      <c r="X84" s="1263"/>
      <c r="Y84" s="1262"/>
      <c r="AA84" s="1264"/>
      <c r="AB84" s="1265"/>
      <c r="AC84" s="1264"/>
      <c r="AD84" s="1266"/>
      <c r="AE84" s="1262"/>
    </row>
    <row r="85" spans="1:31" s="140" customFormat="1" ht="20.25" customHeight="1">
      <c r="A85" s="136">
        <v>76</v>
      </c>
      <c r="B85" s="1276" t="s">
        <v>2058</v>
      </c>
      <c r="C85" s="1277" t="s">
        <v>831</v>
      </c>
      <c r="D85" s="1260">
        <f>VLOOKUP(B85,'DSOAT-T1.2025'!B87:D169,3,0)</f>
        <v>4718700</v>
      </c>
      <c r="E85" s="137">
        <f>VLOOKUP(B85,'DSOAT-T1.2025'!$B$11:$AJ$88,35,0)</f>
        <v>4934635</v>
      </c>
      <c r="F85" s="138">
        <f>VLOOKUP(B85,'DSOAT-T1.2025'!$B$11:$AQ$88,42,0)</f>
        <v>495464</v>
      </c>
      <c r="G85" s="138">
        <v>11000000</v>
      </c>
      <c r="H85" s="138">
        <f>VLOOKUP(B85,'[14]Thuế TNCN _T1'!$B$9:$H$90,7,0)</f>
        <v>0</v>
      </c>
      <c r="I85" s="138">
        <f t="shared" si="4"/>
        <v>0</v>
      </c>
      <c r="J85" s="138">
        <f t="shared" si="5"/>
        <v>0</v>
      </c>
      <c r="K85" s="1261">
        <f t="shared" si="6"/>
        <v>0</v>
      </c>
      <c r="L85" s="1262"/>
      <c r="S85" s="1262"/>
      <c r="X85" s="1263"/>
      <c r="Y85" s="1262"/>
      <c r="AA85" s="1264"/>
      <c r="AB85" s="1265"/>
      <c r="AC85" s="1264"/>
      <c r="AD85" s="1266"/>
      <c r="AE85" s="1262"/>
    </row>
    <row r="86" spans="1:31" s="140" customFormat="1" ht="20.25" customHeight="1">
      <c r="A86" s="136">
        <v>77</v>
      </c>
      <c r="B86" s="1276" t="s">
        <v>2059</v>
      </c>
      <c r="C86" s="1277" t="s">
        <v>716</v>
      </c>
      <c r="D86" s="1260">
        <f>VLOOKUP(B86,'DSOAT-T1.2025'!B88:D170,3,0)</f>
        <v>4130200.0000000005</v>
      </c>
      <c r="E86" s="137">
        <f>VLOOKUP(B86,'DSOAT-T1.2025'!$B$11:$AJ$88,35,0)</f>
        <v>17087280</v>
      </c>
      <c r="F86" s="138">
        <f>VLOOKUP(B86,'DSOAT-T1.2025'!$B$11:$AQ$88,42,0)</f>
        <v>433671</v>
      </c>
      <c r="G86" s="138">
        <v>11000000</v>
      </c>
      <c r="H86" s="138">
        <f>VLOOKUP(B86,'[14]Thuế TNCN _T1'!$B$9:$H$90,7,0)</f>
        <v>0</v>
      </c>
      <c r="I86" s="138">
        <f t="shared" si="4"/>
        <v>0</v>
      </c>
      <c r="J86" s="138">
        <f t="shared" si="5"/>
        <v>5653609</v>
      </c>
      <c r="K86" s="1261">
        <f t="shared" si="6"/>
        <v>315361</v>
      </c>
      <c r="L86" s="1262"/>
      <c r="S86" s="1262"/>
      <c r="X86" s="1263"/>
      <c r="Y86" s="1262"/>
      <c r="AA86" s="1264"/>
      <c r="AB86" s="1265"/>
      <c r="AC86" s="1264"/>
      <c r="AD86" s="1266"/>
      <c r="AE86" s="1262"/>
    </row>
    <row r="87" spans="1:31" s="145" customFormat="1" ht="21" customHeight="1">
      <c r="A87" s="1495" t="s">
        <v>110</v>
      </c>
      <c r="B87" s="1496"/>
      <c r="C87" s="1497"/>
      <c r="D87" s="144">
        <f t="shared" ref="D87:K87" si="7">SUM(D9:D86)</f>
        <v>331625100</v>
      </c>
      <c r="E87" s="144">
        <f t="shared" si="7"/>
        <v>974287851</v>
      </c>
      <c r="F87" s="144">
        <f t="shared" si="7"/>
        <v>34433053</v>
      </c>
      <c r="G87" s="144">
        <f t="shared" si="7"/>
        <v>858000000</v>
      </c>
      <c r="H87" s="144">
        <f t="shared" si="7"/>
        <v>57</v>
      </c>
      <c r="I87" s="144">
        <f t="shared" si="7"/>
        <v>250800000</v>
      </c>
      <c r="J87" s="144">
        <f t="shared" si="7"/>
        <v>107205194</v>
      </c>
      <c r="K87" s="144">
        <f t="shared" si="7"/>
        <v>11037236</v>
      </c>
      <c r="X87" s="1278"/>
      <c r="AC87" s="1279"/>
      <c r="AD87" s="1280"/>
    </row>
    <row r="88" spans="1:31" s="154" customFormat="1" ht="17.25" customHeight="1">
      <c r="A88" s="146"/>
      <c r="B88" s="147"/>
      <c r="C88" s="147"/>
      <c r="D88" s="148"/>
      <c r="E88" s="149"/>
      <c r="F88" s="150"/>
      <c r="G88" s="151"/>
      <c r="H88" s="27"/>
      <c r="I88" s="152"/>
      <c r="J88" s="153"/>
      <c r="L88" s="27"/>
      <c r="M88" s="1281"/>
      <c r="O88" s="27"/>
      <c r="P88" s="27"/>
      <c r="V88" s="1282"/>
      <c r="W88" s="1282"/>
      <c r="X88" s="1282"/>
      <c r="Y88" s="1282"/>
      <c r="Z88" s="1282"/>
      <c r="AA88" s="1282"/>
      <c r="AB88" s="1282"/>
    </row>
    <row r="89" spans="1:31" s="154" customFormat="1" ht="18.75" customHeight="1">
      <c r="A89" s="1478" t="s">
        <v>192</v>
      </c>
      <c r="B89" s="1478"/>
      <c r="C89" s="1478"/>
      <c r="D89" s="1478"/>
      <c r="E89" s="1478"/>
      <c r="F89" s="1478"/>
      <c r="G89" s="1478" t="s">
        <v>191</v>
      </c>
      <c r="H89" s="1478"/>
      <c r="I89" s="1478"/>
      <c r="J89" s="1478"/>
      <c r="K89" s="1478"/>
      <c r="L89" s="1283"/>
      <c r="M89" s="1283"/>
      <c r="N89" s="1283"/>
      <c r="O89" s="1283"/>
      <c r="P89" s="1283"/>
      <c r="Q89" s="1283"/>
      <c r="R89" s="1283"/>
      <c r="S89" s="1283"/>
      <c r="T89" s="1283"/>
      <c r="U89" s="1283"/>
      <c r="V89" s="1283"/>
      <c r="W89" s="1283"/>
      <c r="X89" s="155"/>
      <c r="Y89" s="155"/>
      <c r="Z89" s="155"/>
      <c r="AA89" s="155"/>
      <c r="AB89" s="155"/>
    </row>
    <row r="90" spans="1:31" s="154" customFormat="1" ht="18.75" customHeight="1">
      <c r="A90" s="146"/>
      <c r="B90" s="156"/>
      <c r="C90" s="156"/>
      <c r="D90" s="157"/>
      <c r="E90" s="156"/>
      <c r="F90" s="155"/>
      <c r="G90" s="1468" t="s">
        <v>193</v>
      </c>
      <c r="H90" s="1468"/>
      <c r="I90" s="1468"/>
      <c r="J90" s="1468"/>
      <c r="K90" s="1468"/>
      <c r="L90" s="156"/>
      <c r="X90" s="155"/>
      <c r="Y90" s="155"/>
      <c r="Z90" s="155"/>
      <c r="AA90" s="155"/>
      <c r="AB90" s="155"/>
    </row>
    <row r="91" spans="1:31" s="163" customFormat="1" ht="27.75" customHeight="1">
      <c r="A91" s="158"/>
      <c r="B91" s="147"/>
      <c r="C91" s="147"/>
      <c r="D91" s="154"/>
      <c r="E91" s="159"/>
      <c r="F91" s="160"/>
      <c r="G91" s="161"/>
      <c r="H91" s="162"/>
      <c r="I91" s="162"/>
      <c r="M91" s="154"/>
      <c r="N91" s="154"/>
      <c r="O91" s="154"/>
      <c r="Q91" s="154"/>
      <c r="V91" s="1284"/>
      <c r="W91" s="1284"/>
      <c r="X91" s="1284"/>
      <c r="Y91" s="1284"/>
      <c r="Z91" s="1284"/>
      <c r="AA91" s="1284"/>
      <c r="AB91" s="1284"/>
    </row>
    <row r="92" spans="1:31" ht="16.5" customHeight="1">
      <c r="F92" s="1451"/>
    </row>
  </sheetData>
  <autoFilter ref="A8:AI87">
    <filterColumn colId="7" showButton="0"/>
  </autoFilter>
  <mergeCells count="18">
    <mergeCell ref="G90:K90"/>
    <mergeCell ref="A87:C87"/>
    <mergeCell ref="H6:I6"/>
    <mergeCell ref="J6:J7"/>
    <mergeCell ref="K6:K7"/>
    <mergeCell ref="H8:I8"/>
    <mergeCell ref="A89:F89"/>
    <mergeCell ref="G89:K89"/>
    <mergeCell ref="A1:F1"/>
    <mergeCell ref="A3:K3"/>
    <mergeCell ref="A4:K4"/>
    <mergeCell ref="A6:A7"/>
    <mergeCell ref="B6:B7"/>
    <mergeCell ref="C6:C7"/>
    <mergeCell ref="D6:D7"/>
    <mergeCell ref="E6:E7"/>
    <mergeCell ref="F6:F7"/>
    <mergeCell ref="G6:G7"/>
  </mergeCells>
  <conditionalFormatting sqref="B90">
    <cfRule type="duplicateValues" dxfId="75" priority="2"/>
  </conditionalFormatting>
  <conditionalFormatting sqref="C81:C86">
    <cfRule type="duplicateValues" dxfId="74" priority="1" stopIfTrue="1"/>
  </conditionalFormatting>
  <conditionalFormatting sqref="C92:C65537 C9:C80 C2">
    <cfRule type="duplicateValues" dxfId="73" priority="3" stopIfTrue="1"/>
  </conditionalFormatting>
  <printOptions horizontalCentered="1"/>
  <pageMargins left="0.17" right="0.17" top="0.17" bottom="0.17" header="0.3" footer="0.17"/>
  <pageSetup paperSize="9" scale="77" fitToHeight="0"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7"/>
  <sheetViews>
    <sheetView workbookViewId="0">
      <selection activeCell="D93" sqref="D93"/>
    </sheetView>
  </sheetViews>
  <sheetFormatPr defaultColWidth="11.42578125" defaultRowHeight="15.75"/>
  <cols>
    <col min="1" max="1" width="14" style="20" customWidth="1"/>
    <col min="2" max="2" width="12.42578125" style="20" customWidth="1"/>
    <col min="3" max="3" width="5.140625" style="20" customWidth="1"/>
    <col min="4" max="4" width="27.85546875" style="20" customWidth="1"/>
    <col min="5" max="7" width="7.140625" style="20" customWidth="1"/>
    <col min="8" max="8" width="13.28515625" style="20" customWidth="1"/>
    <col min="9" max="9" width="14" style="20" customWidth="1"/>
    <col min="10" max="10" width="11.85546875" style="20" customWidth="1"/>
    <col min="11" max="11" width="13.7109375" style="20" customWidth="1"/>
    <col min="12" max="12" width="13.28515625" style="20" customWidth="1"/>
    <col min="13" max="13" width="12.140625" style="20" customWidth="1"/>
    <col min="14" max="14" width="11.42578125" style="20" customWidth="1"/>
    <col min="15" max="15" width="14.140625" style="20" customWidth="1"/>
    <col min="16" max="16" width="13.28515625" style="20" customWidth="1"/>
    <col min="17" max="17" width="13.5703125" style="20" customWidth="1"/>
    <col min="18" max="18" width="16.140625" style="59" customWidth="1"/>
    <col min="19" max="19" width="14.28515625" style="20" bestFit="1" customWidth="1"/>
    <col min="20" max="16384" width="11.42578125" style="20"/>
  </cols>
  <sheetData>
    <row r="1" spans="1:20">
      <c r="C1" s="1488" t="s">
        <v>111</v>
      </c>
      <c r="D1" s="1488"/>
      <c r="E1" s="1488"/>
      <c r="I1" s="1489" t="s">
        <v>112</v>
      </c>
      <c r="J1" s="1489"/>
      <c r="K1" s="1489"/>
      <c r="L1" s="1489"/>
      <c r="M1" s="1489"/>
      <c r="N1" s="1489"/>
      <c r="O1" s="1489"/>
    </row>
    <row r="2" spans="1:20" ht="16.5">
      <c r="C2" s="1488" t="s">
        <v>113</v>
      </c>
      <c r="D2" s="1488"/>
      <c r="E2" s="1488"/>
      <c r="I2" s="1490" t="s">
        <v>114</v>
      </c>
      <c r="J2" s="1490"/>
      <c r="K2" s="1490"/>
      <c r="L2" s="1490"/>
      <c r="M2" s="1490"/>
      <c r="N2" s="1490"/>
      <c r="O2" s="1490"/>
    </row>
    <row r="3" spans="1:20" ht="16.5">
      <c r="C3" s="1490" t="s">
        <v>115</v>
      </c>
      <c r="D3" s="1490"/>
      <c r="E3" s="1490"/>
    </row>
    <row r="4" spans="1:20" ht="16.5">
      <c r="C4" s="1490" t="s">
        <v>116</v>
      </c>
      <c r="D4" s="1490"/>
      <c r="E4" s="1490"/>
    </row>
    <row r="5" spans="1:20" ht="16.5">
      <c r="C5" s="123"/>
      <c r="D5" s="123"/>
      <c r="E5" s="123"/>
    </row>
    <row r="6" spans="1:20" ht="25.5" customHeight="1">
      <c r="E6" s="1491" t="s">
        <v>117</v>
      </c>
      <c r="F6" s="1491"/>
      <c r="G6" s="1491"/>
      <c r="H6" s="1491"/>
      <c r="I6" s="1491"/>
      <c r="J6" s="1491"/>
      <c r="K6" s="1491"/>
      <c r="L6" s="1491"/>
      <c r="M6" s="1491"/>
      <c r="N6" s="124"/>
    </row>
    <row r="7" spans="1:20" ht="18.75">
      <c r="E7" s="1492" t="s">
        <v>2210</v>
      </c>
      <c r="F7" s="1492"/>
      <c r="G7" s="1492"/>
      <c r="H7" s="1492"/>
      <c r="I7" s="1492"/>
      <c r="J7" s="1492"/>
      <c r="K7" s="1492"/>
      <c r="L7" s="1492"/>
      <c r="M7" s="1492"/>
      <c r="N7" s="125"/>
    </row>
    <row r="9" spans="1:20" ht="31.5">
      <c r="A9" s="829" t="s">
        <v>118</v>
      </c>
      <c r="B9" s="829" t="s">
        <v>119</v>
      </c>
      <c r="C9" s="830" t="s">
        <v>120</v>
      </c>
      <c r="D9" s="830" t="s">
        <v>121</v>
      </c>
      <c r="E9" s="830" t="s">
        <v>122</v>
      </c>
      <c r="F9" s="830" t="s">
        <v>123</v>
      </c>
      <c r="G9" s="42" t="s">
        <v>124</v>
      </c>
      <c r="H9" s="42" t="s">
        <v>125</v>
      </c>
      <c r="I9" s="42" t="s">
        <v>126</v>
      </c>
      <c r="J9" s="42" t="s">
        <v>208</v>
      </c>
      <c r="K9" s="42" t="s">
        <v>127</v>
      </c>
      <c r="L9" s="42" t="s">
        <v>128</v>
      </c>
      <c r="M9" s="42" t="s">
        <v>129</v>
      </c>
      <c r="N9" s="42" t="s">
        <v>130</v>
      </c>
      <c r="O9" s="42" t="s">
        <v>140</v>
      </c>
      <c r="P9" s="42" t="s">
        <v>131</v>
      </c>
      <c r="Q9" s="43" t="s">
        <v>172</v>
      </c>
      <c r="R9" s="60" t="s">
        <v>173</v>
      </c>
    </row>
    <row r="10" spans="1:20" ht="18" customHeight="1">
      <c r="A10" s="15" t="s">
        <v>175</v>
      </c>
      <c r="B10" s="45" t="s">
        <v>13</v>
      </c>
      <c r="C10" s="46">
        <v>1</v>
      </c>
      <c r="D10" s="47" t="s">
        <v>14</v>
      </c>
      <c r="E10" s="48">
        <v>489</v>
      </c>
      <c r="F10" s="49">
        <v>0.98820000000000008</v>
      </c>
      <c r="G10" s="50">
        <v>18.5</v>
      </c>
      <c r="H10" s="16">
        <v>10490651</v>
      </c>
      <c r="I10" s="16">
        <v>49340</v>
      </c>
      <c r="J10" s="16">
        <v>0</v>
      </c>
      <c r="K10" s="16">
        <v>10539991</v>
      </c>
      <c r="L10" s="16">
        <v>2000000</v>
      </c>
      <c r="M10" s="16">
        <v>495464</v>
      </c>
      <c r="N10" s="16">
        <v>47187</v>
      </c>
      <c r="O10" s="16">
        <v>83329</v>
      </c>
      <c r="P10" s="16">
        <v>7914011</v>
      </c>
      <c r="Q10" s="44">
        <v>10866137</v>
      </c>
      <c r="R10" s="61">
        <v>-326146</v>
      </c>
      <c r="S10" s="20" t="s">
        <v>13</v>
      </c>
      <c r="T10" s="61">
        <f>K10*0.2</f>
        <v>2107998.2000000002</v>
      </c>
    </row>
    <row r="11" spans="1:20" ht="18" customHeight="1">
      <c r="A11" s="15" t="s">
        <v>175</v>
      </c>
      <c r="B11" s="45" t="s">
        <v>21</v>
      </c>
      <c r="C11" s="46">
        <v>2</v>
      </c>
      <c r="D11" s="47" t="s">
        <v>22</v>
      </c>
      <c r="E11" s="48">
        <v>290</v>
      </c>
      <c r="F11" s="49">
        <v>1</v>
      </c>
      <c r="G11" s="50">
        <v>18.5</v>
      </c>
      <c r="H11" s="16">
        <v>6295739</v>
      </c>
      <c r="I11" s="16">
        <v>61675</v>
      </c>
      <c r="J11" s="16">
        <v>0</v>
      </c>
      <c r="K11" s="16">
        <v>6357414</v>
      </c>
      <c r="L11" s="16">
        <v>2000000</v>
      </c>
      <c r="M11" s="16">
        <v>495464</v>
      </c>
      <c r="N11" s="16">
        <v>47187</v>
      </c>
      <c r="O11" s="16">
        <v>0</v>
      </c>
      <c r="P11" s="16">
        <v>3814763</v>
      </c>
      <c r="Q11" s="44">
        <v>6872105</v>
      </c>
      <c r="R11" s="61">
        <v>-514691</v>
      </c>
      <c r="S11" s="20" t="s">
        <v>21</v>
      </c>
    </row>
    <row r="12" spans="1:20" ht="18" customHeight="1">
      <c r="A12" s="15" t="s">
        <v>175</v>
      </c>
      <c r="B12" s="45" t="s">
        <v>1310</v>
      </c>
      <c r="C12" s="46">
        <v>3</v>
      </c>
      <c r="D12" s="47" t="s">
        <v>1313</v>
      </c>
      <c r="E12" s="48">
        <v>415</v>
      </c>
      <c r="F12" s="49">
        <v>0.97000000000000008</v>
      </c>
      <c r="G12" s="50">
        <v>18.5</v>
      </c>
      <c r="H12" s="16">
        <v>8739137</v>
      </c>
      <c r="I12" s="16">
        <v>0</v>
      </c>
      <c r="J12" s="16">
        <v>0</v>
      </c>
      <c r="K12" s="16">
        <v>8739137</v>
      </c>
      <c r="L12" s="16">
        <v>2000000</v>
      </c>
      <c r="M12" s="16">
        <v>495464</v>
      </c>
      <c r="N12" s="16">
        <v>47187</v>
      </c>
      <c r="O12" s="16">
        <v>0</v>
      </c>
      <c r="P12" s="16">
        <v>6196486</v>
      </c>
      <c r="Q12" s="44">
        <v>9003020</v>
      </c>
      <c r="R12" s="61">
        <v>-263883</v>
      </c>
      <c r="S12" s="20" t="s">
        <v>1310</v>
      </c>
    </row>
    <row r="13" spans="1:20" ht="18" customHeight="1">
      <c r="A13" s="15" t="s">
        <v>175</v>
      </c>
      <c r="B13" s="45" t="s">
        <v>36</v>
      </c>
      <c r="C13" s="46">
        <v>4</v>
      </c>
      <c r="D13" s="47" t="s">
        <v>37</v>
      </c>
      <c r="E13" s="48">
        <v>489</v>
      </c>
      <c r="F13" s="49">
        <v>1.004</v>
      </c>
      <c r="G13" s="50">
        <v>18.5</v>
      </c>
      <c r="H13" s="16">
        <v>10658383</v>
      </c>
      <c r="I13" s="16">
        <v>67203</v>
      </c>
      <c r="J13" s="16">
        <v>0</v>
      </c>
      <c r="K13" s="16">
        <v>10725586</v>
      </c>
      <c r="L13" s="16">
        <v>2000000</v>
      </c>
      <c r="M13" s="16">
        <v>495464</v>
      </c>
      <c r="N13" s="16">
        <v>47187</v>
      </c>
      <c r="O13" s="16">
        <v>109907</v>
      </c>
      <c r="P13" s="16">
        <v>8073028</v>
      </c>
      <c r="Q13" s="44">
        <v>10723604</v>
      </c>
      <c r="R13" s="61">
        <v>1982</v>
      </c>
      <c r="S13" s="20" t="s">
        <v>36</v>
      </c>
    </row>
    <row r="14" spans="1:20" ht="18" customHeight="1">
      <c r="A14" s="15" t="s">
        <v>175</v>
      </c>
      <c r="B14" s="45" t="s">
        <v>217</v>
      </c>
      <c r="C14" s="46">
        <v>5</v>
      </c>
      <c r="D14" s="47" t="s">
        <v>216</v>
      </c>
      <c r="E14" s="48">
        <v>415</v>
      </c>
      <c r="F14" s="49">
        <v>1.004</v>
      </c>
      <c r="G14" s="50">
        <v>18.5</v>
      </c>
      <c r="H14" s="16">
        <v>9045458</v>
      </c>
      <c r="I14" s="16">
        <v>103613</v>
      </c>
      <c r="J14" s="16">
        <v>0</v>
      </c>
      <c r="K14" s="16">
        <v>9149071</v>
      </c>
      <c r="L14" s="16">
        <v>2000000</v>
      </c>
      <c r="M14" s="16">
        <v>495464</v>
      </c>
      <c r="N14" s="16">
        <v>47187</v>
      </c>
      <c r="O14" s="16">
        <v>0</v>
      </c>
      <c r="P14" s="16">
        <v>6606420</v>
      </c>
      <c r="Q14" s="44">
        <v>10879384</v>
      </c>
      <c r="R14" s="61">
        <v>-1730313</v>
      </c>
      <c r="S14" s="20" t="s">
        <v>217</v>
      </c>
    </row>
    <row r="15" spans="1:20" ht="18" customHeight="1">
      <c r="A15" s="15" t="s">
        <v>175</v>
      </c>
      <c r="B15" s="45" t="s">
        <v>57</v>
      </c>
      <c r="C15" s="46">
        <v>6</v>
      </c>
      <c r="D15" s="47" t="s">
        <v>58</v>
      </c>
      <c r="E15" s="48">
        <v>489</v>
      </c>
      <c r="F15" s="49">
        <v>0.97000000000000008</v>
      </c>
      <c r="G15" s="50">
        <v>18.5</v>
      </c>
      <c r="H15" s="16">
        <v>10297442</v>
      </c>
      <c r="I15" s="16">
        <v>0</v>
      </c>
      <c r="J15" s="16">
        <v>0</v>
      </c>
      <c r="K15" s="16">
        <v>10297442</v>
      </c>
      <c r="L15" s="16">
        <v>2000000</v>
      </c>
      <c r="M15" s="16">
        <v>495464</v>
      </c>
      <c r="N15" s="16">
        <v>47187</v>
      </c>
      <c r="O15" s="16">
        <v>64523</v>
      </c>
      <c r="P15" s="16">
        <v>7690268</v>
      </c>
      <c r="Q15" s="44">
        <v>10394068</v>
      </c>
      <c r="R15" s="61">
        <v>-96626</v>
      </c>
      <c r="S15" s="20" t="s">
        <v>57</v>
      </c>
    </row>
    <row r="16" spans="1:20" ht="18" customHeight="1">
      <c r="A16" s="15" t="s">
        <v>176</v>
      </c>
      <c r="B16" s="45" t="s">
        <v>16</v>
      </c>
      <c r="C16" s="46">
        <v>7</v>
      </c>
      <c r="D16" s="47" t="s">
        <v>17</v>
      </c>
      <c r="E16" s="48">
        <v>379</v>
      </c>
      <c r="F16" s="49">
        <v>1.1974</v>
      </c>
      <c r="G16" s="50">
        <v>18.5</v>
      </c>
      <c r="H16" s="16">
        <v>9852064</v>
      </c>
      <c r="I16" s="16">
        <v>0</v>
      </c>
      <c r="J16" s="16">
        <v>0</v>
      </c>
      <c r="K16" s="16">
        <v>9852064</v>
      </c>
      <c r="L16" s="16">
        <v>2000000</v>
      </c>
      <c r="M16" s="16">
        <v>495464</v>
      </c>
      <c r="N16" s="16">
        <v>47187</v>
      </c>
      <c r="O16" s="16">
        <v>43757</v>
      </c>
      <c r="P16" s="16">
        <v>7265656</v>
      </c>
      <c r="Q16" s="44">
        <v>9966104</v>
      </c>
      <c r="R16" s="61">
        <v>-114040</v>
      </c>
      <c r="S16" s="20" t="s">
        <v>16</v>
      </c>
    </row>
    <row r="17" spans="1:19">
      <c r="A17" s="15" t="s">
        <v>176</v>
      </c>
      <c r="B17" s="45" t="s">
        <v>157</v>
      </c>
      <c r="C17" s="46">
        <v>8</v>
      </c>
      <c r="D17" s="47" t="s">
        <v>144</v>
      </c>
      <c r="E17" s="48">
        <v>379</v>
      </c>
      <c r="F17" s="49">
        <v>1.2958000000000001</v>
      </c>
      <c r="G17" s="50">
        <v>18.5</v>
      </c>
      <c r="H17" s="16">
        <v>10661687</v>
      </c>
      <c r="I17" s="16">
        <v>61675</v>
      </c>
      <c r="J17" s="16">
        <v>0</v>
      </c>
      <c r="K17" s="16">
        <v>10723362</v>
      </c>
      <c r="L17" s="16">
        <v>2000000</v>
      </c>
      <c r="M17" s="16">
        <v>495464</v>
      </c>
      <c r="N17" s="16">
        <v>47187</v>
      </c>
      <c r="O17" s="16">
        <v>147406</v>
      </c>
      <c r="P17" s="16">
        <v>8033305</v>
      </c>
      <c r="Q17" s="44">
        <v>11844038</v>
      </c>
      <c r="R17" s="61">
        <v>-1120676</v>
      </c>
      <c r="S17" s="20" t="s">
        <v>157</v>
      </c>
    </row>
    <row r="18" spans="1:19">
      <c r="A18" s="15" t="s">
        <v>177</v>
      </c>
      <c r="B18" s="45" t="s">
        <v>32</v>
      </c>
      <c r="C18" s="46">
        <v>9</v>
      </c>
      <c r="D18" s="47" t="s">
        <v>33</v>
      </c>
      <c r="E18" s="48">
        <v>418</v>
      </c>
      <c r="F18" s="49">
        <v>0.96779999999999999</v>
      </c>
      <c r="G18" s="50">
        <v>18.5</v>
      </c>
      <c r="H18" s="16">
        <v>8899889</v>
      </c>
      <c r="I18" s="16">
        <v>0</v>
      </c>
      <c r="J18" s="16">
        <v>0</v>
      </c>
      <c r="K18" s="16">
        <v>8899889</v>
      </c>
      <c r="L18" s="16">
        <v>2000000</v>
      </c>
      <c r="M18" s="16">
        <v>495464</v>
      </c>
      <c r="N18" s="16">
        <v>47187</v>
      </c>
      <c r="O18" s="16">
        <v>0</v>
      </c>
      <c r="P18" s="16">
        <v>6357238</v>
      </c>
      <c r="Q18" s="44">
        <v>12046760</v>
      </c>
      <c r="R18" s="61">
        <v>-3146871</v>
      </c>
      <c r="S18" s="20" t="s">
        <v>32</v>
      </c>
    </row>
    <row r="19" spans="1:19">
      <c r="A19" s="15" t="s">
        <v>189</v>
      </c>
      <c r="B19" s="45" t="s">
        <v>156</v>
      </c>
      <c r="C19" s="46">
        <v>10</v>
      </c>
      <c r="D19" s="47" t="s">
        <v>143</v>
      </c>
      <c r="E19" s="48">
        <v>355</v>
      </c>
      <c r="F19" s="49">
        <v>0.64610000000000001</v>
      </c>
      <c r="G19" s="50">
        <v>18.5</v>
      </c>
      <c r="H19" s="16">
        <v>1865011</v>
      </c>
      <c r="I19" s="16">
        <v>8301990</v>
      </c>
      <c r="J19" s="16">
        <v>0</v>
      </c>
      <c r="K19" s="16">
        <v>10167001</v>
      </c>
      <c r="L19" s="16">
        <v>2000000</v>
      </c>
      <c r="M19" s="16">
        <v>495464</v>
      </c>
      <c r="N19" s="16">
        <v>47187</v>
      </c>
      <c r="O19" s="16">
        <v>74484</v>
      </c>
      <c r="P19" s="16">
        <v>7549866</v>
      </c>
      <c r="Q19" s="44">
        <v>17727695</v>
      </c>
      <c r="R19" s="61">
        <v>-7560694</v>
      </c>
      <c r="S19" s="20" t="s">
        <v>156</v>
      </c>
    </row>
    <row r="20" spans="1:19">
      <c r="A20" s="15" t="s">
        <v>189</v>
      </c>
      <c r="B20" s="45" t="s">
        <v>155</v>
      </c>
      <c r="C20" s="46">
        <v>11</v>
      </c>
      <c r="D20" s="47" t="s">
        <v>142</v>
      </c>
      <c r="E20" s="48">
        <v>355</v>
      </c>
      <c r="F20" s="49">
        <v>0.76</v>
      </c>
      <c r="G20" s="50">
        <v>18.5</v>
      </c>
      <c r="H20" s="16">
        <v>2193791</v>
      </c>
      <c r="I20" s="16">
        <v>9605899</v>
      </c>
      <c r="J20" s="16">
        <v>0</v>
      </c>
      <c r="K20" s="16">
        <v>11799690</v>
      </c>
      <c r="L20" s="16">
        <v>2000000</v>
      </c>
      <c r="M20" s="16">
        <v>495464</v>
      </c>
      <c r="N20" s="16">
        <v>47187</v>
      </c>
      <c r="O20" s="16">
        <v>141387</v>
      </c>
      <c r="P20" s="16">
        <v>9115652</v>
      </c>
      <c r="Q20" s="44">
        <v>19012365</v>
      </c>
      <c r="R20" s="61">
        <v>-7212675</v>
      </c>
      <c r="S20" s="20" t="s">
        <v>155</v>
      </c>
    </row>
    <row r="21" spans="1:19">
      <c r="A21" s="15" t="s">
        <v>178</v>
      </c>
      <c r="B21" s="45" t="s">
        <v>34</v>
      </c>
      <c r="C21" s="46">
        <v>12</v>
      </c>
      <c r="D21" s="47" t="s">
        <v>35</v>
      </c>
      <c r="E21" s="48">
        <v>438</v>
      </c>
      <c r="F21" s="49">
        <v>0.90040000000000009</v>
      </c>
      <c r="G21" s="50">
        <v>20.5</v>
      </c>
      <c r="H21" s="16">
        <v>8398072</v>
      </c>
      <c r="I21" s="16">
        <v>1732344</v>
      </c>
      <c r="J21" s="16">
        <v>0</v>
      </c>
      <c r="K21" s="16">
        <v>10130416</v>
      </c>
      <c r="L21" s="16">
        <v>2000000</v>
      </c>
      <c r="M21" s="16">
        <v>495464</v>
      </c>
      <c r="N21" s="16">
        <v>47187</v>
      </c>
      <c r="O21" s="16">
        <v>93914</v>
      </c>
      <c r="P21" s="16">
        <v>7493851</v>
      </c>
      <c r="Q21" s="44">
        <v>12004231</v>
      </c>
      <c r="R21" s="61">
        <v>-1873815</v>
      </c>
      <c r="S21" s="20" t="s">
        <v>34</v>
      </c>
    </row>
    <row r="22" spans="1:19">
      <c r="A22" s="15" t="s">
        <v>178</v>
      </c>
      <c r="B22" s="45" t="s">
        <v>38</v>
      </c>
      <c r="C22" s="46">
        <v>13</v>
      </c>
      <c r="D22" s="47" t="s">
        <v>39</v>
      </c>
      <c r="E22" s="48">
        <v>418</v>
      </c>
      <c r="F22" s="49">
        <v>1.25</v>
      </c>
      <c r="G22" s="50">
        <v>22.5</v>
      </c>
      <c r="H22" s="16">
        <v>4167358</v>
      </c>
      <c r="I22" s="16">
        <v>6672248</v>
      </c>
      <c r="J22" s="16">
        <v>0</v>
      </c>
      <c r="K22" s="16">
        <v>10839606</v>
      </c>
      <c r="L22" s="16">
        <v>2000000</v>
      </c>
      <c r="M22" s="16">
        <v>495464</v>
      </c>
      <c r="N22" s="16">
        <v>47187</v>
      </c>
      <c r="O22" s="16">
        <v>281768</v>
      </c>
      <c r="P22" s="16">
        <v>8015187</v>
      </c>
      <c r="Q22" s="44">
        <v>37179614</v>
      </c>
      <c r="R22" s="61">
        <v>-26340008</v>
      </c>
      <c r="S22" s="20" t="s">
        <v>38</v>
      </c>
    </row>
    <row r="23" spans="1:19">
      <c r="A23" s="15" t="s">
        <v>178</v>
      </c>
      <c r="B23" s="45" t="s">
        <v>24</v>
      </c>
      <c r="C23" s="46">
        <v>14</v>
      </c>
      <c r="D23" s="47" t="s">
        <v>25</v>
      </c>
      <c r="E23" s="48">
        <v>394</v>
      </c>
      <c r="F23" s="49">
        <v>0.95040000000000002</v>
      </c>
      <c r="G23" s="50">
        <v>19.5</v>
      </c>
      <c r="H23" s="16">
        <v>7973934</v>
      </c>
      <c r="I23" s="16">
        <v>1078075</v>
      </c>
      <c r="J23" s="16">
        <v>0</v>
      </c>
      <c r="K23" s="16">
        <v>9052009</v>
      </c>
      <c r="L23" s="16">
        <v>2000000</v>
      </c>
      <c r="M23" s="16">
        <v>495464</v>
      </c>
      <c r="N23" s="16">
        <v>47187</v>
      </c>
      <c r="O23" s="16">
        <v>696</v>
      </c>
      <c r="P23" s="16">
        <v>6508662</v>
      </c>
      <c r="Q23" s="44">
        <v>10844800</v>
      </c>
      <c r="R23" s="61">
        <v>-1792791</v>
      </c>
      <c r="S23" s="20" t="s">
        <v>24</v>
      </c>
    </row>
    <row r="24" spans="1:19">
      <c r="A24" s="15" t="s">
        <v>178</v>
      </c>
      <c r="B24" s="45" t="s">
        <v>28</v>
      </c>
      <c r="C24" s="46">
        <v>15</v>
      </c>
      <c r="D24" s="47" t="s">
        <v>29</v>
      </c>
      <c r="E24" s="48">
        <v>418</v>
      </c>
      <c r="F24" s="49">
        <v>0.92530000000000001</v>
      </c>
      <c r="G24" s="50">
        <v>25.5</v>
      </c>
      <c r="H24" s="16">
        <v>3084845</v>
      </c>
      <c r="I24" s="16">
        <v>3088394</v>
      </c>
      <c r="J24" s="16">
        <v>0</v>
      </c>
      <c r="K24" s="16">
        <v>6173239</v>
      </c>
      <c r="L24" s="16">
        <v>2000000</v>
      </c>
      <c r="M24" s="16">
        <v>495464</v>
      </c>
      <c r="N24" s="16">
        <v>47187</v>
      </c>
      <c r="O24" s="16">
        <v>0</v>
      </c>
      <c r="P24" s="16">
        <v>3630588</v>
      </c>
      <c r="Q24" s="44">
        <v>19548219</v>
      </c>
      <c r="R24" s="61">
        <v>-13374980</v>
      </c>
      <c r="S24" s="20" t="s">
        <v>28</v>
      </c>
    </row>
    <row r="25" spans="1:19">
      <c r="A25" s="15" t="s">
        <v>178</v>
      </c>
      <c r="B25" s="45" t="s">
        <v>30</v>
      </c>
      <c r="C25" s="46">
        <v>16</v>
      </c>
      <c r="D25" s="47" t="s">
        <v>31</v>
      </c>
      <c r="E25" s="48">
        <v>418</v>
      </c>
      <c r="F25" s="49">
        <v>0.72989999999999999</v>
      </c>
      <c r="G25" s="50">
        <v>22.5</v>
      </c>
      <c r="H25" s="16">
        <v>2433404</v>
      </c>
      <c r="I25" s="16">
        <v>1913231</v>
      </c>
      <c r="J25" s="16">
        <v>0</v>
      </c>
      <c r="K25" s="16">
        <v>4346635</v>
      </c>
      <c r="L25" s="16">
        <v>2000000</v>
      </c>
      <c r="M25" s="16">
        <v>495464</v>
      </c>
      <c r="N25" s="16">
        <v>47187</v>
      </c>
      <c r="O25" s="16">
        <v>0</v>
      </c>
      <c r="P25" s="16">
        <v>1803984</v>
      </c>
      <c r="Q25" s="44">
        <v>12509744</v>
      </c>
      <c r="R25" s="61">
        <v>-8163109</v>
      </c>
      <c r="S25" s="20" t="s">
        <v>30</v>
      </c>
    </row>
    <row r="26" spans="1:19">
      <c r="A26" s="15" t="s">
        <v>178</v>
      </c>
      <c r="B26" s="45" t="s">
        <v>272</v>
      </c>
      <c r="C26" s="46">
        <v>17</v>
      </c>
      <c r="D26" s="47" t="s">
        <v>273</v>
      </c>
      <c r="E26" s="48">
        <v>478</v>
      </c>
      <c r="F26" s="49">
        <v>0.67320000000000002</v>
      </c>
      <c r="G26" s="50">
        <v>19.5</v>
      </c>
      <c r="H26" s="16">
        <v>2566531</v>
      </c>
      <c r="I26" s="16">
        <v>7038837</v>
      </c>
      <c r="J26" s="16">
        <v>0</v>
      </c>
      <c r="K26" s="16">
        <v>9605368</v>
      </c>
      <c r="L26" s="16">
        <v>2000000</v>
      </c>
      <c r="M26" s="16">
        <v>495464</v>
      </c>
      <c r="N26" s="16">
        <v>47187</v>
      </c>
      <c r="O26" s="16">
        <v>23163</v>
      </c>
      <c r="P26" s="16">
        <v>7039554</v>
      </c>
      <c r="Q26" s="44">
        <v>14427825</v>
      </c>
      <c r="R26" s="61">
        <v>-4822457</v>
      </c>
      <c r="S26" s="20" t="s">
        <v>272</v>
      </c>
    </row>
    <row r="27" spans="1:19">
      <c r="A27" s="15" t="s">
        <v>178</v>
      </c>
      <c r="B27" s="45" t="s">
        <v>212</v>
      </c>
      <c r="C27" s="46">
        <v>18</v>
      </c>
      <c r="D27" s="47" t="s">
        <v>213</v>
      </c>
      <c r="E27" s="48">
        <v>418</v>
      </c>
      <c r="F27" s="49">
        <v>0.79580000000000006</v>
      </c>
      <c r="G27" s="50">
        <v>24.5</v>
      </c>
      <c r="H27" s="16">
        <v>2653107</v>
      </c>
      <c r="I27" s="16">
        <v>3535207</v>
      </c>
      <c r="J27" s="16">
        <v>0</v>
      </c>
      <c r="K27" s="16">
        <v>6188314</v>
      </c>
      <c r="L27" s="16">
        <v>2000000</v>
      </c>
      <c r="M27" s="16">
        <v>495464</v>
      </c>
      <c r="N27" s="16">
        <v>47187</v>
      </c>
      <c r="O27" s="16">
        <v>0</v>
      </c>
      <c r="P27" s="16">
        <v>3645663</v>
      </c>
      <c r="Q27" s="44">
        <v>12966376</v>
      </c>
      <c r="R27" s="61">
        <v>-6778062</v>
      </c>
      <c r="S27" s="20" t="s">
        <v>212</v>
      </c>
    </row>
    <row r="28" spans="1:19">
      <c r="A28" s="15" t="s">
        <v>178</v>
      </c>
      <c r="B28" s="45" t="s">
        <v>263</v>
      </c>
      <c r="C28" s="46">
        <v>19</v>
      </c>
      <c r="D28" s="47" t="s">
        <v>262</v>
      </c>
      <c r="E28" s="48">
        <v>418</v>
      </c>
      <c r="F28" s="49">
        <v>0.96020000000000005</v>
      </c>
      <c r="G28" s="50">
        <v>23.5</v>
      </c>
      <c r="H28" s="16">
        <v>3201198</v>
      </c>
      <c r="I28" s="16">
        <v>3644459</v>
      </c>
      <c r="J28" s="16">
        <v>0</v>
      </c>
      <c r="K28" s="16">
        <v>6845657</v>
      </c>
      <c r="L28" s="16">
        <v>2000000</v>
      </c>
      <c r="M28" s="16">
        <v>495464</v>
      </c>
      <c r="N28" s="16">
        <v>47187</v>
      </c>
      <c r="O28" s="16">
        <v>0</v>
      </c>
      <c r="P28" s="16">
        <v>4303006</v>
      </c>
      <c r="Q28" s="44">
        <v>18584051</v>
      </c>
      <c r="R28" s="61">
        <v>-11738394</v>
      </c>
      <c r="S28" s="20" t="s">
        <v>263</v>
      </c>
    </row>
    <row r="29" spans="1:19">
      <c r="A29" s="15" t="s">
        <v>178</v>
      </c>
      <c r="B29" s="45" t="s">
        <v>294</v>
      </c>
      <c r="C29" s="46">
        <v>20</v>
      </c>
      <c r="D29" s="47" t="s">
        <v>295</v>
      </c>
      <c r="E29" s="48">
        <v>418</v>
      </c>
      <c r="F29" s="49">
        <v>0.73660000000000003</v>
      </c>
      <c r="G29" s="50">
        <v>24.5</v>
      </c>
      <c r="H29" s="16">
        <v>2455741</v>
      </c>
      <c r="I29" s="16">
        <v>2754296</v>
      </c>
      <c r="J29" s="16">
        <v>0</v>
      </c>
      <c r="K29" s="16">
        <v>5210037</v>
      </c>
      <c r="L29" s="16">
        <v>2000000</v>
      </c>
      <c r="M29" s="16">
        <v>495464</v>
      </c>
      <c r="N29" s="16">
        <v>47187</v>
      </c>
      <c r="O29" s="16">
        <v>0</v>
      </c>
      <c r="P29" s="16">
        <v>2667386</v>
      </c>
      <c r="Q29" s="44">
        <v>11905092</v>
      </c>
      <c r="R29" s="61">
        <v>-6695055</v>
      </c>
      <c r="S29" s="20" t="s">
        <v>294</v>
      </c>
    </row>
    <row r="30" spans="1:19">
      <c r="A30" s="15" t="s">
        <v>178</v>
      </c>
      <c r="B30" s="45" t="s">
        <v>434</v>
      </c>
      <c r="C30" s="46">
        <v>21</v>
      </c>
      <c r="D30" s="47" t="s">
        <v>435</v>
      </c>
      <c r="E30" s="48">
        <v>355</v>
      </c>
      <c r="F30" s="49">
        <v>0.87020000000000008</v>
      </c>
      <c r="G30" s="50">
        <v>24.5</v>
      </c>
      <c r="H30" s="16">
        <v>2463894</v>
      </c>
      <c r="I30" s="16">
        <v>3698312</v>
      </c>
      <c r="J30" s="16">
        <v>0</v>
      </c>
      <c r="K30" s="16">
        <v>6162206</v>
      </c>
      <c r="L30" s="16">
        <v>2000000</v>
      </c>
      <c r="M30" s="16">
        <v>495464</v>
      </c>
      <c r="N30" s="16">
        <v>47187</v>
      </c>
      <c r="O30" s="16">
        <v>0</v>
      </c>
      <c r="P30" s="16">
        <v>3619555</v>
      </c>
      <c r="Q30" s="44">
        <v>12715944</v>
      </c>
      <c r="R30" s="61">
        <v>-6553738</v>
      </c>
      <c r="S30" s="20" t="s">
        <v>434</v>
      </c>
    </row>
    <row r="31" spans="1:19">
      <c r="A31" s="15" t="s">
        <v>178</v>
      </c>
      <c r="B31" s="45" t="s">
        <v>1311</v>
      </c>
      <c r="C31" s="46">
        <v>22</v>
      </c>
      <c r="D31" s="47" t="s">
        <v>1316</v>
      </c>
      <c r="E31" s="48">
        <v>355</v>
      </c>
      <c r="F31" s="49">
        <v>0.84760000000000002</v>
      </c>
      <c r="G31" s="50">
        <v>24.5</v>
      </c>
      <c r="H31" s="16">
        <v>2399904</v>
      </c>
      <c r="I31" s="16">
        <v>3377003</v>
      </c>
      <c r="J31" s="16">
        <v>0</v>
      </c>
      <c r="K31" s="16">
        <v>5776907</v>
      </c>
      <c r="L31" s="16">
        <v>2000000</v>
      </c>
      <c r="M31" s="16">
        <v>495464</v>
      </c>
      <c r="N31" s="16">
        <v>47187</v>
      </c>
      <c r="O31" s="16">
        <v>0</v>
      </c>
      <c r="P31" s="16">
        <v>3234256</v>
      </c>
      <c r="Q31" s="44">
        <v>15278670</v>
      </c>
      <c r="R31" s="61">
        <v>-9501763</v>
      </c>
      <c r="S31" s="20" t="s">
        <v>1311</v>
      </c>
    </row>
    <row r="32" spans="1:19">
      <c r="A32" s="15" t="s">
        <v>179</v>
      </c>
      <c r="B32" s="45" t="s">
        <v>59</v>
      </c>
      <c r="C32" s="46">
        <v>23</v>
      </c>
      <c r="D32" s="47" t="s">
        <v>60</v>
      </c>
      <c r="E32" s="48">
        <v>478</v>
      </c>
      <c r="F32" s="49">
        <v>0.70150000000000001</v>
      </c>
      <c r="G32" s="50">
        <v>18.5</v>
      </c>
      <c r="H32" s="16">
        <v>2731514</v>
      </c>
      <c r="I32" s="16">
        <v>8404936</v>
      </c>
      <c r="J32" s="16">
        <v>0</v>
      </c>
      <c r="K32" s="16">
        <v>11136450</v>
      </c>
      <c r="L32" s="16">
        <v>2000000</v>
      </c>
      <c r="M32" s="16">
        <v>433671</v>
      </c>
      <c r="N32" s="16">
        <v>41302</v>
      </c>
      <c r="O32" s="16">
        <v>0</v>
      </c>
      <c r="P32" s="16">
        <v>8661477</v>
      </c>
      <c r="Q32" s="44">
        <v>10899259</v>
      </c>
      <c r="R32" s="61">
        <v>237191</v>
      </c>
      <c r="S32" s="20" t="s">
        <v>59</v>
      </c>
    </row>
    <row r="33" spans="1:19">
      <c r="A33" s="15" t="s">
        <v>179</v>
      </c>
      <c r="B33" s="45" t="s">
        <v>40</v>
      </c>
      <c r="C33" s="46">
        <v>24</v>
      </c>
      <c r="D33" s="47" t="s">
        <v>41</v>
      </c>
      <c r="E33" s="48">
        <v>543</v>
      </c>
      <c r="F33" s="49">
        <v>1.01</v>
      </c>
      <c r="G33" s="50">
        <v>18.5</v>
      </c>
      <c r="H33" s="16">
        <v>11913977</v>
      </c>
      <c r="I33" s="16">
        <v>874158</v>
      </c>
      <c r="J33" s="16">
        <v>0</v>
      </c>
      <c r="K33" s="16">
        <v>12788135</v>
      </c>
      <c r="L33" s="16">
        <v>2000000</v>
      </c>
      <c r="M33" s="16">
        <v>433671</v>
      </c>
      <c r="N33" s="16">
        <v>41302</v>
      </c>
      <c r="O33" s="16">
        <v>240115</v>
      </c>
      <c r="P33" s="16">
        <v>10073047</v>
      </c>
      <c r="Q33" s="44">
        <v>12820310</v>
      </c>
      <c r="R33" s="61">
        <v>-32175</v>
      </c>
      <c r="S33" s="20" t="s">
        <v>40</v>
      </c>
    </row>
    <row r="34" spans="1:19">
      <c r="A34" s="15" t="s">
        <v>179</v>
      </c>
      <c r="B34" s="45" t="s">
        <v>53</v>
      </c>
      <c r="C34" s="46">
        <v>25</v>
      </c>
      <c r="D34" s="47" t="s">
        <v>138</v>
      </c>
      <c r="E34" s="48">
        <v>418</v>
      </c>
      <c r="F34" s="49">
        <v>0.76519999999999999</v>
      </c>
      <c r="G34" s="50">
        <v>18.5</v>
      </c>
      <c r="H34" s="16">
        <v>2602504</v>
      </c>
      <c r="I34" s="16">
        <v>4378156</v>
      </c>
      <c r="J34" s="16">
        <v>0</v>
      </c>
      <c r="K34" s="16">
        <v>6980660</v>
      </c>
      <c r="L34" s="16">
        <v>2000000</v>
      </c>
      <c r="M34" s="16">
        <v>433671</v>
      </c>
      <c r="N34" s="16">
        <v>41302</v>
      </c>
      <c r="O34" s="16">
        <v>0</v>
      </c>
      <c r="P34" s="16">
        <v>4505687</v>
      </c>
      <c r="Q34" s="44">
        <v>11441605</v>
      </c>
      <c r="R34" s="61">
        <v>-4460945</v>
      </c>
      <c r="S34" s="20" t="s">
        <v>53</v>
      </c>
    </row>
    <row r="35" spans="1:19">
      <c r="A35" s="15" t="s">
        <v>179</v>
      </c>
      <c r="B35" s="45" t="s">
        <v>43</v>
      </c>
      <c r="C35" s="46">
        <v>26</v>
      </c>
      <c r="D35" s="47" t="s">
        <v>44</v>
      </c>
      <c r="E35" s="48">
        <v>394</v>
      </c>
      <c r="F35" s="49">
        <v>0.95620000000000005</v>
      </c>
      <c r="G35" s="50">
        <v>18.5</v>
      </c>
      <c r="H35" s="16">
        <v>8184281</v>
      </c>
      <c r="I35" s="16">
        <v>1117182</v>
      </c>
      <c r="J35" s="16">
        <v>0</v>
      </c>
      <c r="K35" s="16">
        <v>9301463</v>
      </c>
      <c r="L35" s="16">
        <v>2000000</v>
      </c>
      <c r="M35" s="16">
        <v>433671</v>
      </c>
      <c r="N35" s="16">
        <v>41302</v>
      </c>
      <c r="O35" s="16">
        <v>16572</v>
      </c>
      <c r="P35" s="16">
        <v>6809918</v>
      </c>
      <c r="Q35" s="44">
        <v>9164453</v>
      </c>
      <c r="R35" s="61">
        <v>137010</v>
      </c>
      <c r="S35" s="20" t="s">
        <v>43</v>
      </c>
    </row>
    <row r="36" spans="1:19">
      <c r="A36" s="15" t="s">
        <v>179</v>
      </c>
      <c r="B36" s="45" t="s">
        <v>45</v>
      </c>
      <c r="C36" s="46">
        <v>27</v>
      </c>
      <c r="D36" s="47" t="s">
        <v>46</v>
      </c>
      <c r="E36" s="48">
        <v>418</v>
      </c>
      <c r="F36" s="49">
        <v>0.6714</v>
      </c>
      <c r="G36" s="50">
        <v>18.5</v>
      </c>
      <c r="H36" s="16">
        <v>2283483</v>
      </c>
      <c r="I36" s="16">
        <v>1777490</v>
      </c>
      <c r="J36" s="16">
        <v>0</v>
      </c>
      <c r="K36" s="16">
        <v>4060973</v>
      </c>
      <c r="L36" s="16">
        <v>2000000</v>
      </c>
      <c r="M36" s="16">
        <v>433671</v>
      </c>
      <c r="N36" s="16">
        <v>41302</v>
      </c>
      <c r="O36" s="16">
        <v>0</v>
      </c>
      <c r="P36" s="16">
        <v>1586000</v>
      </c>
      <c r="Q36" s="44">
        <v>9230384</v>
      </c>
      <c r="R36" s="61">
        <v>-5169411</v>
      </c>
      <c r="S36" s="20" t="s">
        <v>45</v>
      </c>
    </row>
    <row r="37" spans="1:19">
      <c r="A37" s="15" t="s">
        <v>179</v>
      </c>
      <c r="B37" s="45" t="s">
        <v>47</v>
      </c>
      <c r="C37" s="46">
        <v>28</v>
      </c>
      <c r="D37" s="47" t="s">
        <v>48</v>
      </c>
      <c r="E37" s="48">
        <v>431</v>
      </c>
      <c r="F37" s="49">
        <v>0.9022</v>
      </c>
      <c r="G37" s="50">
        <v>18.5</v>
      </c>
      <c r="H37" s="16">
        <v>3163881</v>
      </c>
      <c r="I37" s="16">
        <v>2756826</v>
      </c>
      <c r="J37" s="16">
        <v>0</v>
      </c>
      <c r="K37" s="16">
        <v>5920707</v>
      </c>
      <c r="L37" s="16">
        <v>2000000</v>
      </c>
      <c r="M37" s="16">
        <v>433671</v>
      </c>
      <c r="N37" s="16">
        <v>41302</v>
      </c>
      <c r="O37" s="16">
        <v>0</v>
      </c>
      <c r="P37" s="16">
        <v>3445734</v>
      </c>
      <c r="Q37" s="44">
        <v>13650286</v>
      </c>
      <c r="R37" s="61">
        <v>-7729579</v>
      </c>
      <c r="S37" s="20" t="s">
        <v>47</v>
      </c>
    </row>
    <row r="38" spans="1:19">
      <c r="A38" s="15" t="s">
        <v>179</v>
      </c>
      <c r="B38" s="45" t="s">
        <v>55</v>
      </c>
      <c r="C38" s="46">
        <v>29</v>
      </c>
      <c r="D38" s="47" t="s">
        <v>56</v>
      </c>
      <c r="E38" s="48">
        <v>478</v>
      </c>
      <c r="F38" s="49">
        <v>0.86610000000000009</v>
      </c>
      <c r="G38" s="50">
        <v>18.5</v>
      </c>
      <c r="H38" s="16">
        <v>3368496</v>
      </c>
      <c r="I38" s="16">
        <v>9925585</v>
      </c>
      <c r="J38" s="16">
        <v>0</v>
      </c>
      <c r="K38" s="16">
        <v>13294081</v>
      </c>
      <c r="L38" s="16">
        <v>2000000</v>
      </c>
      <c r="M38" s="16">
        <v>433671</v>
      </c>
      <c r="N38" s="16">
        <v>41302</v>
      </c>
      <c r="O38" s="16">
        <v>75684</v>
      </c>
      <c r="P38" s="16">
        <v>10743424</v>
      </c>
      <c r="Q38" s="44">
        <v>18002782</v>
      </c>
      <c r="R38" s="61">
        <v>-4708701</v>
      </c>
      <c r="S38" s="20" t="s">
        <v>55</v>
      </c>
    </row>
    <row r="39" spans="1:19">
      <c r="A39" s="15" t="s">
        <v>179</v>
      </c>
      <c r="B39" s="45" t="s">
        <v>49</v>
      </c>
      <c r="C39" s="46">
        <v>30</v>
      </c>
      <c r="D39" s="47" t="s">
        <v>50</v>
      </c>
      <c r="E39" s="48">
        <v>478</v>
      </c>
      <c r="F39" s="49">
        <v>0.78820000000000001</v>
      </c>
      <c r="G39" s="50">
        <v>18.5</v>
      </c>
      <c r="H39" s="16">
        <v>3065522</v>
      </c>
      <c r="I39" s="16">
        <v>9523971</v>
      </c>
      <c r="J39" s="16">
        <v>0</v>
      </c>
      <c r="K39" s="16">
        <v>12589493</v>
      </c>
      <c r="L39" s="16">
        <v>2000000</v>
      </c>
      <c r="M39" s="16">
        <v>433671</v>
      </c>
      <c r="N39" s="16">
        <v>41302</v>
      </c>
      <c r="O39" s="16">
        <v>223928</v>
      </c>
      <c r="P39" s="16">
        <v>9890592</v>
      </c>
      <c r="Q39" s="44">
        <v>17391181</v>
      </c>
      <c r="R39" s="61">
        <v>-4801688</v>
      </c>
      <c r="S39" s="20" t="s">
        <v>49</v>
      </c>
    </row>
    <row r="40" spans="1:19">
      <c r="A40" s="15" t="s">
        <v>179</v>
      </c>
      <c r="B40" s="45" t="s">
        <v>51</v>
      </c>
      <c r="C40" s="46">
        <v>31</v>
      </c>
      <c r="D40" s="47" t="s">
        <v>52</v>
      </c>
      <c r="E40" s="48">
        <v>418</v>
      </c>
      <c r="F40" s="49">
        <v>0.80300000000000005</v>
      </c>
      <c r="G40" s="50">
        <v>18.5</v>
      </c>
      <c r="H40" s="16">
        <v>2731064</v>
      </c>
      <c r="I40" s="16">
        <v>2275571</v>
      </c>
      <c r="J40" s="16">
        <v>0</v>
      </c>
      <c r="K40" s="16">
        <v>5006635</v>
      </c>
      <c r="L40" s="16">
        <v>2000000</v>
      </c>
      <c r="M40" s="16">
        <v>433671</v>
      </c>
      <c r="N40" s="16">
        <v>41302</v>
      </c>
      <c r="O40" s="16">
        <v>0</v>
      </c>
      <c r="P40" s="16">
        <v>2531662</v>
      </c>
      <c r="Q40" s="44">
        <v>10407324</v>
      </c>
      <c r="R40" s="61">
        <v>-5400689</v>
      </c>
      <c r="S40" s="20" t="s">
        <v>51</v>
      </c>
    </row>
    <row r="41" spans="1:19">
      <c r="A41" s="15" t="s">
        <v>179</v>
      </c>
      <c r="B41" s="45" t="s">
        <v>158</v>
      </c>
      <c r="C41" s="46">
        <v>32</v>
      </c>
      <c r="D41" s="47" t="s">
        <v>146</v>
      </c>
      <c r="E41" s="48">
        <v>431</v>
      </c>
      <c r="F41" s="49">
        <v>0.68859999999999999</v>
      </c>
      <c r="G41" s="50">
        <v>18.5</v>
      </c>
      <c r="H41" s="16">
        <v>2414463</v>
      </c>
      <c r="I41" s="16">
        <v>6044888</v>
      </c>
      <c r="J41" s="16">
        <v>0</v>
      </c>
      <c r="K41" s="16">
        <v>8459351</v>
      </c>
      <c r="L41" s="16">
        <v>2000000</v>
      </c>
      <c r="M41" s="16">
        <v>433671</v>
      </c>
      <c r="N41" s="16">
        <v>41302</v>
      </c>
      <c r="O41" s="16">
        <v>0</v>
      </c>
      <c r="P41" s="16">
        <v>5984378</v>
      </c>
      <c r="Q41" s="44">
        <v>13648689</v>
      </c>
      <c r="R41" s="61">
        <v>-5189338</v>
      </c>
      <c r="S41" s="20" t="s">
        <v>158</v>
      </c>
    </row>
    <row r="42" spans="1:19">
      <c r="A42" s="15" t="s">
        <v>179</v>
      </c>
      <c r="B42" s="45" t="s">
        <v>159</v>
      </c>
      <c r="C42" s="46">
        <v>33</v>
      </c>
      <c r="D42" s="47" t="s">
        <v>147</v>
      </c>
      <c r="E42" s="48">
        <v>431</v>
      </c>
      <c r="F42" s="49">
        <v>0.98840000000000006</v>
      </c>
      <c r="G42" s="50">
        <v>18.5</v>
      </c>
      <c r="H42" s="16">
        <v>3453377</v>
      </c>
      <c r="I42" s="16">
        <v>8221563</v>
      </c>
      <c r="J42" s="16">
        <v>0</v>
      </c>
      <c r="K42" s="16">
        <v>11674940</v>
      </c>
      <c r="L42" s="16">
        <v>2000000</v>
      </c>
      <c r="M42" s="16">
        <v>433671</v>
      </c>
      <c r="N42" s="16">
        <v>41302</v>
      </c>
      <c r="O42" s="16">
        <v>0</v>
      </c>
      <c r="P42" s="16">
        <v>9199967</v>
      </c>
      <c r="Q42" s="44">
        <v>6774494</v>
      </c>
      <c r="R42" s="61">
        <v>4900446</v>
      </c>
      <c r="S42" s="20" t="s">
        <v>159</v>
      </c>
    </row>
    <row r="43" spans="1:19">
      <c r="A43" s="15" t="s">
        <v>179</v>
      </c>
      <c r="B43" s="45" t="s">
        <v>283</v>
      </c>
      <c r="C43" s="46">
        <v>34</v>
      </c>
      <c r="D43" s="47" t="s">
        <v>281</v>
      </c>
      <c r="E43" s="48">
        <v>355</v>
      </c>
      <c r="F43" s="49">
        <v>0.90620000000000001</v>
      </c>
      <c r="G43" s="50">
        <v>18.5</v>
      </c>
      <c r="H43" s="16">
        <v>6988564</v>
      </c>
      <c r="I43" s="16">
        <v>1277754</v>
      </c>
      <c r="J43" s="16">
        <v>0</v>
      </c>
      <c r="K43" s="16">
        <v>8266318</v>
      </c>
      <c r="L43" s="16">
        <v>2000000</v>
      </c>
      <c r="M43" s="16">
        <v>433671</v>
      </c>
      <c r="N43" s="16">
        <v>41302</v>
      </c>
      <c r="O43" s="16">
        <v>0</v>
      </c>
      <c r="P43" s="16">
        <v>5791345</v>
      </c>
      <c r="Q43" s="44">
        <v>9401373</v>
      </c>
      <c r="R43" s="61">
        <v>-1135055</v>
      </c>
      <c r="S43" s="20" t="s">
        <v>283</v>
      </c>
    </row>
    <row r="44" spans="1:19">
      <c r="A44" s="15" t="s">
        <v>179</v>
      </c>
      <c r="B44" s="45" t="s">
        <v>1471</v>
      </c>
      <c r="C44" s="46">
        <v>35</v>
      </c>
      <c r="D44" s="47" t="s">
        <v>690</v>
      </c>
      <c r="E44" s="48">
        <v>431</v>
      </c>
      <c r="F44" s="49">
        <v>0.46789999999999998</v>
      </c>
      <c r="G44" s="50">
        <v>18.5</v>
      </c>
      <c r="H44" s="16">
        <v>1637790</v>
      </c>
      <c r="I44" s="16">
        <v>8979280</v>
      </c>
      <c r="J44" s="16">
        <v>0</v>
      </c>
      <c r="K44" s="16">
        <v>10617070</v>
      </c>
      <c r="L44" s="16">
        <v>2000000</v>
      </c>
      <c r="M44" s="16">
        <v>433671</v>
      </c>
      <c r="N44" s="16">
        <v>41302</v>
      </c>
      <c r="O44" s="16">
        <v>0</v>
      </c>
      <c r="P44" s="16">
        <v>8142097</v>
      </c>
      <c r="Q44" s="44">
        <v>7889899</v>
      </c>
      <c r="R44" s="61">
        <v>2727171</v>
      </c>
      <c r="S44" s="20" t="s">
        <v>1471</v>
      </c>
    </row>
    <row r="45" spans="1:19">
      <c r="A45" s="15" t="s">
        <v>179</v>
      </c>
      <c r="B45" s="45" t="s">
        <v>165</v>
      </c>
      <c r="C45" s="46">
        <v>36</v>
      </c>
      <c r="D45" s="47" t="s">
        <v>151</v>
      </c>
      <c r="E45" s="48">
        <v>431</v>
      </c>
      <c r="F45" s="49">
        <v>0.93490000000000006</v>
      </c>
      <c r="G45" s="50">
        <v>18.5</v>
      </c>
      <c r="H45" s="16">
        <v>3320241</v>
      </c>
      <c r="I45" s="16">
        <v>10664851</v>
      </c>
      <c r="J45" s="16">
        <v>0</v>
      </c>
      <c r="K45" s="16">
        <v>13985092</v>
      </c>
      <c r="L45" s="16">
        <v>2000000</v>
      </c>
      <c r="M45" s="16">
        <v>433671</v>
      </c>
      <c r="N45" s="16">
        <v>41302</v>
      </c>
      <c r="O45" s="16">
        <v>2358610</v>
      </c>
      <c r="P45" s="16">
        <v>9151509</v>
      </c>
      <c r="Q45" s="44">
        <v>6894200</v>
      </c>
      <c r="R45" s="61">
        <v>7090892</v>
      </c>
      <c r="S45" s="20" t="s">
        <v>165</v>
      </c>
    </row>
    <row r="46" spans="1:19">
      <c r="A46" s="15" t="s">
        <v>180</v>
      </c>
      <c r="B46" s="45" t="s">
        <v>66</v>
      </c>
      <c r="C46" s="46">
        <v>37</v>
      </c>
      <c r="D46" s="47" t="s">
        <v>67</v>
      </c>
      <c r="E46" s="48">
        <v>335</v>
      </c>
      <c r="F46" s="49">
        <v>0.87450000000000006</v>
      </c>
      <c r="G46" s="50">
        <v>20.5</v>
      </c>
      <c r="H46" s="16">
        <v>6410095</v>
      </c>
      <c r="I46" s="16">
        <v>0</v>
      </c>
      <c r="J46" s="16">
        <v>0</v>
      </c>
      <c r="K46" s="16">
        <v>6410095</v>
      </c>
      <c r="L46" s="16">
        <v>2000000</v>
      </c>
      <c r="M46" s="16">
        <v>387608</v>
      </c>
      <c r="N46" s="16">
        <v>36915</v>
      </c>
      <c r="O46" s="16">
        <v>0</v>
      </c>
      <c r="P46" s="16">
        <v>3985572</v>
      </c>
      <c r="Q46" s="44">
        <v>10768470</v>
      </c>
      <c r="R46" s="61">
        <v>-4358375</v>
      </c>
      <c r="S46" s="20" t="s">
        <v>66</v>
      </c>
    </row>
    <row r="47" spans="1:19">
      <c r="A47" s="15" t="s">
        <v>180</v>
      </c>
      <c r="B47" s="45" t="s">
        <v>171</v>
      </c>
      <c r="C47" s="46">
        <v>38</v>
      </c>
      <c r="D47" s="47" t="s">
        <v>168</v>
      </c>
      <c r="E47" s="48">
        <v>431</v>
      </c>
      <c r="F47" s="49">
        <v>0.66520000000000001</v>
      </c>
      <c r="G47" s="50">
        <v>19.5</v>
      </c>
      <c r="H47" s="16">
        <v>2358874</v>
      </c>
      <c r="I47" s="16">
        <v>6851830</v>
      </c>
      <c r="J47" s="16">
        <v>0</v>
      </c>
      <c r="K47" s="16">
        <v>9210704</v>
      </c>
      <c r="L47" s="16">
        <v>2000000</v>
      </c>
      <c r="M47" s="16">
        <v>387608</v>
      </c>
      <c r="N47" s="16">
        <v>36915</v>
      </c>
      <c r="O47" s="16">
        <v>2935</v>
      </c>
      <c r="P47" s="16">
        <v>6783246</v>
      </c>
      <c r="Q47" s="44">
        <v>10945401</v>
      </c>
      <c r="R47" s="61">
        <v>-1734697</v>
      </c>
      <c r="S47" s="20" t="s">
        <v>171</v>
      </c>
    </row>
    <row r="48" spans="1:19">
      <c r="A48" s="15" t="s">
        <v>180</v>
      </c>
      <c r="B48" s="45" t="s">
        <v>64</v>
      </c>
      <c r="C48" s="46">
        <v>39</v>
      </c>
      <c r="D48" s="47" t="s">
        <v>65</v>
      </c>
      <c r="E48" s="48">
        <v>418</v>
      </c>
      <c r="F48" s="49">
        <v>0.62490000000000001</v>
      </c>
      <c r="G48" s="50">
        <v>22.5</v>
      </c>
      <c r="H48" s="16">
        <v>2140677</v>
      </c>
      <c r="I48" s="16">
        <v>1762244</v>
      </c>
      <c r="J48" s="16">
        <v>0</v>
      </c>
      <c r="K48" s="16">
        <v>3902921</v>
      </c>
      <c r="L48" s="16">
        <v>2000000</v>
      </c>
      <c r="M48" s="16">
        <v>387608</v>
      </c>
      <c r="N48" s="16">
        <v>36915</v>
      </c>
      <c r="O48" s="16">
        <v>0</v>
      </c>
      <c r="P48" s="16">
        <v>1478398</v>
      </c>
      <c r="Q48" s="44">
        <v>9182101</v>
      </c>
      <c r="R48" s="61">
        <v>-5279180</v>
      </c>
      <c r="S48" s="20" t="s">
        <v>64</v>
      </c>
    </row>
    <row r="49" spans="1:19">
      <c r="A49" s="15" t="s">
        <v>180</v>
      </c>
      <c r="B49" s="45" t="s">
        <v>160</v>
      </c>
      <c r="C49" s="46">
        <v>40</v>
      </c>
      <c r="D49" s="47" t="s">
        <v>148</v>
      </c>
      <c r="E49" s="48">
        <v>431</v>
      </c>
      <c r="F49" s="49">
        <v>0.3533</v>
      </c>
      <c r="G49" s="50">
        <v>19.5</v>
      </c>
      <c r="H49" s="16">
        <v>1248576</v>
      </c>
      <c r="I49" s="16">
        <v>9800807</v>
      </c>
      <c r="J49" s="16">
        <v>0</v>
      </c>
      <c r="K49" s="16">
        <v>11049383</v>
      </c>
      <c r="L49" s="16">
        <v>2000000</v>
      </c>
      <c r="M49" s="16">
        <v>387608</v>
      </c>
      <c r="N49" s="16">
        <v>36915</v>
      </c>
      <c r="O49" s="16">
        <v>103352</v>
      </c>
      <c r="P49" s="16">
        <v>8521508</v>
      </c>
      <c r="Q49" s="44">
        <v>19098970</v>
      </c>
      <c r="R49" s="61">
        <v>-8049587</v>
      </c>
      <c r="S49" s="20" t="s">
        <v>160</v>
      </c>
    </row>
    <row r="50" spans="1:19">
      <c r="A50" s="15" t="s">
        <v>180</v>
      </c>
      <c r="B50" s="45" t="s">
        <v>284</v>
      </c>
      <c r="C50" s="46">
        <v>41</v>
      </c>
      <c r="D50" s="47" t="s">
        <v>282</v>
      </c>
      <c r="E50" s="48">
        <v>524</v>
      </c>
      <c r="F50" s="49">
        <v>0.71589999999999998</v>
      </c>
      <c r="G50" s="50">
        <v>18.5</v>
      </c>
      <c r="H50" s="16">
        <v>3091084</v>
      </c>
      <c r="I50" s="16">
        <v>5540143</v>
      </c>
      <c r="J50" s="16">
        <v>0</v>
      </c>
      <c r="K50" s="16">
        <v>8631227</v>
      </c>
      <c r="L50" s="16">
        <v>2000000</v>
      </c>
      <c r="M50" s="16">
        <v>387608</v>
      </c>
      <c r="N50" s="16">
        <v>36915</v>
      </c>
      <c r="O50" s="16">
        <v>30137</v>
      </c>
      <c r="P50" s="16">
        <v>6176567</v>
      </c>
      <c r="Q50" s="44">
        <v>7578965</v>
      </c>
      <c r="R50" s="61">
        <v>1052262</v>
      </c>
      <c r="S50" s="20" t="s">
        <v>284</v>
      </c>
    </row>
    <row r="51" spans="1:19">
      <c r="A51" s="15" t="s">
        <v>180</v>
      </c>
      <c r="B51" s="45" t="s">
        <v>290</v>
      </c>
      <c r="C51" s="46">
        <v>42</v>
      </c>
      <c r="D51" s="47" t="s">
        <v>289</v>
      </c>
      <c r="E51" s="48">
        <v>418</v>
      </c>
      <c r="F51" s="49">
        <v>7.7800000000000008E-2</v>
      </c>
      <c r="G51" s="50">
        <v>18.5</v>
      </c>
      <c r="H51" s="16">
        <v>267754</v>
      </c>
      <c r="I51" s="16">
        <v>5852477</v>
      </c>
      <c r="J51" s="16">
        <v>0</v>
      </c>
      <c r="K51" s="16">
        <v>6120231</v>
      </c>
      <c r="L51" s="16">
        <v>2000000</v>
      </c>
      <c r="M51" s="16">
        <v>387608</v>
      </c>
      <c r="N51" s="16">
        <v>36915</v>
      </c>
      <c r="O51" s="16">
        <v>0</v>
      </c>
      <c r="P51" s="16">
        <v>3695708</v>
      </c>
      <c r="Q51" s="44">
        <v>11299147</v>
      </c>
      <c r="R51" s="61">
        <v>-5178916</v>
      </c>
      <c r="S51" s="20" t="s">
        <v>290</v>
      </c>
    </row>
    <row r="52" spans="1:19">
      <c r="A52" s="15" t="s">
        <v>180</v>
      </c>
      <c r="B52" s="45" t="s">
        <v>1312</v>
      </c>
      <c r="C52" s="46">
        <v>43</v>
      </c>
      <c r="D52" s="47" t="s">
        <v>1314</v>
      </c>
      <c r="E52" s="48">
        <v>366</v>
      </c>
      <c r="F52" s="49">
        <v>0.56280000000000008</v>
      </c>
      <c r="G52" s="50">
        <v>22.5</v>
      </c>
      <c r="H52" s="16">
        <v>1688105</v>
      </c>
      <c r="I52" s="16">
        <v>1903479</v>
      </c>
      <c r="J52" s="16">
        <v>0</v>
      </c>
      <c r="K52" s="16">
        <v>3591584</v>
      </c>
      <c r="L52" s="16">
        <v>2000000</v>
      </c>
      <c r="M52" s="16">
        <v>387608</v>
      </c>
      <c r="N52" s="16">
        <v>36915</v>
      </c>
      <c r="O52" s="16">
        <v>0</v>
      </c>
      <c r="P52" s="16">
        <v>1167061</v>
      </c>
      <c r="Q52" s="44">
        <v>7810315</v>
      </c>
      <c r="R52" s="61">
        <v>-4218731</v>
      </c>
      <c r="S52" s="20" t="s">
        <v>1312</v>
      </c>
    </row>
    <row r="53" spans="1:19">
      <c r="A53" s="15" t="s">
        <v>180</v>
      </c>
      <c r="B53" s="45" t="s">
        <v>2057</v>
      </c>
      <c r="C53" s="46">
        <v>44</v>
      </c>
      <c r="D53" s="47" t="s">
        <v>1434</v>
      </c>
      <c r="E53" s="48">
        <v>366</v>
      </c>
      <c r="F53" s="49">
        <v>0.7772</v>
      </c>
      <c r="G53" s="50">
        <v>19.5</v>
      </c>
      <c r="H53" s="16">
        <v>2320706</v>
      </c>
      <c r="I53" s="16">
        <v>7517443</v>
      </c>
      <c r="J53" s="16">
        <v>0</v>
      </c>
      <c r="K53" s="16">
        <v>9838149</v>
      </c>
      <c r="L53" s="16">
        <v>2000000</v>
      </c>
      <c r="M53" s="16">
        <v>387608</v>
      </c>
      <c r="N53" s="16">
        <v>36915</v>
      </c>
      <c r="O53" s="16">
        <v>0</v>
      </c>
      <c r="P53" s="16">
        <v>7413626</v>
      </c>
      <c r="Q53" s="44">
        <v>9320662</v>
      </c>
      <c r="R53" s="61">
        <v>517487</v>
      </c>
      <c r="S53" s="20" t="s">
        <v>2057</v>
      </c>
    </row>
    <row r="54" spans="1:19">
      <c r="A54" s="15" t="s">
        <v>181</v>
      </c>
      <c r="B54" s="45" t="s">
        <v>68</v>
      </c>
      <c r="C54" s="46">
        <v>45</v>
      </c>
      <c r="D54" s="47" t="s">
        <v>69</v>
      </c>
      <c r="E54" s="48">
        <v>335</v>
      </c>
      <c r="F54" s="49">
        <v>0.91890000000000005</v>
      </c>
      <c r="G54" s="50">
        <v>18.5</v>
      </c>
      <c r="H54" s="16">
        <v>6711392</v>
      </c>
      <c r="I54" s="16">
        <v>771004</v>
      </c>
      <c r="J54" s="16">
        <v>0</v>
      </c>
      <c r="K54" s="16">
        <v>7482396</v>
      </c>
      <c r="L54" s="16">
        <v>2000000</v>
      </c>
      <c r="M54" s="16">
        <v>387608</v>
      </c>
      <c r="N54" s="16">
        <v>36915</v>
      </c>
      <c r="O54" s="16">
        <v>0</v>
      </c>
      <c r="P54" s="16">
        <v>5057873</v>
      </c>
      <c r="Q54" s="44">
        <v>9161062</v>
      </c>
      <c r="R54" s="61">
        <v>-1678666</v>
      </c>
      <c r="S54" s="20" t="s">
        <v>68</v>
      </c>
    </row>
    <row r="55" spans="1:19">
      <c r="A55" s="15" t="s">
        <v>181</v>
      </c>
      <c r="B55" s="45" t="s">
        <v>71</v>
      </c>
      <c r="C55" s="46">
        <v>46</v>
      </c>
      <c r="D55" s="47" t="s">
        <v>72</v>
      </c>
      <c r="E55" s="48">
        <v>418</v>
      </c>
      <c r="F55" s="49">
        <v>1.1154999999999999</v>
      </c>
      <c r="G55" s="50">
        <v>18.5</v>
      </c>
      <c r="H55" s="16">
        <v>3807588</v>
      </c>
      <c r="I55" s="16">
        <v>8554083</v>
      </c>
      <c r="J55" s="16">
        <v>0</v>
      </c>
      <c r="K55" s="16">
        <v>12361671</v>
      </c>
      <c r="L55" s="16">
        <v>2000000</v>
      </c>
      <c r="M55" s="16">
        <v>387608</v>
      </c>
      <c r="N55" s="16">
        <v>36915</v>
      </c>
      <c r="O55" s="16">
        <v>333877</v>
      </c>
      <c r="P55" s="16">
        <v>9603271</v>
      </c>
      <c r="Q55" s="44">
        <v>27139164</v>
      </c>
      <c r="R55" s="61">
        <v>-14777493</v>
      </c>
      <c r="S55" s="20" t="s">
        <v>71</v>
      </c>
    </row>
    <row r="56" spans="1:19">
      <c r="A56" s="15" t="s">
        <v>181</v>
      </c>
      <c r="B56" s="45" t="s">
        <v>73</v>
      </c>
      <c r="C56" s="46">
        <v>47</v>
      </c>
      <c r="D56" s="47" t="s">
        <v>182</v>
      </c>
      <c r="E56" s="48">
        <v>431</v>
      </c>
      <c r="F56" s="49">
        <v>0.72110000000000007</v>
      </c>
      <c r="G56" s="50">
        <v>18.5</v>
      </c>
      <c r="H56" s="16">
        <v>2515615</v>
      </c>
      <c r="I56" s="16">
        <v>4000557</v>
      </c>
      <c r="J56" s="16">
        <v>0</v>
      </c>
      <c r="K56" s="16">
        <v>6516172</v>
      </c>
      <c r="L56" s="16">
        <v>2000000</v>
      </c>
      <c r="M56" s="16">
        <v>387608</v>
      </c>
      <c r="N56" s="16">
        <v>36915</v>
      </c>
      <c r="O56" s="16">
        <v>0</v>
      </c>
      <c r="P56" s="16">
        <v>4091649</v>
      </c>
      <c r="Q56" s="44">
        <v>7533603</v>
      </c>
      <c r="R56" s="61">
        <v>-1017431</v>
      </c>
      <c r="S56" s="20" t="s">
        <v>73</v>
      </c>
    </row>
    <row r="57" spans="1:19">
      <c r="A57" s="15" t="s">
        <v>181</v>
      </c>
      <c r="B57" s="45" t="s">
        <v>162</v>
      </c>
      <c r="C57" s="46">
        <v>48</v>
      </c>
      <c r="D57" s="47" t="s">
        <v>150</v>
      </c>
      <c r="E57" s="48">
        <v>431</v>
      </c>
      <c r="F57" s="49">
        <v>0.35709999999999997</v>
      </c>
      <c r="G57" s="50">
        <v>18.5</v>
      </c>
      <c r="H57" s="16">
        <v>1256552</v>
      </c>
      <c r="I57" s="16">
        <v>7072386</v>
      </c>
      <c r="J57" s="16">
        <v>0</v>
      </c>
      <c r="K57" s="16">
        <v>8328938</v>
      </c>
      <c r="L57" s="16">
        <v>2000000</v>
      </c>
      <c r="M57" s="16">
        <v>387608</v>
      </c>
      <c r="N57" s="16">
        <v>36915</v>
      </c>
      <c r="O57" s="16">
        <v>0</v>
      </c>
      <c r="P57" s="16">
        <v>5904415</v>
      </c>
      <c r="Q57" s="44">
        <v>10719586</v>
      </c>
      <c r="R57" s="61">
        <v>-2390648</v>
      </c>
      <c r="S57" s="20" t="s">
        <v>162</v>
      </c>
    </row>
    <row r="58" spans="1:19">
      <c r="A58" s="15" t="s">
        <v>181</v>
      </c>
      <c r="B58" s="45" t="s">
        <v>166</v>
      </c>
      <c r="C58" s="46">
        <v>49</v>
      </c>
      <c r="D58" s="47" t="s">
        <v>149</v>
      </c>
      <c r="E58" s="48">
        <v>431</v>
      </c>
      <c r="F58" s="49">
        <v>0.77670000000000006</v>
      </c>
      <c r="G58" s="50">
        <v>18.5</v>
      </c>
      <c r="H58" s="16">
        <v>2739370</v>
      </c>
      <c r="I58" s="16">
        <v>8380640</v>
      </c>
      <c r="J58" s="16">
        <v>0</v>
      </c>
      <c r="K58" s="16">
        <v>11120010</v>
      </c>
      <c r="L58" s="16">
        <v>2000000</v>
      </c>
      <c r="M58" s="16">
        <v>387608</v>
      </c>
      <c r="N58" s="16">
        <v>36915</v>
      </c>
      <c r="O58" s="16">
        <v>146406</v>
      </c>
      <c r="P58" s="16">
        <v>8549081</v>
      </c>
      <c r="Q58" s="44">
        <v>16108736</v>
      </c>
      <c r="R58" s="61">
        <v>-4988726</v>
      </c>
      <c r="S58" s="20" t="s">
        <v>166</v>
      </c>
    </row>
    <row r="59" spans="1:19">
      <c r="A59" s="15" t="s">
        <v>181</v>
      </c>
      <c r="B59" s="45" t="s">
        <v>1472</v>
      </c>
      <c r="C59" s="46">
        <v>50</v>
      </c>
      <c r="D59" s="47" t="s">
        <v>1473</v>
      </c>
      <c r="E59" s="48">
        <v>355</v>
      </c>
      <c r="F59" s="49">
        <v>0.81290000000000007</v>
      </c>
      <c r="G59" s="50">
        <v>18.5</v>
      </c>
      <c r="H59" s="16">
        <v>2356511</v>
      </c>
      <c r="I59" s="16">
        <v>2296374</v>
      </c>
      <c r="J59" s="16">
        <v>0</v>
      </c>
      <c r="K59" s="16">
        <v>4652885</v>
      </c>
      <c r="L59" s="16">
        <v>2000000</v>
      </c>
      <c r="M59" s="16">
        <v>387608</v>
      </c>
      <c r="N59" s="16">
        <v>36915</v>
      </c>
      <c r="O59" s="16">
        <v>0</v>
      </c>
      <c r="P59" s="16">
        <v>2228362</v>
      </c>
      <c r="Q59" s="44">
        <v>10716766</v>
      </c>
      <c r="R59" s="61">
        <v>-6063881</v>
      </c>
      <c r="S59" s="20" t="s">
        <v>1472</v>
      </c>
    </row>
    <row r="60" spans="1:19">
      <c r="A60" s="15" t="s">
        <v>183</v>
      </c>
      <c r="B60" s="45" t="s">
        <v>103</v>
      </c>
      <c r="C60" s="46">
        <v>51</v>
      </c>
      <c r="D60" s="47" t="s">
        <v>104</v>
      </c>
      <c r="E60" s="48">
        <v>570</v>
      </c>
      <c r="F60" s="49">
        <v>1.01</v>
      </c>
      <c r="G60" s="50">
        <v>18.5</v>
      </c>
      <c r="H60" s="16">
        <v>12498873</v>
      </c>
      <c r="I60" s="16">
        <v>58224</v>
      </c>
      <c r="J60" s="16">
        <v>0</v>
      </c>
      <c r="K60" s="16">
        <v>12557097</v>
      </c>
      <c r="L60" s="16">
        <v>2000000</v>
      </c>
      <c r="M60" s="16">
        <v>495464</v>
      </c>
      <c r="N60" s="16">
        <v>47187</v>
      </c>
      <c r="O60" s="16">
        <v>223031</v>
      </c>
      <c r="P60" s="16">
        <v>9791415</v>
      </c>
      <c r="Q60" s="44">
        <v>12869200</v>
      </c>
      <c r="R60" s="61">
        <v>-312103</v>
      </c>
      <c r="S60" s="20" t="s">
        <v>103</v>
      </c>
    </row>
    <row r="61" spans="1:19">
      <c r="A61" s="15" t="s">
        <v>183</v>
      </c>
      <c r="B61" s="45" t="s">
        <v>26</v>
      </c>
      <c r="C61" s="46">
        <v>52</v>
      </c>
      <c r="D61" s="47" t="s">
        <v>27</v>
      </c>
      <c r="E61" s="48">
        <v>418</v>
      </c>
      <c r="F61" s="49">
        <v>0.88340000000000007</v>
      </c>
      <c r="G61" s="50">
        <v>24.5</v>
      </c>
      <c r="H61" s="16">
        <v>3002706</v>
      </c>
      <c r="I61" s="16">
        <v>2905391</v>
      </c>
      <c r="J61" s="16">
        <v>0</v>
      </c>
      <c r="K61" s="16">
        <v>5908097</v>
      </c>
      <c r="L61" s="16">
        <v>2000000</v>
      </c>
      <c r="M61" s="16">
        <v>495464</v>
      </c>
      <c r="N61" s="16">
        <v>47187</v>
      </c>
      <c r="O61" s="16">
        <v>0</v>
      </c>
      <c r="P61" s="16">
        <v>3365446</v>
      </c>
      <c r="Q61" s="44">
        <v>13045114</v>
      </c>
      <c r="R61" s="61">
        <v>-7137017</v>
      </c>
      <c r="S61" s="20" t="s">
        <v>26</v>
      </c>
    </row>
    <row r="62" spans="1:19">
      <c r="A62" s="15" t="s">
        <v>183</v>
      </c>
      <c r="B62" s="45" t="s">
        <v>84</v>
      </c>
      <c r="C62" s="46">
        <v>53</v>
      </c>
      <c r="D62" s="47" t="s">
        <v>139</v>
      </c>
      <c r="E62" s="48">
        <v>341</v>
      </c>
      <c r="F62" s="49">
        <v>0.90060000000000007</v>
      </c>
      <c r="G62" s="50">
        <v>18.5</v>
      </c>
      <c r="H62" s="16">
        <v>6667468</v>
      </c>
      <c r="I62" s="16">
        <v>0</v>
      </c>
      <c r="J62" s="16">
        <v>0</v>
      </c>
      <c r="K62" s="16">
        <v>6667468</v>
      </c>
      <c r="L62" s="16">
        <v>2000000</v>
      </c>
      <c r="M62" s="16">
        <v>495464</v>
      </c>
      <c r="N62" s="16">
        <v>47187</v>
      </c>
      <c r="O62" s="16">
        <v>0</v>
      </c>
      <c r="P62" s="16">
        <v>4124817</v>
      </c>
      <c r="Q62" s="44">
        <v>7689209</v>
      </c>
      <c r="R62" s="61">
        <v>-1021741</v>
      </c>
      <c r="S62" s="20" t="s">
        <v>84</v>
      </c>
    </row>
    <row r="63" spans="1:19">
      <c r="A63" s="15" t="s">
        <v>183</v>
      </c>
      <c r="B63" s="45" t="s">
        <v>77</v>
      </c>
      <c r="C63" s="46">
        <v>54</v>
      </c>
      <c r="D63" s="47" t="s">
        <v>78</v>
      </c>
      <c r="E63" s="48">
        <v>524</v>
      </c>
      <c r="F63" s="49">
        <v>0.70010000000000006</v>
      </c>
      <c r="G63" s="50">
        <v>19</v>
      </c>
      <c r="H63" s="16">
        <v>3022864</v>
      </c>
      <c r="I63" s="16">
        <v>10114381</v>
      </c>
      <c r="J63" s="16">
        <v>0</v>
      </c>
      <c r="K63" s="16">
        <v>13137245</v>
      </c>
      <c r="L63" s="16">
        <v>2000000</v>
      </c>
      <c r="M63" s="16">
        <v>495464</v>
      </c>
      <c r="N63" s="16">
        <v>47187</v>
      </c>
      <c r="O63" s="16">
        <v>5283959</v>
      </c>
      <c r="P63" s="16">
        <v>5310635</v>
      </c>
      <c r="Q63" s="44">
        <v>9712569</v>
      </c>
      <c r="R63" s="61">
        <v>3424676</v>
      </c>
      <c r="S63" s="20" t="s">
        <v>77</v>
      </c>
    </row>
    <row r="64" spans="1:19">
      <c r="A64" s="15" t="s">
        <v>183</v>
      </c>
      <c r="B64" s="45" t="s">
        <v>80</v>
      </c>
      <c r="C64" s="46">
        <v>55</v>
      </c>
      <c r="D64" s="47" t="s">
        <v>81</v>
      </c>
      <c r="E64" s="48">
        <v>418</v>
      </c>
      <c r="F64" s="49">
        <v>0.71560000000000001</v>
      </c>
      <c r="G64" s="50">
        <v>25</v>
      </c>
      <c r="H64" s="16">
        <v>2432348</v>
      </c>
      <c r="I64" s="16">
        <v>3063643</v>
      </c>
      <c r="J64" s="16">
        <v>0</v>
      </c>
      <c r="K64" s="16">
        <v>5495991</v>
      </c>
      <c r="L64" s="16">
        <v>2000000</v>
      </c>
      <c r="M64" s="16">
        <v>495464</v>
      </c>
      <c r="N64" s="16">
        <v>47187</v>
      </c>
      <c r="O64" s="16">
        <v>0</v>
      </c>
      <c r="P64" s="16">
        <v>2953340</v>
      </c>
      <c r="Q64" s="44">
        <v>10293539</v>
      </c>
      <c r="R64" s="61">
        <v>-4797548</v>
      </c>
      <c r="S64" s="20" t="s">
        <v>80</v>
      </c>
    </row>
    <row r="65" spans="1:19">
      <c r="A65" s="15" t="s">
        <v>183</v>
      </c>
      <c r="B65" s="45" t="s">
        <v>220</v>
      </c>
      <c r="C65" s="46">
        <v>56</v>
      </c>
      <c r="D65" s="47" t="s">
        <v>221</v>
      </c>
      <c r="E65" s="48">
        <v>418</v>
      </c>
      <c r="F65" s="49">
        <v>0</v>
      </c>
      <c r="G65" s="50">
        <v>0</v>
      </c>
      <c r="H65" s="16">
        <v>0</v>
      </c>
      <c r="I65" s="16">
        <v>0</v>
      </c>
      <c r="J65" s="16">
        <v>0</v>
      </c>
      <c r="K65" s="16">
        <v>0</v>
      </c>
      <c r="L65" s="16">
        <v>0</v>
      </c>
      <c r="M65" s="16">
        <v>0</v>
      </c>
      <c r="N65" s="16">
        <v>0</v>
      </c>
      <c r="O65" s="16">
        <v>0</v>
      </c>
      <c r="P65" s="16">
        <v>0</v>
      </c>
      <c r="Q65" s="44">
        <v>0</v>
      </c>
      <c r="R65" s="61">
        <v>0</v>
      </c>
      <c r="S65" s="20" t="s">
        <v>220</v>
      </c>
    </row>
    <row r="66" spans="1:19">
      <c r="A66" s="15" t="s">
        <v>183</v>
      </c>
      <c r="B66" s="1250" t="s">
        <v>141</v>
      </c>
      <c r="C66" s="46">
        <v>57</v>
      </c>
      <c r="D66" s="47" t="s">
        <v>187</v>
      </c>
      <c r="E66" s="48">
        <v>478</v>
      </c>
      <c r="F66" s="49">
        <v>0.88719999999999999</v>
      </c>
      <c r="G66" s="50">
        <v>20.5</v>
      </c>
      <c r="H66" s="16">
        <v>3448487</v>
      </c>
      <c r="I66" s="16">
        <v>12940526</v>
      </c>
      <c r="J66" s="16">
        <v>0</v>
      </c>
      <c r="K66" s="16">
        <v>16389013</v>
      </c>
      <c r="L66" s="16">
        <v>2000000</v>
      </c>
      <c r="M66" s="16">
        <v>495464</v>
      </c>
      <c r="N66" s="16">
        <v>47187</v>
      </c>
      <c r="O66" s="16">
        <v>601974</v>
      </c>
      <c r="P66" s="16">
        <v>13244388</v>
      </c>
      <c r="Q66" s="44">
        <v>17713532</v>
      </c>
      <c r="R66" s="61">
        <v>-1324519</v>
      </c>
      <c r="S66" s="20" t="s">
        <v>141</v>
      </c>
    </row>
    <row r="67" spans="1:19">
      <c r="A67" s="15" t="s">
        <v>183</v>
      </c>
      <c r="B67" s="1251" t="s">
        <v>161</v>
      </c>
      <c r="C67" s="46">
        <v>58</v>
      </c>
      <c r="D67" s="47" t="s">
        <v>152</v>
      </c>
      <c r="E67" s="48">
        <v>478</v>
      </c>
      <c r="F67" s="49">
        <v>0.96450000000000002</v>
      </c>
      <c r="G67" s="50">
        <v>21</v>
      </c>
      <c r="H67" s="16">
        <v>3748947</v>
      </c>
      <c r="I67" s="16">
        <v>23700602</v>
      </c>
      <c r="J67" s="16">
        <v>0</v>
      </c>
      <c r="K67" s="16">
        <v>27449549</v>
      </c>
      <c r="L67" s="16">
        <v>2000000</v>
      </c>
      <c r="M67" s="16">
        <v>495464</v>
      </c>
      <c r="N67" s="16">
        <v>47187</v>
      </c>
      <c r="O67" s="16">
        <v>2603678</v>
      </c>
      <c r="P67" s="16">
        <v>22303220</v>
      </c>
      <c r="Q67" s="44">
        <v>35003203</v>
      </c>
      <c r="R67" s="61">
        <v>-7553654</v>
      </c>
      <c r="S67" s="20" t="s">
        <v>161</v>
      </c>
    </row>
    <row r="68" spans="1:19">
      <c r="A68" s="15" t="s">
        <v>183</v>
      </c>
      <c r="B68" s="45" t="s">
        <v>204</v>
      </c>
      <c r="C68" s="46">
        <v>59</v>
      </c>
      <c r="D68" s="47" t="s">
        <v>205</v>
      </c>
      <c r="E68" s="48">
        <v>431</v>
      </c>
      <c r="F68" s="49">
        <v>0.61070000000000002</v>
      </c>
      <c r="G68" s="50">
        <v>19.5</v>
      </c>
      <c r="H68" s="16">
        <v>2147826</v>
      </c>
      <c r="I68" s="16">
        <v>9771051</v>
      </c>
      <c r="J68" s="16">
        <v>0</v>
      </c>
      <c r="K68" s="16">
        <v>11918877</v>
      </c>
      <c r="L68" s="16">
        <v>2000000</v>
      </c>
      <c r="M68" s="16">
        <v>495464</v>
      </c>
      <c r="N68" s="16">
        <v>47187</v>
      </c>
      <c r="O68" s="16">
        <v>201473</v>
      </c>
      <c r="P68" s="16">
        <v>9174753</v>
      </c>
      <c r="Q68" s="44">
        <v>16527755</v>
      </c>
      <c r="R68" s="61">
        <v>-4608878</v>
      </c>
      <c r="S68" s="20" t="s">
        <v>204</v>
      </c>
    </row>
    <row r="69" spans="1:19">
      <c r="A69" s="15" t="s">
        <v>183</v>
      </c>
      <c r="B69" s="45" t="s">
        <v>2058</v>
      </c>
      <c r="C69" s="46">
        <v>60</v>
      </c>
      <c r="D69" s="47" t="s">
        <v>831</v>
      </c>
      <c r="E69" s="48">
        <v>355</v>
      </c>
      <c r="F69" s="49">
        <v>0.60899999999999999</v>
      </c>
      <c r="G69" s="50">
        <v>24</v>
      </c>
      <c r="H69" s="16">
        <v>1758024</v>
      </c>
      <c r="I69" s="16">
        <v>2577431</v>
      </c>
      <c r="J69" s="16">
        <v>0</v>
      </c>
      <c r="K69" s="16">
        <v>4335455</v>
      </c>
      <c r="L69" s="16">
        <v>2000000</v>
      </c>
      <c r="M69" s="16">
        <v>495464</v>
      </c>
      <c r="N69" s="16">
        <v>47187</v>
      </c>
      <c r="O69" s="16">
        <v>0</v>
      </c>
      <c r="P69" s="16">
        <v>1792804</v>
      </c>
      <c r="Q69" s="44">
        <v>11393511</v>
      </c>
      <c r="R69" s="61">
        <v>-7058056</v>
      </c>
      <c r="S69" s="20" t="s">
        <v>2058</v>
      </c>
    </row>
    <row r="70" spans="1:19">
      <c r="A70" s="15" t="s">
        <v>184</v>
      </c>
      <c r="B70" s="45" t="s">
        <v>271</v>
      </c>
      <c r="C70" s="46">
        <v>61</v>
      </c>
      <c r="D70" s="47" t="s">
        <v>269</v>
      </c>
      <c r="E70" s="48">
        <v>431</v>
      </c>
      <c r="F70" s="49">
        <v>0.36980000000000002</v>
      </c>
      <c r="G70" s="50">
        <v>20.5</v>
      </c>
      <c r="H70" s="16">
        <v>1300583</v>
      </c>
      <c r="I70" s="16">
        <v>4371011</v>
      </c>
      <c r="J70" s="16">
        <v>0</v>
      </c>
      <c r="K70" s="16">
        <v>5671594</v>
      </c>
      <c r="L70" s="16">
        <v>2000000</v>
      </c>
      <c r="M70" s="16">
        <v>387608</v>
      </c>
      <c r="N70" s="16">
        <v>36915</v>
      </c>
      <c r="O70" s="16">
        <v>0</v>
      </c>
      <c r="P70" s="16">
        <v>3247071</v>
      </c>
      <c r="Q70" s="44">
        <v>7916963</v>
      </c>
      <c r="R70" s="61">
        <v>-2245369</v>
      </c>
      <c r="S70" s="20" t="s">
        <v>271</v>
      </c>
    </row>
    <row r="71" spans="1:19">
      <c r="A71" s="15" t="s">
        <v>184</v>
      </c>
      <c r="B71" s="45" t="s">
        <v>88</v>
      </c>
      <c r="C71" s="46">
        <v>62</v>
      </c>
      <c r="D71" s="47" t="s">
        <v>89</v>
      </c>
      <c r="E71" s="48">
        <v>524</v>
      </c>
      <c r="F71" s="49">
        <v>0.70510000000000006</v>
      </c>
      <c r="G71" s="50">
        <v>20.5</v>
      </c>
      <c r="H71" s="16">
        <v>3044453</v>
      </c>
      <c r="I71" s="16">
        <v>14544231</v>
      </c>
      <c r="J71" s="16">
        <v>0</v>
      </c>
      <c r="K71" s="16">
        <v>17588684</v>
      </c>
      <c r="L71" s="16">
        <v>2000000</v>
      </c>
      <c r="M71" s="16">
        <v>387608</v>
      </c>
      <c r="N71" s="16">
        <v>36915</v>
      </c>
      <c r="O71" s="16">
        <v>1807548</v>
      </c>
      <c r="P71" s="16">
        <v>13356613</v>
      </c>
      <c r="Q71" s="44">
        <v>8968168</v>
      </c>
      <c r="R71" s="61">
        <v>8620516</v>
      </c>
      <c r="S71" s="20" t="s">
        <v>88</v>
      </c>
    </row>
    <row r="72" spans="1:19">
      <c r="A72" s="15" t="s">
        <v>184</v>
      </c>
      <c r="B72" s="45" t="s">
        <v>82</v>
      </c>
      <c r="C72" s="46">
        <v>63</v>
      </c>
      <c r="D72" s="47" t="s">
        <v>83</v>
      </c>
      <c r="E72" s="48">
        <v>418</v>
      </c>
      <c r="F72" s="49">
        <v>0.78010000000000002</v>
      </c>
      <c r="G72" s="50">
        <v>21.5</v>
      </c>
      <c r="H72" s="16">
        <v>2668190</v>
      </c>
      <c r="I72" s="16">
        <v>1138743</v>
      </c>
      <c r="J72" s="16">
        <v>0</v>
      </c>
      <c r="K72" s="16">
        <v>3806933</v>
      </c>
      <c r="L72" s="16">
        <v>2000000</v>
      </c>
      <c r="M72" s="16">
        <v>387608</v>
      </c>
      <c r="N72" s="16">
        <v>36915</v>
      </c>
      <c r="O72" s="16">
        <v>0</v>
      </c>
      <c r="P72" s="16">
        <v>1382410</v>
      </c>
      <c r="Q72" s="44">
        <v>9712358</v>
      </c>
      <c r="R72" s="61">
        <v>-5905425</v>
      </c>
      <c r="S72" s="20" t="s">
        <v>82</v>
      </c>
    </row>
    <row r="73" spans="1:19">
      <c r="A73" s="15" t="s">
        <v>184</v>
      </c>
      <c r="B73" s="45" t="s">
        <v>1655</v>
      </c>
      <c r="C73" s="46">
        <v>64</v>
      </c>
      <c r="D73" s="47" t="s">
        <v>765</v>
      </c>
      <c r="E73" s="48">
        <v>401</v>
      </c>
      <c r="F73" s="49">
        <v>0.71879999999999999</v>
      </c>
      <c r="G73" s="50">
        <v>20.5</v>
      </c>
      <c r="H73" s="16">
        <v>2375088</v>
      </c>
      <c r="I73" s="16">
        <v>5621833</v>
      </c>
      <c r="J73" s="16">
        <v>0</v>
      </c>
      <c r="K73" s="16">
        <v>7996921</v>
      </c>
      <c r="L73" s="16">
        <v>2000000</v>
      </c>
      <c r="M73" s="16">
        <v>387608</v>
      </c>
      <c r="N73" s="16">
        <v>36915</v>
      </c>
      <c r="O73" s="16">
        <v>0</v>
      </c>
      <c r="P73" s="16">
        <v>5572398</v>
      </c>
      <c r="Q73" s="44">
        <v>4253607</v>
      </c>
      <c r="R73" s="61">
        <v>3743314</v>
      </c>
      <c r="S73" s="20" t="s">
        <v>1655</v>
      </c>
    </row>
    <row r="74" spans="1:19">
      <c r="A74" s="15" t="s">
        <v>184</v>
      </c>
      <c r="B74" s="45" t="s">
        <v>90</v>
      </c>
      <c r="C74" s="46">
        <v>65</v>
      </c>
      <c r="D74" s="47" t="s">
        <v>91</v>
      </c>
      <c r="E74" s="48">
        <v>418</v>
      </c>
      <c r="F74" s="49">
        <v>1.0185</v>
      </c>
      <c r="G74" s="50">
        <v>22.5</v>
      </c>
      <c r="H74" s="16">
        <v>3483593</v>
      </c>
      <c r="I74" s="16">
        <v>12488032</v>
      </c>
      <c r="J74" s="16">
        <v>0</v>
      </c>
      <c r="K74" s="16">
        <v>15971625</v>
      </c>
      <c r="L74" s="16">
        <v>2000000</v>
      </c>
      <c r="M74" s="16">
        <v>387608</v>
      </c>
      <c r="N74" s="16">
        <v>36915</v>
      </c>
      <c r="O74" s="16">
        <v>623476</v>
      </c>
      <c r="P74" s="16">
        <v>12923626</v>
      </c>
      <c r="Q74" s="44">
        <v>21223402</v>
      </c>
      <c r="R74" s="61">
        <v>-5251777</v>
      </c>
      <c r="S74" s="20" t="s">
        <v>90</v>
      </c>
    </row>
    <row r="75" spans="1:19">
      <c r="A75" s="15" t="s">
        <v>185</v>
      </c>
      <c r="B75" s="45" t="s">
        <v>85</v>
      </c>
      <c r="C75" s="46">
        <v>66</v>
      </c>
      <c r="D75" s="47" t="s">
        <v>86</v>
      </c>
      <c r="E75" s="48">
        <v>355</v>
      </c>
      <c r="F75" s="49">
        <v>0.98210000000000008</v>
      </c>
      <c r="G75" s="50">
        <v>18.5</v>
      </c>
      <c r="H75" s="16">
        <v>7581034</v>
      </c>
      <c r="I75" s="16">
        <v>47712</v>
      </c>
      <c r="J75" s="16">
        <v>0</v>
      </c>
      <c r="K75" s="16">
        <v>7628746</v>
      </c>
      <c r="L75" s="16">
        <v>2000000</v>
      </c>
      <c r="M75" s="16">
        <v>433671</v>
      </c>
      <c r="N75" s="16">
        <v>41302</v>
      </c>
      <c r="O75" s="16">
        <v>0</v>
      </c>
      <c r="P75" s="16">
        <v>5153773</v>
      </c>
      <c r="Q75" s="44">
        <v>8013696</v>
      </c>
      <c r="R75" s="61">
        <v>-384950</v>
      </c>
      <c r="S75" s="20" t="s">
        <v>85</v>
      </c>
    </row>
    <row r="76" spans="1:19">
      <c r="A76" s="15" t="s">
        <v>185</v>
      </c>
      <c r="B76" s="45" t="s">
        <v>93</v>
      </c>
      <c r="C76" s="46">
        <v>67</v>
      </c>
      <c r="D76" s="47" t="s">
        <v>94</v>
      </c>
      <c r="E76" s="48">
        <v>524</v>
      </c>
      <c r="F76" s="49">
        <v>0.44259999999999999</v>
      </c>
      <c r="G76" s="50">
        <v>18.5</v>
      </c>
      <c r="H76" s="16">
        <v>1911041</v>
      </c>
      <c r="I76" s="16">
        <v>2288147</v>
      </c>
      <c r="J76" s="16">
        <v>0</v>
      </c>
      <c r="K76" s="16">
        <v>4199188</v>
      </c>
      <c r="L76" s="16">
        <v>2000000</v>
      </c>
      <c r="M76" s="16">
        <v>433671</v>
      </c>
      <c r="N76" s="16">
        <v>41302</v>
      </c>
      <c r="O76" s="16">
        <v>1020924</v>
      </c>
      <c r="P76" s="16">
        <v>703291</v>
      </c>
      <c r="Q76" s="44">
        <v>9424937</v>
      </c>
      <c r="R76" s="61">
        <v>-5225749</v>
      </c>
      <c r="S76" s="20" t="s">
        <v>93</v>
      </c>
    </row>
    <row r="77" spans="1:19">
      <c r="A77" s="15" t="s">
        <v>185</v>
      </c>
      <c r="B77" s="45" t="s">
        <v>164</v>
      </c>
      <c r="C77" s="46">
        <v>68</v>
      </c>
      <c r="D77" s="47" t="s">
        <v>153</v>
      </c>
      <c r="E77" s="48">
        <v>431</v>
      </c>
      <c r="F77" s="49">
        <v>0.41899999999999998</v>
      </c>
      <c r="G77" s="50">
        <v>18.5</v>
      </c>
      <c r="H77" s="16">
        <v>1465286</v>
      </c>
      <c r="I77" s="16">
        <v>4869014</v>
      </c>
      <c r="J77" s="16">
        <v>0</v>
      </c>
      <c r="K77" s="16">
        <v>6334300</v>
      </c>
      <c r="L77" s="16">
        <v>2000000</v>
      </c>
      <c r="M77" s="16">
        <v>433671</v>
      </c>
      <c r="N77" s="16">
        <v>41302</v>
      </c>
      <c r="O77" s="16">
        <v>0</v>
      </c>
      <c r="P77" s="16">
        <v>3859327</v>
      </c>
      <c r="Q77" s="44">
        <v>6093634</v>
      </c>
      <c r="R77" s="61">
        <v>240666</v>
      </c>
      <c r="S77" s="20" t="s">
        <v>164</v>
      </c>
    </row>
    <row r="78" spans="1:19">
      <c r="A78" s="15" t="s">
        <v>185</v>
      </c>
      <c r="B78" s="45" t="s">
        <v>901</v>
      </c>
      <c r="C78" s="46">
        <v>69</v>
      </c>
      <c r="D78" s="47" t="s">
        <v>644</v>
      </c>
      <c r="E78" s="48">
        <v>355</v>
      </c>
      <c r="F78" s="49">
        <v>0.80900000000000005</v>
      </c>
      <c r="G78" s="50">
        <v>20.5</v>
      </c>
      <c r="H78" s="16">
        <v>2338976</v>
      </c>
      <c r="I78" s="16">
        <v>3070056</v>
      </c>
      <c r="J78" s="16">
        <v>0</v>
      </c>
      <c r="K78" s="16">
        <v>5409032</v>
      </c>
      <c r="L78" s="16">
        <v>2000000</v>
      </c>
      <c r="M78" s="16">
        <v>433671</v>
      </c>
      <c r="N78" s="16">
        <v>41302</v>
      </c>
      <c r="O78" s="16">
        <v>0</v>
      </c>
      <c r="P78" s="16">
        <v>2934059</v>
      </c>
      <c r="Q78" s="44">
        <v>9401637</v>
      </c>
      <c r="R78" s="61">
        <v>-3992605</v>
      </c>
      <c r="S78" s="20" t="s">
        <v>901</v>
      </c>
    </row>
    <row r="79" spans="1:19">
      <c r="A79" s="15" t="s">
        <v>185</v>
      </c>
      <c r="B79" s="45" t="s">
        <v>1457</v>
      </c>
      <c r="C79" s="46">
        <v>70</v>
      </c>
      <c r="D79" s="47" t="s">
        <v>1458</v>
      </c>
      <c r="E79" s="48">
        <v>355</v>
      </c>
      <c r="F79" s="49">
        <v>0.82790000000000008</v>
      </c>
      <c r="G79" s="50">
        <v>20.5</v>
      </c>
      <c r="H79" s="16">
        <v>2393620</v>
      </c>
      <c r="I79" s="16">
        <v>3229461</v>
      </c>
      <c r="J79" s="16">
        <v>0</v>
      </c>
      <c r="K79" s="16">
        <v>5623081</v>
      </c>
      <c r="L79" s="16">
        <v>2000000</v>
      </c>
      <c r="M79" s="16">
        <v>433671</v>
      </c>
      <c r="N79" s="16">
        <v>41302</v>
      </c>
      <c r="O79" s="16">
        <v>0</v>
      </c>
      <c r="P79" s="16">
        <v>3148108</v>
      </c>
      <c r="Q79" s="44">
        <v>9510209</v>
      </c>
      <c r="R79" s="61">
        <v>-3887128</v>
      </c>
      <c r="S79" s="20" t="s">
        <v>1457</v>
      </c>
    </row>
    <row r="80" spans="1:19">
      <c r="A80" s="15" t="s">
        <v>185</v>
      </c>
      <c r="B80" s="45" t="s">
        <v>206</v>
      </c>
      <c r="C80" s="46">
        <v>71</v>
      </c>
      <c r="D80" s="47" t="s">
        <v>207</v>
      </c>
      <c r="E80" s="48">
        <v>431</v>
      </c>
      <c r="F80" s="49">
        <v>0.50240000000000007</v>
      </c>
      <c r="G80" s="50">
        <v>18.5</v>
      </c>
      <c r="H80" s="16">
        <v>1762833</v>
      </c>
      <c r="I80" s="16">
        <v>4209642</v>
      </c>
      <c r="J80" s="16">
        <v>0</v>
      </c>
      <c r="K80" s="16">
        <v>5972475</v>
      </c>
      <c r="L80" s="16">
        <v>2000000</v>
      </c>
      <c r="M80" s="16">
        <v>433671</v>
      </c>
      <c r="N80" s="16">
        <v>41302</v>
      </c>
      <c r="O80" s="16">
        <v>0</v>
      </c>
      <c r="P80" s="16">
        <v>3497502</v>
      </c>
      <c r="Q80" s="44">
        <v>4456709</v>
      </c>
      <c r="R80" s="61">
        <v>1515766</v>
      </c>
      <c r="S80" s="20" t="s">
        <v>206</v>
      </c>
    </row>
    <row r="81" spans="1:19">
      <c r="A81" s="15" t="s">
        <v>185</v>
      </c>
      <c r="B81" s="45" t="s">
        <v>2059</v>
      </c>
      <c r="C81" s="46">
        <v>72</v>
      </c>
      <c r="D81" s="47" t="s">
        <v>716</v>
      </c>
      <c r="E81" s="48">
        <v>401</v>
      </c>
      <c r="F81" s="49">
        <v>0.3553</v>
      </c>
      <c r="G81" s="50">
        <v>18.5</v>
      </c>
      <c r="H81" s="16">
        <v>1173996</v>
      </c>
      <c r="I81" s="16">
        <v>1768216</v>
      </c>
      <c r="J81" s="16">
        <v>0</v>
      </c>
      <c r="K81" s="16">
        <v>2942212</v>
      </c>
      <c r="L81" s="16">
        <v>2000000</v>
      </c>
      <c r="M81" s="16">
        <v>433671</v>
      </c>
      <c r="N81" s="16">
        <v>41302</v>
      </c>
      <c r="O81" s="16">
        <v>0</v>
      </c>
      <c r="P81" s="16">
        <v>467239</v>
      </c>
      <c r="Q81" s="44">
        <v>8420054</v>
      </c>
      <c r="R81" s="61">
        <v>-5477842</v>
      </c>
      <c r="S81" s="20" t="s">
        <v>2059</v>
      </c>
    </row>
    <row r="82" spans="1:19">
      <c r="A82" s="15" t="s">
        <v>186</v>
      </c>
      <c r="B82" s="45" t="s">
        <v>287</v>
      </c>
      <c r="C82" s="46">
        <v>73</v>
      </c>
      <c r="D82" s="47" t="s">
        <v>288</v>
      </c>
      <c r="E82" s="48">
        <v>394</v>
      </c>
      <c r="F82" s="49">
        <v>0.86530000000000007</v>
      </c>
      <c r="G82" s="50">
        <v>18.5</v>
      </c>
      <c r="H82" s="16">
        <v>7500420</v>
      </c>
      <c r="I82" s="16">
        <v>0</v>
      </c>
      <c r="J82" s="16">
        <v>0</v>
      </c>
      <c r="K82" s="16">
        <v>7500420</v>
      </c>
      <c r="L82" s="16">
        <v>2000000</v>
      </c>
      <c r="M82" s="16">
        <v>0</v>
      </c>
      <c r="N82" s="16">
        <v>41302</v>
      </c>
      <c r="O82" s="16">
        <v>0</v>
      </c>
      <c r="P82" s="16">
        <v>5459118</v>
      </c>
      <c r="Q82" s="44">
        <v>8581320</v>
      </c>
      <c r="R82" s="61">
        <v>-1080900</v>
      </c>
      <c r="S82" s="20" t="s">
        <v>287</v>
      </c>
    </row>
    <row r="83" spans="1:19">
      <c r="A83" s="15" t="s">
        <v>186</v>
      </c>
      <c r="B83" s="45" t="s">
        <v>101</v>
      </c>
      <c r="C83" s="46">
        <v>74</v>
      </c>
      <c r="D83" s="47" t="s">
        <v>102</v>
      </c>
      <c r="E83" s="48">
        <v>355</v>
      </c>
      <c r="F83" s="49">
        <v>0.86530000000000007</v>
      </c>
      <c r="G83" s="50">
        <v>18.5</v>
      </c>
      <c r="H83" s="16">
        <v>6757993</v>
      </c>
      <c r="I83" s="16">
        <v>0</v>
      </c>
      <c r="J83" s="16">
        <v>0</v>
      </c>
      <c r="K83" s="16">
        <v>6757993</v>
      </c>
      <c r="L83" s="16">
        <v>2000000</v>
      </c>
      <c r="M83" s="16">
        <v>433671</v>
      </c>
      <c r="N83" s="16">
        <v>41302</v>
      </c>
      <c r="O83" s="16">
        <v>0</v>
      </c>
      <c r="P83" s="16">
        <v>4283020</v>
      </c>
      <c r="Q83" s="44">
        <v>8122400</v>
      </c>
      <c r="R83" s="61">
        <v>-1364407</v>
      </c>
      <c r="S83" s="20" t="s">
        <v>101</v>
      </c>
    </row>
    <row r="84" spans="1:19">
      <c r="A84" s="15" t="s">
        <v>186</v>
      </c>
      <c r="B84" s="45" t="s">
        <v>95</v>
      </c>
      <c r="C84" s="46">
        <v>75</v>
      </c>
      <c r="D84" s="47" t="s">
        <v>96</v>
      </c>
      <c r="E84" s="48">
        <v>431</v>
      </c>
      <c r="F84" s="49">
        <v>0.54870000000000008</v>
      </c>
      <c r="G84" s="50">
        <v>20.5</v>
      </c>
      <c r="H84" s="16">
        <v>1948675</v>
      </c>
      <c r="I84" s="16">
        <v>7942203</v>
      </c>
      <c r="J84" s="16">
        <v>0</v>
      </c>
      <c r="K84" s="16">
        <v>9890878</v>
      </c>
      <c r="L84" s="16">
        <v>2000000</v>
      </c>
      <c r="M84" s="16">
        <v>433671</v>
      </c>
      <c r="N84" s="16">
        <v>41302</v>
      </c>
      <c r="O84" s="16">
        <v>44203</v>
      </c>
      <c r="P84" s="16">
        <v>7371702</v>
      </c>
      <c r="Q84" s="44">
        <v>9253383</v>
      </c>
      <c r="R84" s="61">
        <v>637495</v>
      </c>
      <c r="S84" s="20" t="s">
        <v>95</v>
      </c>
    </row>
    <row r="85" spans="1:19">
      <c r="A85" s="15" t="s">
        <v>186</v>
      </c>
      <c r="B85" s="45" t="s">
        <v>97</v>
      </c>
      <c r="C85" s="46">
        <v>76</v>
      </c>
      <c r="D85" s="47" t="s">
        <v>98</v>
      </c>
      <c r="E85" s="48">
        <v>418</v>
      </c>
      <c r="F85" s="49">
        <v>0.62730000000000008</v>
      </c>
      <c r="G85" s="50">
        <v>20.5</v>
      </c>
      <c r="H85" s="16">
        <v>2160622</v>
      </c>
      <c r="I85" s="16">
        <v>4056736</v>
      </c>
      <c r="J85" s="16">
        <v>0</v>
      </c>
      <c r="K85" s="16">
        <v>6217358</v>
      </c>
      <c r="L85" s="16">
        <v>2000000</v>
      </c>
      <c r="M85" s="16">
        <v>433671</v>
      </c>
      <c r="N85" s="16">
        <v>41302</v>
      </c>
      <c r="O85" s="16">
        <v>0</v>
      </c>
      <c r="P85" s="16">
        <v>3742385</v>
      </c>
      <c r="Q85" s="44">
        <v>10137802</v>
      </c>
      <c r="R85" s="61">
        <v>-3920444</v>
      </c>
      <c r="S85" s="20" t="s">
        <v>97</v>
      </c>
    </row>
    <row r="86" spans="1:19">
      <c r="A86" s="15" t="s">
        <v>186</v>
      </c>
      <c r="B86" s="45" t="s">
        <v>105</v>
      </c>
      <c r="C86" s="46">
        <v>77</v>
      </c>
      <c r="D86" s="47" t="s">
        <v>106</v>
      </c>
      <c r="E86" s="48">
        <v>431</v>
      </c>
      <c r="F86" s="49">
        <v>0</v>
      </c>
      <c r="G86" s="50">
        <v>0</v>
      </c>
      <c r="H86" s="16">
        <v>0</v>
      </c>
      <c r="I86" s="16">
        <v>0</v>
      </c>
      <c r="J86" s="16">
        <v>0</v>
      </c>
      <c r="K86" s="16">
        <v>0</v>
      </c>
      <c r="L86" s="16">
        <v>0</v>
      </c>
      <c r="M86" s="16">
        <v>0</v>
      </c>
      <c r="N86" s="16">
        <v>0</v>
      </c>
      <c r="O86" s="16">
        <v>0</v>
      </c>
      <c r="P86" s="16">
        <v>0</v>
      </c>
      <c r="Q86" s="44">
        <v>0</v>
      </c>
      <c r="R86" s="61">
        <v>0</v>
      </c>
      <c r="S86" s="20" t="s">
        <v>105</v>
      </c>
    </row>
    <row r="87" spans="1:19">
      <c r="A87" s="15" t="s">
        <v>186</v>
      </c>
      <c r="B87" s="51" t="s">
        <v>18</v>
      </c>
      <c r="C87" s="46">
        <v>78</v>
      </c>
      <c r="D87" s="47" t="s">
        <v>19</v>
      </c>
      <c r="E87" s="48">
        <v>418</v>
      </c>
      <c r="F87" s="49">
        <v>0.57369999999999999</v>
      </c>
      <c r="G87" s="50">
        <v>20</v>
      </c>
      <c r="H87" s="16">
        <v>1976006</v>
      </c>
      <c r="I87" s="16">
        <v>2513383</v>
      </c>
      <c r="J87" s="16">
        <v>0</v>
      </c>
      <c r="K87" s="16">
        <v>4489389</v>
      </c>
      <c r="L87" s="16">
        <v>2000000</v>
      </c>
      <c r="M87" s="16">
        <v>433671</v>
      </c>
      <c r="N87" s="16">
        <v>41302</v>
      </c>
      <c r="O87" s="16">
        <v>0</v>
      </c>
      <c r="P87" s="16">
        <v>2014416</v>
      </c>
      <c r="Q87" s="44">
        <v>10982287</v>
      </c>
      <c r="R87" s="61">
        <v>-6492898</v>
      </c>
      <c r="S87" s="20" t="s">
        <v>18</v>
      </c>
    </row>
    <row r="88" spans="1:19">
      <c r="A88" s="15" t="s">
        <v>186</v>
      </c>
      <c r="B88" s="52" t="s">
        <v>209</v>
      </c>
      <c r="C88" s="46">
        <v>79</v>
      </c>
      <c r="D88" s="47" t="s">
        <v>210</v>
      </c>
      <c r="E88" s="48">
        <v>431</v>
      </c>
      <c r="F88" s="49">
        <v>0.83630000000000004</v>
      </c>
      <c r="G88" s="50">
        <v>20.5</v>
      </c>
      <c r="H88" s="16">
        <v>2917499</v>
      </c>
      <c r="I88" s="16">
        <v>10994226</v>
      </c>
      <c r="J88" s="16">
        <v>0</v>
      </c>
      <c r="K88" s="16">
        <v>13911725</v>
      </c>
      <c r="L88" s="16">
        <v>2000000</v>
      </c>
      <c r="M88" s="16">
        <v>433671</v>
      </c>
      <c r="N88" s="16">
        <v>41302</v>
      </c>
      <c r="O88" s="16">
        <v>303955</v>
      </c>
      <c r="P88" s="16">
        <v>11132797</v>
      </c>
      <c r="Q88" s="44">
        <v>14761938</v>
      </c>
      <c r="R88" s="61">
        <v>-850213</v>
      </c>
      <c r="S88" s="20" t="s">
        <v>209</v>
      </c>
    </row>
    <row r="89" spans="1:19">
      <c r="A89" s="15" t="s">
        <v>186</v>
      </c>
      <c r="B89" s="52" t="s">
        <v>163</v>
      </c>
      <c r="C89" s="46">
        <v>80</v>
      </c>
      <c r="D89" s="47" t="s">
        <v>154</v>
      </c>
      <c r="E89" s="48">
        <v>478</v>
      </c>
      <c r="F89" s="49">
        <v>0.70800000000000007</v>
      </c>
      <c r="G89" s="50">
        <v>19.5</v>
      </c>
      <c r="H89" s="16">
        <v>2788614</v>
      </c>
      <c r="I89" s="16">
        <v>8275478</v>
      </c>
      <c r="J89" s="16">
        <v>0</v>
      </c>
      <c r="K89" s="16">
        <v>11064092</v>
      </c>
      <c r="L89" s="16">
        <v>2000000</v>
      </c>
      <c r="M89" s="16">
        <v>433671</v>
      </c>
      <c r="N89" s="16">
        <v>41302</v>
      </c>
      <c r="O89" s="16">
        <v>163037</v>
      </c>
      <c r="P89" s="16">
        <v>8426082</v>
      </c>
      <c r="Q89" s="44">
        <v>11068806</v>
      </c>
      <c r="R89" s="61">
        <v>-4714</v>
      </c>
      <c r="S89" s="20" t="s">
        <v>163</v>
      </c>
    </row>
    <row r="90" spans="1:19" ht="16.5">
      <c r="A90" s="15"/>
      <c r="B90" s="17"/>
      <c r="C90" s="1493" t="s">
        <v>132</v>
      </c>
      <c r="D90" s="1494"/>
      <c r="E90" s="18"/>
      <c r="F90" s="18"/>
      <c r="G90" s="18"/>
      <c r="H90" s="19">
        <f t="shared" ref="H90:R90" si="0">SUM(H10:H89)</f>
        <v>323845361</v>
      </c>
      <c r="I90" s="19">
        <f t="shared" si="0"/>
        <v>359868852</v>
      </c>
      <c r="J90" s="19">
        <f t="shared" si="0"/>
        <v>0</v>
      </c>
      <c r="K90" s="19">
        <f t="shared" si="0"/>
        <v>683714213</v>
      </c>
      <c r="L90" s="19">
        <f t="shared" si="0"/>
        <v>156000000</v>
      </c>
      <c r="M90" s="19">
        <f t="shared" si="0"/>
        <v>34433053</v>
      </c>
      <c r="N90" s="19">
        <f t="shared" si="0"/>
        <v>3320638</v>
      </c>
      <c r="O90" s="19">
        <f t="shared" si="0"/>
        <v>17473208</v>
      </c>
      <c r="P90" s="19">
        <f t="shared" si="0"/>
        <v>472487314</v>
      </c>
      <c r="Q90" s="19">
        <f t="shared" si="0"/>
        <v>946849975</v>
      </c>
      <c r="R90" s="1204">
        <f t="shared" si="0"/>
        <v>-263135762</v>
      </c>
    </row>
    <row r="91" spans="1:19">
      <c r="A91" s="15"/>
    </row>
    <row r="92" spans="1:19">
      <c r="A92" s="15"/>
      <c r="D92" s="1488" t="s">
        <v>134</v>
      </c>
      <c r="E92" s="1488"/>
      <c r="I92" s="1488" t="s">
        <v>135</v>
      </c>
      <c r="J92" s="1488"/>
      <c r="K92" s="1488"/>
      <c r="O92" s="1488" t="s">
        <v>133</v>
      </c>
      <c r="P92" s="1488"/>
      <c r="Q92" s="126"/>
    </row>
    <row r="93" spans="1:19">
      <c r="A93" s="15"/>
    </row>
    <row r="94" spans="1:19">
      <c r="A94" s="15"/>
    </row>
    <row r="95" spans="1:19">
      <c r="A95" s="15"/>
    </row>
    <row r="96" spans="1:19">
      <c r="A96" s="15"/>
    </row>
    <row r="97" spans="1:11" s="20" customFormat="1" ht="15">
      <c r="A97" s="15"/>
    </row>
    <row r="98" spans="1:11" s="20" customFormat="1" ht="16.5">
      <c r="A98" s="15"/>
      <c r="D98" s="1490" t="s">
        <v>136</v>
      </c>
      <c r="E98" s="1490"/>
      <c r="I98" s="1490" t="s">
        <v>137</v>
      </c>
      <c r="J98" s="1490"/>
      <c r="K98" s="1490"/>
    </row>
    <row r="103" spans="1:11" s="20" customFormat="1" ht="15">
      <c r="A103" s="20">
        <v>400000</v>
      </c>
      <c r="B103" s="20">
        <v>10</v>
      </c>
      <c r="D103" s="28">
        <f>A103*B103</f>
        <v>4000000</v>
      </c>
    </row>
    <row r="104" spans="1:11" s="20" customFormat="1" ht="15">
      <c r="B104" s="20">
        <f>(1/0.9)</f>
        <v>1.1111111111111112</v>
      </c>
      <c r="D104" s="28">
        <f>B104*$D$103</f>
        <v>4444444.444444445</v>
      </c>
    </row>
    <row r="105" spans="1:11" s="20" customFormat="1" ht="15">
      <c r="B105" s="20">
        <f>(1.02/0.9)</f>
        <v>1.1333333333333333</v>
      </c>
      <c r="D105" s="28">
        <f t="shared" ref="D105:D107" si="1">B105*$D$103</f>
        <v>4533333.333333333</v>
      </c>
    </row>
    <row r="106" spans="1:11" s="20" customFormat="1" ht="15">
      <c r="B106" s="20">
        <f>(1.05/0.9)</f>
        <v>1.1666666666666667</v>
      </c>
      <c r="D106" s="28">
        <f t="shared" si="1"/>
        <v>4666666.666666667</v>
      </c>
    </row>
    <row r="107" spans="1:11" s="20" customFormat="1" ht="15">
      <c r="B107" s="20">
        <f>(1.1/0.9)</f>
        <v>1.2222222222222223</v>
      </c>
      <c r="D107" s="28">
        <f t="shared" si="1"/>
        <v>4888888.888888889</v>
      </c>
    </row>
  </sheetData>
  <autoFilter ref="A9:T90"/>
  <mergeCells count="14">
    <mergeCell ref="O92:P92"/>
    <mergeCell ref="C1:E1"/>
    <mergeCell ref="I1:O1"/>
    <mergeCell ref="C2:E2"/>
    <mergeCell ref="I2:O2"/>
    <mergeCell ref="C3:E3"/>
    <mergeCell ref="C4:E4"/>
    <mergeCell ref="D98:E98"/>
    <mergeCell ref="I98:K98"/>
    <mergeCell ref="E6:M6"/>
    <mergeCell ref="E7:M7"/>
    <mergeCell ref="C90:D90"/>
    <mergeCell ref="D92:E92"/>
    <mergeCell ref="I92:K9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63"/>
  <sheetViews>
    <sheetView workbookViewId="0">
      <selection activeCell="C58" sqref="C58"/>
    </sheetView>
  </sheetViews>
  <sheetFormatPr defaultRowHeight="15"/>
  <cols>
    <col min="2" max="2" width="13" customWidth="1"/>
    <col min="3" max="3" width="47.5703125" customWidth="1"/>
    <col min="6" max="6" width="10.140625" bestFit="1" customWidth="1"/>
    <col min="7" max="9" width="0" hidden="1" customWidth="1"/>
    <col min="10" max="10" width="12.85546875" customWidth="1"/>
  </cols>
  <sheetData>
    <row r="1" spans="1:11">
      <c r="A1" s="662" t="s">
        <v>225</v>
      </c>
    </row>
    <row r="2" spans="1:11">
      <c r="A2" s="662" t="s">
        <v>225</v>
      </c>
    </row>
    <row r="4" spans="1:11" ht="18.75">
      <c r="A4" s="104" t="s">
        <v>254</v>
      </c>
    </row>
    <row r="5" spans="1:11">
      <c r="A5" s="662" t="s">
        <v>2083</v>
      </c>
    </row>
    <row r="7" spans="1:11">
      <c r="A7" s="1125" t="s">
        <v>226</v>
      </c>
      <c r="B7" s="1127"/>
      <c r="C7" s="1131" t="s">
        <v>227</v>
      </c>
      <c r="D7" s="1125" t="s">
        <v>255</v>
      </c>
      <c r="E7" s="1127"/>
      <c r="F7" s="1125" t="s">
        <v>228</v>
      </c>
      <c r="G7" s="1127"/>
      <c r="H7" s="1125" t="s">
        <v>229</v>
      </c>
      <c r="I7" s="1127"/>
      <c r="J7" s="1125" t="s">
        <v>230</v>
      </c>
      <c r="K7" s="1127"/>
    </row>
    <row r="8" spans="1:11">
      <c r="A8" s="1129" t="s">
        <v>231</v>
      </c>
      <c r="B8" s="1129" t="s">
        <v>232</v>
      </c>
      <c r="C8" s="1132"/>
      <c r="D8" s="1129" t="s">
        <v>233</v>
      </c>
      <c r="E8" s="1129" t="s">
        <v>234</v>
      </c>
      <c r="F8" s="1129" t="s">
        <v>233</v>
      </c>
      <c r="G8" s="1129" t="s">
        <v>234</v>
      </c>
      <c r="H8" s="1129" t="s">
        <v>233</v>
      </c>
      <c r="I8" s="1129" t="s">
        <v>234</v>
      </c>
      <c r="J8" s="1129" t="s">
        <v>233</v>
      </c>
      <c r="K8" s="1129" t="s">
        <v>234</v>
      </c>
    </row>
    <row r="9" spans="1:11">
      <c r="A9" s="1125" t="s">
        <v>235</v>
      </c>
      <c r="B9" s="1126"/>
      <c r="C9" s="1126"/>
      <c r="D9" s="1126"/>
      <c r="E9" s="1126"/>
      <c r="F9" s="1126"/>
      <c r="G9" s="1126"/>
      <c r="H9" s="1126"/>
      <c r="I9" s="1126"/>
      <c r="J9" s="1126"/>
      <c r="K9" s="1127"/>
    </row>
    <row r="10" spans="1:11" hidden="1">
      <c r="A10" s="1130" t="s">
        <v>2070</v>
      </c>
      <c r="B10" s="1124" t="s">
        <v>2071</v>
      </c>
      <c r="C10" s="1124" t="s">
        <v>2072</v>
      </c>
      <c r="D10" s="182">
        <v>14127000</v>
      </c>
      <c r="E10" s="182">
        <v>0</v>
      </c>
      <c r="F10" s="182">
        <v>0</v>
      </c>
      <c r="G10" s="182">
        <v>0</v>
      </c>
      <c r="H10" s="182">
        <v>0</v>
      </c>
      <c r="I10" s="182">
        <v>0</v>
      </c>
      <c r="J10" s="182">
        <v>14127000</v>
      </c>
      <c r="K10" s="182">
        <v>0</v>
      </c>
    </row>
    <row r="11" spans="1:11" hidden="1">
      <c r="A11" s="1130" t="s">
        <v>2073</v>
      </c>
      <c r="B11" s="1124" t="s">
        <v>2074</v>
      </c>
      <c r="C11" s="1124" t="s">
        <v>2075</v>
      </c>
      <c r="D11" s="182">
        <v>1800000</v>
      </c>
      <c r="E11" s="182">
        <v>0</v>
      </c>
      <c r="F11" s="182">
        <v>0</v>
      </c>
      <c r="G11" s="182">
        <v>0</v>
      </c>
      <c r="H11" s="182">
        <v>0</v>
      </c>
      <c r="I11" s="182">
        <v>0</v>
      </c>
      <c r="J11" s="182">
        <v>1800000</v>
      </c>
      <c r="K11" s="182">
        <v>0</v>
      </c>
    </row>
    <row r="12" spans="1:11" hidden="1">
      <c r="A12" s="1130" t="s">
        <v>2105</v>
      </c>
      <c r="B12" s="1124" t="s">
        <v>2106</v>
      </c>
      <c r="C12" s="1124" t="s">
        <v>2107</v>
      </c>
      <c r="D12" s="182">
        <v>4711400</v>
      </c>
      <c r="E12" s="182">
        <v>0</v>
      </c>
      <c r="F12" s="182">
        <v>0</v>
      </c>
      <c r="G12" s="182">
        <v>0</v>
      </c>
      <c r="H12" s="182">
        <v>0</v>
      </c>
      <c r="I12" s="182">
        <v>0</v>
      </c>
      <c r="J12" s="182">
        <v>4711400</v>
      </c>
      <c r="K12" s="182">
        <v>0</v>
      </c>
    </row>
    <row r="13" spans="1:11" hidden="1">
      <c r="A13" s="1130" t="s">
        <v>2105</v>
      </c>
      <c r="B13" s="1124" t="s">
        <v>2108</v>
      </c>
      <c r="C13" s="1124" t="s">
        <v>2109</v>
      </c>
      <c r="D13" s="182">
        <v>2775200</v>
      </c>
      <c r="E13" s="182">
        <v>0</v>
      </c>
      <c r="F13" s="182">
        <v>0</v>
      </c>
      <c r="G13" s="182">
        <v>0</v>
      </c>
      <c r="H13" s="182">
        <v>0</v>
      </c>
      <c r="I13" s="182">
        <v>0</v>
      </c>
      <c r="J13" s="182">
        <v>2775200</v>
      </c>
      <c r="K13" s="182">
        <v>0</v>
      </c>
    </row>
    <row r="14" spans="1:11" hidden="1">
      <c r="A14" s="1130" t="s">
        <v>2105</v>
      </c>
      <c r="B14" s="1124" t="s">
        <v>2110</v>
      </c>
      <c r="C14" s="1124" t="s">
        <v>2111</v>
      </c>
      <c r="D14" s="182">
        <v>470000</v>
      </c>
      <c r="E14" s="182">
        <v>0</v>
      </c>
      <c r="F14" s="182">
        <v>0</v>
      </c>
      <c r="G14" s="182">
        <v>0</v>
      </c>
      <c r="H14" s="182">
        <v>0</v>
      </c>
      <c r="I14" s="182">
        <v>0</v>
      </c>
      <c r="J14" s="182">
        <v>470000</v>
      </c>
      <c r="K14" s="182">
        <v>0</v>
      </c>
    </row>
    <row r="15" spans="1:11" hidden="1">
      <c r="A15" s="1130" t="s">
        <v>2105</v>
      </c>
      <c r="B15" s="1124" t="s">
        <v>2112</v>
      </c>
      <c r="C15" s="1124" t="s">
        <v>2113</v>
      </c>
      <c r="D15" s="182">
        <v>1664800</v>
      </c>
      <c r="E15" s="182">
        <v>0</v>
      </c>
      <c r="F15" s="182">
        <v>0</v>
      </c>
      <c r="G15" s="182">
        <v>0</v>
      </c>
      <c r="H15" s="182">
        <v>0</v>
      </c>
      <c r="I15" s="182">
        <v>0</v>
      </c>
      <c r="J15" s="182">
        <v>1664800</v>
      </c>
      <c r="K15" s="182">
        <v>0</v>
      </c>
    </row>
    <row r="16" spans="1:11" hidden="1">
      <c r="A16" s="1130" t="s">
        <v>2105</v>
      </c>
      <c r="B16" s="1124" t="s">
        <v>2114</v>
      </c>
      <c r="C16" s="1124" t="s">
        <v>2115</v>
      </c>
      <c r="D16" s="182">
        <v>11007200</v>
      </c>
      <c r="E16" s="182">
        <v>0</v>
      </c>
      <c r="F16" s="182">
        <v>0</v>
      </c>
      <c r="G16" s="182">
        <v>0</v>
      </c>
      <c r="H16" s="182">
        <v>0</v>
      </c>
      <c r="I16" s="182">
        <v>0</v>
      </c>
      <c r="J16" s="182">
        <v>11007200</v>
      </c>
      <c r="K16" s="182">
        <v>0</v>
      </c>
    </row>
    <row r="17" spans="1:11" hidden="1">
      <c r="A17" s="1130" t="s">
        <v>2105</v>
      </c>
      <c r="B17" s="1124" t="s">
        <v>2116</v>
      </c>
      <c r="C17" s="1124" t="s">
        <v>2117</v>
      </c>
      <c r="D17" s="182">
        <v>90400</v>
      </c>
      <c r="E17" s="182">
        <v>0</v>
      </c>
      <c r="F17" s="182">
        <v>0</v>
      </c>
      <c r="G17" s="182">
        <v>0</v>
      </c>
      <c r="H17" s="182">
        <v>0</v>
      </c>
      <c r="I17" s="182">
        <v>0</v>
      </c>
      <c r="J17" s="182">
        <v>90400</v>
      </c>
      <c r="K17" s="182">
        <v>0</v>
      </c>
    </row>
    <row r="18" spans="1:11" hidden="1">
      <c r="A18" s="1130" t="s">
        <v>2105</v>
      </c>
      <c r="B18" s="1124" t="s">
        <v>2118</v>
      </c>
      <c r="C18" s="1124" t="s">
        <v>2119</v>
      </c>
      <c r="D18" s="182">
        <v>106700</v>
      </c>
      <c r="E18" s="182">
        <v>0</v>
      </c>
      <c r="F18" s="182">
        <v>0</v>
      </c>
      <c r="G18" s="182">
        <v>0</v>
      </c>
      <c r="H18" s="182">
        <v>0</v>
      </c>
      <c r="I18" s="182">
        <v>0</v>
      </c>
      <c r="J18" s="182">
        <v>106700</v>
      </c>
      <c r="K18" s="182">
        <v>0</v>
      </c>
    </row>
    <row r="19" spans="1:11" hidden="1">
      <c r="A19" s="1130" t="s">
        <v>2105</v>
      </c>
      <c r="B19" s="1124" t="s">
        <v>2120</v>
      </c>
      <c r="C19" s="1124" t="s">
        <v>2121</v>
      </c>
      <c r="D19" s="182">
        <v>1080000</v>
      </c>
      <c r="E19" s="182">
        <v>0</v>
      </c>
      <c r="F19" s="182">
        <v>0</v>
      </c>
      <c r="G19" s="182">
        <v>0</v>
      </c>
      <c r="H19" s="182">
        <v>0</v>
      </c>
      <c r="I19" s="182">
        <v>0</v>
      </c>
      <c r="J19" s="182">
        <v>1080000</v>
      </c>
      <c r="K19" s="182">
        <v>0</v>
      </c>
    </row>
    <row r="20" spans="1:11" hidden="1">
      <c r="A20" s="1130" t="s">
        <v>2105</v>
      </c>
      <c r="B20" s="1124" t="s">
        <v>2122</v>
      </c>
      <c r="C20" s="1124" t="s">
        <v>2123</v>
      </c>
      <c r="D20" s="182">
        <v>220000</v>
      </c>
      <c r="E20" s="182">
        <v>0</v>
      </c>
      <c r="F20" s="182">
        <v>0</v>
      </c>
      <c r="G20" s="182">
        <v>0</v>
      </c>
      <c r="H20" s="182">
        <v>0</v>
      </c>
      <c r="I20" s="182">
        <v>0</v>
      </c>
      <c r="J20" s="182">
        <v>220000</v>
      </c>
      <c r="K20" s="182">
        <v>0</v>
      </c>
    </row>
    <row r="21" spans="1:11" hidden="1">
      <c r="A21" s="1130" t="s">
        <v>2105</v>
      </c>
      <c r="B21" s="1124" t="s">
        <v>2124</v>
      </c>
      <c r="C21" s="1124" t="s">
        <v>2125</v>
      </c>
      <c r="D21" s="182">
        <v>2034545</v>
      </c>
      <c r="E21" s="182">
        <v>0</v>
      </c>
      <c r="F21" s="182">
        <v>0</v>
      </c>
      <c r="G21" s="182">
        <v>0</v>
      </c>
      <c r="H21" s="182">
        <v>0</v>
      </c>
      <c r="I21" s="182">
        <v>0</v>
      </c>
      <c r="J21" s="182">
        <v>2034545</v>
      </c>
      <c r="K21" s="182">
        <v>0</v>
      </c>
    </row>
    <row r="22" spans="1:11" hidden="1">
      <c r="A22" s="1130" t="s">
        <v>2105</v>
      </c>
      <c r="B22" s="1124" t="s">
        <v>2126</v>
      </c>
      <c r="C22" s="1124" t="s">
        <v>2127</v>
      </c>
      <c r="D22" s="182">
        <v>60000</v>
      </c>
      <c r="E22" s="182">
        <v>0</v>
      </c>
      <c r="F22" s="182">
        <v>0</v>
      </c>
      <c r="G22" s="182">
        <v>0</v>
      </c>
      <c r="H22" s="182">
        <v>0</v>
      </c>
      <c r="I22" s="182">
        <v>0</v>
      </c>
      <c r="J22" s="182">
        <v>60000</v>
      </c>
      <c r="K22" s="182">
        <v>0</v>
      </c>
    </row>
    <row r="23" spans="1:11" hidden="1">
      <c r="A23" s="1130" t="s">
        <v>2105</v>
      </c>
      <c r="B23" s="1124" t="s">
        <v>2128</v>
      </c>
      <c r="C23" s="1124" t="s">
        <v>2129</v>
      </c>
      <c r="D23" s="182">
        <v>1615000</v>
      </c>
      <c r="E23" s="182">
        <v>0</v>
      </c>
      <c r="F23" s="182">
        <v>0</v>
      </c>
      <c r="G23" s="182">
        <v>0</v>
      </c>
      <c r="H23" s="182">
        <v>0</v>
      </c>
      <c r="I23" s="182">
        <v>0</v>
      </c>
      <c r="J23" s="182">
        <v>1615000</v>
      </c>
      <c r="K23" s="182">
        <v>0</v>
      </c>
    </row>
    <row r="24" spans="1:11" hidden="1">
      <c r="A24" s="1130" t="s">
        <v>2105</v>
      </c>
      <c r="B24" s="1124" t="s">
        <v>2130</v>
      </c>
      <c r="C24" s="1124" t="s">
        <v>2131</v>
      </c>
      <c r="D24" s="182">
        <v>167200</v>
      </c>
      <c r="E24" s="182">
        <v>0</v>
      </c>
      <c r="F24" s="182">
        <v>0</v>
      </c>
      <c r="G24" s="182">
        <v>0</v>
      </c>
      <c r="H24" s="182">
        <v>0</v>
      </c>
      <c r="I24" s="182">
        <v>0</v>
      </c>
      <c r="J24" s="182">
        <v>167200</v>
      </c>
      <c r="K24" s="182">
        <v>0</v>
      </c>
    </row>
    <row r="25" spans="1:11" hidden="1">
      <c r="A25" s="1130" t="s">
        <v>2132</v>
      </c>
      <c r="B25" s="1124" t="s">
        <v>2133</v>
      </c>
      <c r="C25" s="1124" t="s">
        <v>2134</v>
      </c>
      <c r="D25" s="182">
        <v>800000</v>
      </c>
      <c r="E25" s="182">
        <v>0</v>
      </c>
      <c r="F25" s="182">
        <v>0</v>
      </c>
      <c r="G25" s="182">
        <v>0</v>
      </c>
      <c r="H25" s="182">
        <v>0</v>
      </c>
      <c r="I25" s="182">
        <v>0</v>
      </c>
      <c r="J25" s="182">
        <v>800000</v>
      </c>
      <c r="K25" s="182">
        <v>0</v>
      </c>
    </row>
    <row r="26" spans="1:11" hidden="1">
      <c r="A26" s="1130" t="s">
        <v>2132</v>
      </c>
      <c r="B26" s="1124" t="s">
        <v>2135</v>
      </c>
      <c r="C26" s="1124" t="s">
        <v>2136</v>
      </c>
      <c r="D26" s="182">
        <v>1790000</v>
      </c>
      <c r="E26" s="182">
        <v>0</v>
      </c>
      <c r="F26" s="182">
        <v>0</v>
      </c>
      <c r="G26" s="182">
        <v>0</v>
      </c>
      <c r="H26" s="182">
        <v>0</v>
      </c>
      <c r="I26" s="182">
        <v>0</v>
      </c>
      <c r="J26" s="182">
        <v>1790000</v>
      </c>
      <c r="K26" s="182">
        <v>0</v>
      </c>
    </row>
    <row r="27" spans="1:11" hidden="1">
      <c r="A27" s="1130" t="s">
        <v>2132</v>
      </c>
      <c r="B27" s="1124" t="s">
        <v>2137</v>
      </c>
      <c r="C27" s="1124" t="s">
        <v>2138</v>
      </c>
      <c r="D27" s="182">
        <v>78000</v>
      </c>
      <c r="E27" s="182">
        <v>0</v>
      </c>
      <c r="F27" s="182">
        <v>0</v>
      </c>
      <c r="G27" s="182">
        <v>0</v>
      </c>
      <c r="H27" s="182">
        <v>0</v>
      </c>
      <c r="I27" s="182">
        <v>0</v>
      </c>
      <c r="J27" s="182">
        <v>78000</v>
      </c>
      <c r="K27" s="182">
        <v>0</v>
      </c>
    </row>
    <row r="28" spans="1:11" hidden="1">
      <c r="A28" s="1130" t="s">
        <v>2132</v>
      </c>
      <c r="B28" s="1124" t="s">
        <v>2139</v>
      </c>
      <c r="C28" s="1124" t="s">
        <v>2140</v>
      </c>
      <c r="D28" s="182">
        <v>16704300</v>
      </c>
      <c r="E28" s="182">
        <v>0</v>
      </c>
      <c r="F28" s="182">
        <v>0</v>
      </c>
      <c r="G28" s="182">
        <v>0</v>
      </c>
      <c r="H28" s="182">
        <v>0</v>
      </c>
      <c r="I28" s="182">
        <v>0</v>
      </c>
      <c r="J28" s="182">
        <v>16704300</v>
      </c>
      <c r="K28" s="182">
        <v>0</v>
      </c>
    </row>
    <row r="29" spans="1:11" hidden="1">
      <c r="A29" s="1130" t="s">
        <v>2132</v>
      </c>
      <c r="B29" s="1124" t="s">
        <v>2141</v>
      </c>
      <c r="C29" s="1124" t="s">
        <v>2142</v>
      </c>
      <c r="D29" s="182">
        <v>600000</v>
      </c>
      <c r="E29" s="182">
        <v>0</v>
      </c>
      <c r="F29" s="182">
        <v>0</v>
      </c>
      <c r="G29" s="182">
        <v>0</v>
      </c>
      <c r="H29" s="182">
        <v>0</v>
      </c>
      <c r="I29" s="182">
        <v>0</v>
      </c>
      <c r="J29" s="182">
        <v>600000</v>
      </c>
      <c r="K29" s="182">
        <v>0</v>
      </c>
    </row>
    <row r="30" spans="1:11" hidden="1">
      <c r="A30" s="1130" t="s">
        <v>2132</v>
      </c>
      <c r="B30" s="1124" t="s">
        <v>2143</v>
      </c>
      <c r="C30" s="1124" t="s">
        <v>2144</v>
      </c>
      <c r="D30" s="182">
        <v>2400000</v>
      </c>
      <c r="E30" s="182">
        <v>0</v>
      </c>
      <c r="F30" s="182">
        <v>0</v>
      </c>
      <c r="G30" s="182">
        <v>0</v>
      </c>
      <c r="H30" s="182">
        <v>0</v>
      </c>
      <c r="I30" s="182">
        <v>0</v>
      </c>
      <c r="J30" s="182">
        <v>2400000</v>
      </c>
      <c r="K30" s="182">
        <v>0</v>
      </c>
    </row>
    <row r="31" spans="1:11" hidden="1">
      <c r="A31" s="1130" t="s">
        <v>2132</v>
      </c>
      <c r="B31" s="1124" t="s">
        <v>2145</v>
      </c>
      <c r="C31" s="1124" t="s">
        <v>2146</v>
      </c>
      <c r="D31" s="182">
        <v>27337050</v>
      </c>
      <c r="E31" s="182">
        <v>0</v>
      </c>
      <c r="F31" s="182">
        <v>0</v>
      </c>
      <c r="G31" s="182">
        <v>0</v>
      </c>
      <c r="H31" s="182">
        <v>0</v>
      </c>
      <c r="I31" s="182">
        <v>0</v>
      </c>
      <c r="J31" s="182">
        <v>27337050</v>
      </c>
      <c r="K31" s="182">
        <v>0</v>
      </c>
    </row>
    <row r="32" spans="1:11" hidden="1">
      <c r="A32" s="1130" t="s">
        <v>2132</v>
      </c>
      <c r="B32" s="1124" t="s">
        <v>2147</v>
      </c>
      <c r="C32" s="1124" t="s">
        <v>2148</v>
      </c>
      <c r="D32" s="182">
        <v>3100000</v>
      </c>
      <c r="E32" s="182">
        <v>0</v>
      </c>
      <c r="F32" s="182">
        <v>0</v>
      </c>
      <c r="G32" s="182">
        <v>0</v>
      </c>
      <c r="H32" s="182">
        <v>0</v>
      </c>
      <c r="I32" s="182">
        <v>0</v>
      </c>
      <c r="J32" s="182">
        <v>3100000</v>
      </c>
      <c r="K32" s="182">
        <v>0</v>
      </c>
    </row>
    <row r="33" spans="1:11" hidden="1">
      <c r="A33" s="1130" t="s">
        <v>2132</v>
      </c>
      <c r="B33" s="1124" t="s">
        <v>2149</v>
      </c>
      <c r="C33" s="1124" t="s">
        <v>2150</v>
      </c>
      <c r="D33" s="182">
        <v>550000</v>
      </c>
      <c r="E33" s="182">
        <v>0</v>
      </c>
      <c r="F33" s="182">
        <v>0</v>
      </c>
      <c r="G33" s="182">
        <v>0</v>
      </c>
      <c r="H33" s="182">
        <v>0</v>
      </c>
      <c r="I33" s="182">
        <v>0</v>
      </c>
      <c r="J33" s="182">
        <v>550000</v>
      </c>
      <c r="K33" s="182">
        <v>0</v>
      </c>
    </row>
    <row r="34" spans="1:11" hidden="1">
      <c r="A34" s="1130" t="s">
        <v>2132</v>
      </c>
      <c r="B34" s="1124" t="s">
        <v>2151</v>
      </c>
      <c r="C34" s="1124" t="s">
        <v>2152</v>
      </c>
      <c r="D34" s="182">
        <v>1280000</v>
      </c>
      <c r="E34" s="182">
        <v>0</v>
      </c>
      <c r="F34" s="182">
        <v>0</v>
      </c>
      <c r="G34" s="182">
        <v>0</v>
      </c>
      <c r="H34" s="182">
        <v>0</v>
      </c>
      <c r="I34" s="182">
        <v>0</v>
      </c>
      <c r="J34" s="182">
        <v>1280000</v>
      </c>
      <c r="K34" s="182">
        <v>0</v>
      </c>
    </row>
    <row r="35" spans="1:11" hidden="1">
      <c r="A35" s="1130" t="s">
        <v>2132</v>
      </c>
      <c r="B35" s="1124" t="s">
        <v>2153</v>
      </c>
      <c r="C35" s="1124" t="s">
        <v>2154</v>
      </c>
      <c r="D35" s="182">
        <v>84000</v>
      </c>
      <c r="E35" s="182">
        <v>0</v>
      </c>
      <c r="F35" s="182">
        <v>0</v>
      </c>
      <c r="G35" s="182">
        <v>0</v>
      </c>
      <c r="H35" s="182">
        <v>0</v>
      </c>
      <c r="I35" s="182">
        <v>0</v>
      </c>
      <c r="J35" s="182">
        <v>84000</v>
      </c>
      <c r="K35" s="182">
        <v>0</v>
      </c>
    </row>
    <row r="36" spans="1:11" hidden="1">
      <c r="A36" s="1130" t="s">
        <v>2132</v>
      </c>
      <c r="B36" s="1124" t="s">
        <v>2155</v>
      </c>
      <c r="C36" s="1124" t="s">
        <v>2156</v>
      </c>
      <c r="D36" s="182">
        <v>1300000</v>
      </c>
      <c r="E36" s="182">
        <v>0</v>
      </c>
      <c r="F36" s="182">
        <v>0</v>
      </c>
      <c r="G36" s="182">
        <v>0</v>
      </c>
      <c r="H36" s="182">
        <v>0</v>
      </c>
      <c r="I36" s="182">
        <v>0</v>
      </c>
      <c r="J36" s="182">
        <v>1300000</v>
      </c>
      <c r="K36" s="182">
        <v>0</v>
      </c>
    </row>
    <row r="37" spans="1:11" hidden="1">
      <c r="A37" s="1130" t="s">
        <v>2157</v>
      </c>
      <c r="B37" s="1124" t="s">
        <v>2158</v>
      </c>
      <c r="C37" s="1124" t="s">
        <v>2159</v>
      </c>
      <c r="D37" s="182">
        <v>2041200</v>
      </c>
      <c r="E37" s="182">
        <v>0</v>
      </c>
      <c r="F37" s="182">
        <v>0</v>
      </c>
      <c r="G37" s="182">
        <v>0</v>
      </c>
      <c r="H37" s="182">
        <v>0</v>
      </c>
      <c r="I37" s="182">
        <v>0</v>
      </c>
      <c r="J37" s="182">
        <v>2041200</v>
      </c>
      <c r="K37" s="182">
        <v>0</v>
      </c>
    </row>
    <row r="38" spans="1:11" s="1208" customFormat="1">
      <c r="A38" s="1205" t="s">
        <v>2084</v>
      </c>
      <c r="B38" s="1206" t="s">
        <v>2085</v>
      </c>
      <c r="C38" s="1206" t="s">
        <v>2086</v>
      </c>
      <c r="D38" s="1207">
        <v>0</v>
      </c>
      <c r="E38" s="1207">
        <v>0</v>
      </c>
      <c r="F38" s="1207">
        <v>2751100</v>
      </c>
      <c r="G38" s="1207">
        <v>0</v>
      </c>
      <c r="H38" s="1207">
        <v>0</v>
      </c>
      <c r="I38" s="1207">
        <v>0</v>
      </c>
      <c r="J38" s="1207">
        <v>2751100</v>
      </c>
      <c r="K38" s="1207">
        <v>0</v>
      </c>
    </row>
    <row r="39" spans="1:11" s="1208" customFormat="1">
      <c r="A39" s="1205" t="s">
        <v>2084</v>
      </c>
      <c r="B39" s="1206" t="s">
        <v>2087</v>
      </c>
      <c r="C39" s="1206" t="s">
        <v>2088</v>
      </c>
      <c r="D39" s="1207">
        <v>0</v>
      </c>
      <c r="E39" s="1207">
        <v>0</v>
      </c>
      <c r="F39" s="1207">
        <v>2948500</v>
      </c>
      <c r="G39" s="1207">
        <v>0</v>
      </c>
      <c r="H39" s="1207">
        <v>0</v>
      </c>
      <c r="I39" s="1207">
        <v>0</v>
      </c>
      <c r="J39" s="1207">
        <v>2948500</v>
      </c>
      <c r="K39" s="1207">
        <v>0</v>
      </c>
    </row>
    <row r="40" spans="1:11" s="1208" customFormat="1">
      <c r="A40" s="1205" t="s">
        <v>2089</v>
      </c>
      <c r="B40" s="1206" t="s">
        <v>2090</v>
      </c>
      <c r="C40" s="1206" t="s">
        <v>2091</v>
      </c>
      <c r="D40" s="1207">
        <v>0</v>
      </c>
      <c r="E40" s="1207">
        <v>0</v>
      </c>
      <c r="F40" s="1207">
        <v>7843100</v>
      </c>
      <c r="G40" s="1207">
        <v>0</v>
      </c>
      <c r="H40" s="1207">
        <v>0</v>
      </c>
      <c r="I40" s="1207">
        <v>0</v>
      </c>
      <c r="J40" s="1207">
        <v>7843100</v>
      </c>
      <c r="K40" s="1207">
        <v>0</v>
      </c>
    </row>
    <row r="41" spans="1:11" s="1208" customFormat="1">
      <c r="A41" s="1205" t="s">
        <v>2089</v>
      </c>
      <c r="B41" s="1206" t="s">
        <v>2092</v>
      </c>
      <c r="C41" s="1206" t="s">
        <v>2093</v>
      </c>
      <c r="D41" s="1207">
        <v>0</v>
      </c>
      <c r="E41" s="1207">
        <v>0</v>
      </c>
      <c r="F41" s="1207">
        <v>2998000</v>
      </c>
      <c r="G41" s="1207">
        <v>0</v>
      </c>
      <c r="H41" s="1207">
        <v>0</v>
      </c>
      <c r="I41" s="1207">
        <v>0</v>
      </c>
      <c r="J41" s="1207">
        <v>2998000</v>
      </c>
      <c r="K41" s="1207">
        <v>0</v>
      </c>
    </row>
    <row r="42" spans="1:11" s="1208" customFormat="1">
      <c r="A42" s="1205" t="s">
        <v>2089</v>
      </c>
      <c r="B42" s="1206" t="s">
        <v>2094</v>
      </c>
      <c r="C42" s="1206" t="s">
        <v>2095</v>
      </c>
      <c r="D42" s="1207">
        <v>0</v>
      </c>
      <c r="E42" s="1207">
        <v>0</v>
      </c>
      <c r="F42" s="1207">
        <v>4051309</v>
      </c>
      <c r="G42" s="1207">
        <v>0</v>
      </c>
      <c r="H42" s="1207">
        <v>0</v>
      </c>
      <c r="I42" s="1207">
        <v>0</v>
      </c>
      <c r="J42" s="1207">
        <v>4051309</v>
      </c>
      <c r="K42" s="1207">
        <v>0</v>
      </c>
    </row>
    <row r="43" spans="1:11" s="1208" customFormat="1">
      <c r="A43" s="1205" t="s">
        <v>2089</v>
      </c>
      <c r="B43" s="1206" t="s">
        <v>2160</v>
      </c>
      <c r="C43" s="1206" t="s">
        <v>2161</v>
      </c>
      <c r="D43" s="1207">
        <v>0</v>
      </c>
      <c r="E43" s="1207">
        <v>0</v>
      </c>
      <c r="F43" s="1207">
        <v>1000000</v>
      </c>
      <c r="G43" s="1207">
        <v>0</v>
      </c>
      <c r="H43" s="1207">
        <v>0</v>
      </c>
      <c r="I43" s="1207">
        <v>0</v>
      </c>
      <c r="J43" s="1207">
        <v>1000000</v>
      </c>
      <c r="K43" s="1207">
        <v>0</v>
      </c>
    </row>
    <row r="44" spans="1:11" s="1208" customFormat="1">
      <c r="A44" s="1205" t="s">
        <v>2089</v>
      </c>
      <c r="B44" s="1206" t="s">
        <v>2162</v>
      </c>
      <c r="C44" s="1206" t="s">
        <v>2163</v>
      </c>
      <c r="D44" s="1207">
        <v>0</v>
      </c>
      <c r="E44" s="1207">
        <v>0</v>
      </c>
      <c r="F44" s="1207">
        <v>110000</v>
      </c>
      <c r="G44" s="1207">
        <v>0</v>
      </c>
      <c r="H44" s="1207">
        <v>0</v>
      </c>
      <c r="I44" s="1207">
        <v>0</v>
      </c>
      <c r="J44" s="1207">
        <v>110000</v>
      </c>
      <c r="K44" s="1207">
        <v>0</v>
      </c>
    </row>
    <row r="45" spans="1:11" s="1208" customFormat="1">
      <c r="A45" s="1205" t="s">
        <v>2089</v>
      </c>
      <c r="B45" s="1206" t="s">
        <v>2164</v>
      </c>
      <c r="C45" s="1206" t="s">
        <v>2165</v>
      </c>
      <c r="D45" s="1207">
        <v>0</v>
      </c>
      <c r="E45" s="1207">
        <v>0</v>
      </c>
      <c r="F45" s="1207">
        <v>2788600</v>
      </c>
      <c r="G45" s="1207">
        <v>0</v>
      </c>
      <c r="H45" s="1207">
        <v>0</v>
      </c>
      <c r="I45" s="1207">
        <v>0</v>
      </c>
      <c r="J45" s="1207">
        <v>2788600</v>
      </c>
      <c r="K45" s="1207">
        <v>0</v>
      </c>
    </row>
    <row r="46" spans="1:11" s="1208" customFormat="1">
      <c r="A46" s="1205" t="s">
        <v>2089</v>
      </c>
      <c r="B46" s="1206" t="s">
        <v>2096</v>
      </c>
      <c r="C46" s="1206" t="s">
        <v>2097</v>
      </c>
      <c r="D46" s="1207">
        <v>0</v>
      </c>
      <c r="E46" s="1207">
        <v>0</v>
      </c>
      <c r="F46" s="1207">
        <v>23576400</v>
      </c>
      <c r="G46" s="1207">
        <v>0</v>
      </c>
      <c r="H46" s="1207">
        <v>0</v>
      </c>
      <c r="I46" s="1207">
        <v>0</v>
      </c>
      <c r="J46" s="1207">
        <v>23576400</v>
      </c>
      <c r="K46" s="1207">
        <v>0</v>
      </c>
    </row>
    <row r="47" spans="1:11" s="1208" customFormat="1">
      <c r="A47" s="1205" t="s">
        <v>2089</v>
      </c>
      <c r="B47" s="1206" t="s">
        <v>2166</v>
      </c>
      <c r="C47" s="1206" t="s">
        <v>2167</v>
      </c>
      <c r="D47" s="1207">
        <v>0</v>
      </c>
      <c r="E47" s="1207">
        <v>0</v>
      </c>
      <c r="F47" s="1207">
        <v>1963518</v>
      </c>
      <c r="G47" s="1207">
        <v>0</v>
      </c>
      <c r="H47" s="1207">
        <v>0</v>
      </c>
      <c r="I47" s="1207">
        <v>0</v>
      </c>
      <c r="J47" s="1207">
        <v>1963518</v>
      </c>
      <c r="K47" s="1207">
        <v>0</v>
      </c>
    </row>
    <row r="48" spans="1:11" s="1208" customFormat="1">
      <c r="A48" s="1205" t="s">
        <v>2089</v>
      </c>
      <c r="B48" s="1206" t="s">
        <v>2100</v>
      </c>
      <c r="C48" s="1206" t="s">
        <v>2101</v>
      </c>
      <c r="D48" s="1207">
        <v>0</v>
      </c>
      <c r="E48" s="1207">
        <v>0</v>
      </c>
      <c r="F48" s="1207">
        <v>2104800</v>
      </c>
      <c r="G48" s="1207">
        <v>0</v>
      </c>
      <c r="H48" s="1207">
        <v>0</v>
      </c>
      <c r="I48" s="1207">
        <v>0</v>
      </c>
      <c r="J48" s="1207">
        <v>2104800</v>
      </c>
      <c r="K48" s="1207">
        <v>0</v>
      </c>
    </row>
    <row r="49" spans="1:11" s="1208" customFormat="1">
      <c r="A49" s="1205" t="s">
        <v>2089</v>
      </c>
      <c r="B49" s="1206" t="s">
        <v>2168</v>
      </c>
      <c r="C49" s="1206" t="s">
        <v>2169</v>
      </c>
      <c r="D49" s="1207">
        <v>0</v>
      </c>
      <c r="E49" s="1207">
        <v>0</v>
      </c>
      <c r="F49" s="1207">
        <v>3485200</v>
      </c>
      <c r="G49" s="1207">
        <v>0</v>
      </c>
      <c r="H49" s="1207">
        <v>0</v>
      </c>
      <c r="I49" s="1207">
        <v>0</v>
      </c>
      <c r="J49" s="1207">
        <v>3485200</v>
      </c>
      <c r="K49" s="1207">
        <v>0</v>
      </c>
    </row>
    <row r="50" spans="1:11" s="1208" customFormat="1">
      <c r="A50" s="1205" t="s">
        <v>2089</v>
      </c>
      <c r="B50" s="1206" t="s">
        <v>2102</v>
      </c>
      <c r="C50" s="1206" t="s">
        <v>2103</v>
      </c>
      <c r="D50" s="1207">
        <v>0</v>
      </c>
      <c r="E50" s="1207">
        <v>0</v>
      </c>
      <c r="F50" s="1207">
        <v>1850745</v>
      </c>
      <c r="G50" s="1207">
        <v>0</v>
      </c>
      <c r="H50" s="1207">
        <v>0</v>
      </c>
      <c r="I50" s="1207">
        <v>0</v>
      </c>
      <c r="J50" s="1207">
        <v>1850745</v>
      </c>
      <c r="K50" s="1207">
        <v>0</v>
      </c>
    </row>
    <row r="51" spans="1:11">
      <c r="A51" s="1125" t="s">
        <v>404</v>
      </c>
      <c r="B51" s="1126"/>
      <c r="C51" s="1127"/>
      <c r="D51" s="182">
        <v>99993995</v>
      </c>
      <c r="E51" s="182">
        <v>0</v>
      </c>
      <c r="F51" s="182">
        <v>57471272</v>
      </c>
      <c r="G51" s="182">
        <v>0</v>
      </c>
      <c r="H51" s="182">
        <v>0</v>
      </c>
      <c r="I51" s="182">
        <v>0</v>
      </c>
      <c r="J51" s="182">
        <v>157465267</v>
      </c>
      <c r="K51" s="182">
        <v>0</v>
      </c>
    </row>
    <row r="52" spans="1:11">
      <c r="A52" s="1125" t="s">
        <v>257</v>
      </c>
      <c r="B52" s="1126"/>
      <c r="C52" s="1127"/>
      <c r="D52" s="182">
        <v>99993995</v>
      </c>
      <c r="E52" s="182">
        <v>0</v>
      </c>
      <c r="F52" s="182">
        <v>57471272</v>
      </c>
      <c r="G52" s="182">
        <v>0</v>
      </c>
      <c r="H52" s="182">
        <v>0</v>
      </c>
      <c r="I52" s="182">
        <v>0</v>
      </c>
      <c r="J52" s="182">
        <v>157465267</v>
      </c>
      <c r="K52" s="182">
        <v>0</v>
      </c>
    </row>
    <row r="53" spans="1:11">
      <c r="A53" s="1125" t="s">
        <v>258</v>
      </c>
      <c r="B53" s="1126"/>
      <c r="C53" s="1127"/>
      <c r="D53" s="182">
        <v>99993995</v>
      </c>
      <c r="E53" s="182">
        <v>0</v>
      </c>
      <c r="F53" s="182">
        <v>57471272</v>
      </c>
      <c r="G53" s="182">
        <v>0</v>
      </c>
      <c r="H53" s="182">
        <v>0</v>
      </c>
      <c r="I53" s="182">
        <v>0</v>
      </c>
      <c r="J53" s="182">
        <v>157465267</v>
      </c>
      <c r="K53" s="182">
        <v>0</v>
      </c>
    </row>
    <row r="55" spans="1:11">
      <c r="B55" t="s">
        <v>2085</v>
      </c>
      <c r="J55" s="110" t="s">
        <v>2104</v>
      </c>
    </row>
    <row r="56" spans="1:11">
      <c r="B56" t="s">
        <v>2087</v>
      </c>
      <c r="C56" s="662" t="s">
        <v>248</v>
      </c>
      <c r="F56" s="67">
        <f>F51+'338888_COKY_1.2025'!H21</f>
        <v>86920752</v>
      </c>
      <c r="J56" s="662" t="s">
        <v>249</v>
      </c>
    </row>
    <row r="57" spans="1:11">
      <c r="B57" t="s">
        <v>2090</v>
      </c>
      <c r="C57" s="662" t="s">
        <v>250</v>
      </c>
      <c r="J57" s="662" t="s">
        <v>251</v>
      </c>
    </row>
    <row r="58" spans="1:11">
      <c r="B58" t="s">
        <v>2092</v>
      </c>
    </row>
    <row r="59" spans="1:11">
      <c r="B59" t="s">
        <v>2094</v>
      </c>
      <c r="F59" s="67">
        <f>F53+'338888_COKY_1.2025'!H21</f>
        <v>86920752</v>
      </c>
    </row>
    <row r="60" spans="1:11">
      <c r="B60" t="s">
        <v>2096</v>
      </c>
      <c r="J60" s="67"/>
    </row>
    <row r="61" spans="1:11">
      <c r="B61" t="s">
        <v>2098</v>
      </c>
    </row>
    <row r="62" spans="1:11">
      <c r="B62" t="s">
        <v>2100</v>
      </c>
      <c r="C62" s="662" t="s">
        <v>252</v>
      </c>
      <c r="J62" s="662" t="s">
        <v>253</v>
      </c>
    </row>
    <row r="63" spans="1:11">
      <c r="B63" t="s">
        <v>2102</v>
      </c>
    </row>
  </sheetData>
  <autoFilter ref="A9:K53">
    <filterColumn colId="5">
      <filters>
        <filter val="1,000,000"/>
        <filter val="1,850,745"/>
        <filter val="1,963,518"/>
        <filter val="110,000"/>
        <filter val="2,104,800"/>
        <filter val="2,751,100"/>
        <filter val="2,788,600"/>
        <filter val="2,948,500"/>
        <filter val="2,998,000"/>
        <filter val="23,576,400"/>
        <filter val="3,485,200"/>
        <filter val="4,051,309"/>
        <filter val="57,471,272"/>
        <filter val="7,843,100"/>
      </filters>
    </filterColumn>
  </autoFilter>
  <conditionalFormatting sqref="B1:B1048576">
    <cfRule type="duplicateValues" dxfId="72" priority="1"/>
  </conditionalFormatting>
  <pageMargins left="0.7" right="0.7" top="0.75" bottom="0.75" header="0.3" footer="0.3"/>
  <pageSetup paperSize="9" orientation="landscape"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
  <sheetViews>
    <sheetView workbookViewId="0">
      <selection activeCell="C26" sqref="C26"/>
    </sheetView>
  </sheetViews>
  <sheetFormatPr defaultRowHeight="15"/>
  <cols>
    <col min="2" max="2" width="15.140625" customWidth="1"/>
    <col min="3" max="3" width="54.85546875" customWidth="1"/>
    <col min="6" max="7" width="10.140625" bestFit="1" customWidth="1"/>
  </cols>
  <sheetData>
    <row r="1" spans="1:11">
      <c r="A1" s="1167" t="s">
        <v>225</v>
      </c>
      <c r="B1" s="1164"/>
      <c r="C1" s="1164"/>
      <c r="D1" s="1164"/>
      <c r="E1" s="1164"/>
      <c r="F1" s="1164"/>
      <c r="G1" s="1164"/>
      <c r="H1" s="1164"/>
      <c r="I1" s="1164"/>
      <c r="J1" s="1164"/>
      <c r="K1" s="1164"/>
    </row>
    <row r="2" spans="1:11">
      <c r="A2" s="1167" t="s">
        <v>225</v>
      </c>
      <c r="B2" s="1164"/>
      <c r="C2" s="1164"/>
      <c r="D2" s="1164"/>
      <c r="E2" s="1164"/>
      <c r="F2" s="1164"/>
      <c r="G2" s="1164"/>
      <c r="H2" s="1164"/>
      <c r="I2" s="1164"/>
      <c r="J2" s="1164"/>
      <c r="K2" s="1164"/>
    </row>
    <row r="4" spans="1:11" ht="18.75">
      <c r="A4" s="1168" t="s">
        <v>254</v>
      </c>
      <c r="B4" s="1164"/>
      <c r="C4" s="1164"/>
      <c r="D4" s="1164"/>
      <c r="E4" s="1164"/>
      <c r="F4" s="1164"/>
      <c r="G4" s="1164"/>
      <c r="H4" s="1164"/>
      <c r="I4" s="1164"/>
      <c r="J4" s="1164"/>
      <c r="K4" s="1164"/>
    </row>
    <row r="5" spans="1:11">
      <c r="A5" s="1167" t="s">
        <v>1962</v>
      </c>
      <c r="B5" s="1164"/>
      <c r="C5" s="1164"/>
      <c r="D5" s="1164"/>
      <c r="E5" s="1164"/>
      <c r="F5" s="1164"/>
      <c r="G5" s="1164"/>
      <c r="H5" s="1164"/>
      <c r="I5" s="1164"/>
      <c r="J5" s="1164"/>
      <c r="K5" s="1164"/>
    </row>
    <row r="7" spans="1:11">
      <c r="A7" s="1169" t="s">
        <v>226</v>
      </c>
      <c r="B7" s="1170"/>
      <c r="C7" s="1171" t="s">
        <v>227</v>
      </c>
      <c r="D7" s="1169" t="s">
        <v>255</v>
      </c>
      <c r="E7" s="1170"/>
      <c r="F7" s="1169" t="s">
        <v>228</v>
      </c>
      <c r="G7" s="1170"/>
      <c r="H7" s="1169" t="s">
        <v>229</v>
      </c>
      <c r="I7" s="1170"/>
      <c r="J7" s="1169" t="s">
        <v>230</v>
      </c>
      <c r="K7" s="1170"/>
    </row>
    <row r="8" spans="1:11">
      <c r="A8" s="1165" t="s">
        <v>231</v>
      </c>
      <c r="B8" s="1165" t="s">
        <v>232</v>
      </c>
      <c r="C8" s="1172"/>
      <c r="D8" s="1165" t="s">
        <v>233</v>
      </c>
      <c r="E8" s="1165" t="s">
        <v>234</v>
      </c>
      <c r="F8" s="1165" t="s">
        <v>233</v>
      </c>
      <c r="G8" s="1165" t="s">
        <v>234</v>
      </c>
      <c r="H8" s="1165" t="s">
        <v>233</v>
      </c>
      <c r="I8" s="1165" t="s">
        <v>234</v>
      </c>
      <c r="J8" s="1165" t="s">
        <v>233</v>
      </c>
      <c r="K8" s="1165" t="s">
        <v>234</v>
      </c>
    </row>
    <row r="9" spans="1:11">
      <c r="A9" s="1169" t="s">
        <v>235</v>
      </c>
      <c r="B9" s="1173"/>
      <c r="C9" s="1173"/>
      <c r="D9" s="1173"/>
      <c r="E9" s="1173"/>
      <c r="F9" s="1173"/>
      <c r="G9" s="1173"/>
      <c r="H9" s="1173"/>
      <c r="I9" s="1173"/>
      <c r="J9" s="1173"/>
      <c r="K9" s="1170"/>
    </row>
    <row r="10" spans="1:11">
      <c r="A10" s="1166" t="s">
        <v>1963</v>
      </c>
      <c r="B10" s="1166" t="s">
        <v>1964</v>
      </c>
      <c r="C10" s="1166" t="s">
        <v>1965</v>
      </c>
      <c r="D10" s="1163">
        <v>0</v>
      </c>
      <c r="E10" s="1163">
        <v>0</v>
      </c>
      <c r="F10" s="1163">
        <v>15098720</v>
      </c>
      <c r="G10" s="1163">
        <v>0</v>
      </c>
      <c r="H10" s="1163">
        <v>0</v>
      </c>
      <c r="I10" s="1163">
        <v>0</v>
      </c>
      <c r="J10" s="1163">
        <v>15098720</v>
      </c>
      <c r="K10" s="1163">
        <v>0</v>
      </c>
    </row>
    <row r="11" spans="1:11" ht="26.25">
      <c r="A11" s="1166" t="s">
        <v>1966</v>
      </c>
      <c r="B11" s="1166" t="s">
        <v>1967</v>
      </c>
      <c r="C11" s="1192" t="s">
        <v>1968</v>
      </c>
      <c r="D11" s="1163">
        <v>0</v>
      </c>
      <c r="E11" s="1163">
        <v>0</v>
      </c>
      <c r="F11" s="1163">
        <v>309400</v>
      </c>
      <c r="G11" s="1163">
        <v>0</v>
      </c>
      <c r="H11" s="1163">
        <v>0</v>
      </c>
      <c r="I11" s="1163">
        <v>0</v>
      </c>
      <c r="J11" s="1163">
        <v>309400</v>
      </c>
      <c r="K11" s="1163">
        <v>0</v>
      </c>
    </row>
    <row r="12" spans="1:11">
      <c r="A12" s="1166" t="s">
        <v>1969</v>
      </c>
      <c r="B12" s="1166" t="s">
        <v>1970</v>
      </c>
      <c r="C12" s="1166" t="s">
        <v>1971</v>
      </c>
      <c r="D12" s="1163">
        <v>0</v>
      </c>
      <c r="E12" s="1163">
        <v>0</v>
      </c>
      <c r="F12" s="1163">
        <v>4968000</v>
      </c>
      <c r="G12" s="1163">
        <v>0</v>
      </c>
      <c r="H12" s="1163">
        <v>0</v>
      </c>
      <c r="I12" s="1163">
        <v>0</v>
      </c>
      <c r="J12" s="1163">
        <v>4968000</v>
      </c>
      <c r="K12" s="1163">
        <v>0</v>
      </c>
    </row>
    <row r="13" spans="1:11">
      <c r="A13" s="1166" t="s">
        <v>1972</v>
      </c>
      <c r="B13" s="1166" t="s">
        <v>1973</v>
      </c>
      <c r="C13" s="1166" t="s">
        <v>1974</v>
      </c>
      <c r="D13" s="1163">
        <v>0</v>
      </c>
      <c r="E13" s="1163">
        <v>0</v>
      </c>
      <c r="F13" s="1163">
        <v>285000</v>
      </c>
      <c r="G13" s="1163">
        <v>0</v>
      </c>
      <c r="H13" s="1163">
        <v>0</v>
      </c>
      <c r="I13" s="1163">
        <v>0</v>
      </c>
      <c r="J13" s="1163">
        <v>285000</v>
      </c>
      <c r="K13" s="1163">
        <v>0</v>
      </c>
    </row>
    <row r="14" spans="1:11">
      <c r="A14" s="1166" t="s">
        <v>1972</v>
      </c>
      <c r="B14" s="1166" t="s">
        <v>1975</v>
      </c>
      <c r="C14" s="1166" t="s">
        <v>1976</v>
      </c>
      <c r="D14" s="1163">
        <v>0</v>
      </c>
      <c r="E14" s="1163">
        <v>0</v>
      </c>
      <c r="F14" s="1163">
        <v>1936800</v>
      </c>
      <c r="G14" s="1163">
        <v>0</v>
      </c>
      <c r="H14" s="1163">
        <v>0</v>
      </c>
      <c r="I14" s="1163">
        <v>0</v>
      </c>
      <c r="J14" s="1163">
        <v>1936800</v>
      </c>
      <c r="K14" s="1163">
        <v>0</v>
      </c>
    </row>
    <row r="15" spans="1:11">
      <c r="A15" s="1166" t="s">
        <v>1972</v>
      </c>
      <c r="B15" s="1166" t="s">
        <v>1977</v>
      </c>
      <c r="C15" s="1166" t="s">
        <v>1978</v>
      </c>
      <c r="D15" s="1163">
        <v>0</v>
      </c>
      <c r="E15" s="1163">
        <v>0</v>
      </c>
      <c r="F15" s="1163">
        <v>896600</v>
      </c>
      <c r="G15" s="1163">
        <v>0</v>
      </c>
      <c r="H15" s="1163">
        <v>0</v>
      </c>
      <c r="I15" s="1163">
        <v>0</v>
      </c>
      <c r="J15" s="1163">
        <v>896600</v>
      </c>
      <c r="K15" s="1163">
        <v>0</v>
      </c>
    </row>
    <row r="16" spans="1:11">
      <c r="A16" s="1166" t="s">
        <v>1972</v>
      </c>
      <c r="B16" s="1166" t="s">
        <v>1979</v>
      </c>
      <c r="C16" s="1166" t="s">
        <v>1980</v>
      </c>
      <c r="D16" s="1163">
        <v>0</v>
      </c>
      <c r="E16" s="1163">
        <v>0</v>
      </c>
      <c r="F16" s="1163">
        <v>1518000</v>
      </c>
      <c r="G16" s="1163">
        <v>0</v>
      </c>
      <c r="H16" s="1163">
        <v>0</v>
      </c>
      <c r="I16" s="1163">
        <v>0</v>
      </c>
      <c r="J16" s="1163">
        <v>1518000</v>
      </c>
      <c r="K16" s="1163">
        <v>0</v>
      </c>
    </row>
    <row r="17" spans="1:11">
      <c r="A17" s="1166" t="s">
        <v>1972</v>
      </c>
      <c r="B17" s="1166" t="s">
        <v>1981</v>
      </c>
      <c r="C17" s="1166" t="s">
        <v>1982</v>
      </c>
      <c r="D17" s="1163">
        <v>0</v>
      </c>
      <c r="E17" s="1163">
        <v>0</v>
      </c>
      <c r="F17" s="1163">
        <v>66000</v>
      </c>
      <c r="G17" s="1163">
        <v>0</v>
      </c>
      <c r="H17" s="1163">
        <v>0</v>
      </c>
      <c r="I17" s="1163">
        <v>0</v>
      </c>
      <c r="J17" s="1163">
        <v>66000</v>
      </c>
      <c r="K17" s="1163">
        <v>0</v>
      </c>
    </row>
    <row r="18" spans="1:11">
      <c r="A18" s="1169" t="s">
        <v>462</v>
      </c>
      <c r="B18" s="1173"/>
      <c r="C18" s="1170"/>
      <c r="D18" s="1163">
        <v>0</v>
      </c>
      <c r="E18" s="1163">
        <v>0</v>
      </c>
      <c r="F18" s="1163">
        <v>25078520</v>
      </c>
      <c r="G18" s="1163">
        <v>0</v>
      </c>
      <c r="H18" s="1163">
        <v>0</v>
      </c>
      <c r="I18" s="1163">
        <v>0</v>
      </c>
      <c r="J18" s="1163">
        <v>25078520</v>
      </c>
      <c r="K18" s="1163">
        <v>0</v>
      </c>
    </row>
    <row r="19" spans="1:11">
      <c r="A19" s="1169" t="s">
        <v>257</v>
      </c>
      <c r="B19" s="1173"/>
      <c r="C19" s="1170"/>
      <c r="D19" s="1163">
        <v>0</v>
      </c>
      <c r="E19" s="1163">
        <v>0</v>
      </c>
      <c r="F19" s="1163">
        <v>25078520</v>
      </c>
      <c r="G19" s="1163">
        <v>0</v>
      </c>
      <c r="H19" s="1163">
        <v>0</v>
      </c>
      <c r="I19" s="1163">
        <v>0</v>
      </c>
      <c r="J19" s="1163">
        <v>25078520</v>
      </c>
      <c r="K19" s="1163">
        <v>0</v>
      </c>
    </row>
    <row r="20" spans="1:11">
      <c r="A20" s="1169" t="s">
        <v>258</v>
      </c>
      <c r="B20" s="1173"/>
      <c r="C20" s="1170"/>
      <c r="D20" s="1163">
        <v>0</v>
      </c>
      <c r="E20" s="1163">
        <v>0</v>
      </c>
      <c r="F20" s="1163">
        <v>25078520</v>
      </c>
      <c r="G20" s="1163">
        <v>0</v>
      </c>
      <c r="H20" s="1163">
        <v>0</v>
      </c>
      <c r="I20" s="1163">
        <v>0</v>
      </c>
      <c r="J20" s="1163">
        <v>25078520</v>
      </c>
      <c r="K20" s="1163">
        <v>0</v>
      </c>
    </row>
    <row r="22" spans="1:11">
      <c r="A22" s="1164"/>
      <c r="B22" s="1164"/>
      <c r="C22" s="1164"/>
      <c r="D22" s="1164"/>
      <c r="E22" s="1164"/>
      <c r="F22" s="1190">
        <f>'338888_CTV_T11'!G57</f>
        <v>19569636</v>
      </c>
      <c r="G22" s="1190">
        <f>F18-F11</f>
        <v>24769120</v>
      </c>
      <c r="H22" s="1164"/>
      <c r="I22" s="1164"/>
      <c r="J22" s="1174" t="s">
        <v>1983</v>
      </c>
      <c r="K22" s="1164"/>
    </row>
    <row r="23" spans="1:11">
      <c r="A23" s="1164"/>
      <c r="B23" s="1164"/>
      <c r="C23" s="1167" t="s">
        <v>248</v>
      </c>
      <c r="D23" s="1164"/>
      <c r="E23" s="1164"/>
      <c r="F23" s="1191">
        <f>F20+F22</f>
        <v>44648156</v>
      </c>
      <c r="G23" s="1164"/>
      <c r="H23" s="1164"/>
      <c r="I23" s="1164"/>
      <c r="J23" s="1167" t="s">
        <v>249</v>
      </c>
      <c r="K23" s="1164"/>
    </row>
    <row r="24" spans="1:11">
      <c r="A24" s="1164"/>
      <c r="B24" s="1164"/>
      <c r="C24" s="1167" t="s">
        <v>250</v>
      </c>
      <c r="D24" s="1164"/>
      <c r="E24" s="1164"/>
      <c r="F24" s="1164"/>
      <c r="G24" s="1164"/>
      <c r="H24" s="1164"/>
      <c r="I24" s="1164"/>
      <c r="J24" s="1167" t="s">
        <v>251</v>
      </c>
      <c r="K24" s="1164"/>
    </row>
    <row r="29" spans="1:11">
      <c r="A29" s="1164"/>
      <c r="B29" s="1164"/>
      <c r="C29" s="1167" t="s">
        <v>252</v>
      </c>
      <c r="D29" s="1164"/>
      <c r="E29" s="1164"/>
      <c r="F29" s="1164"/>
      <c r="G29" s="1164"/>
      <c r="H29" s="1164"/>
      <c r="I29" s="1164"/>
      <c r="J29" s="1167" t="s">
        <v>253</v>
      </c>
      <c r="K29" s="116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2"/>
  <sheetViews>
    <sheetView topLeftCell="A28" workbookViewId="0">
      <selection activeCell="O27" sqref="O27"/>
    </sheetView>
  </sheetViews>
  <sheetFormatPr defaultRowHeight="15"/>
  <cols>
    <col min="2" max="2" width="16.5703125" customWidth="1"/>
    <col min="3" max="3" width="4.7109375" customWidth="1"/>
    <col min="4" max="4" width="48" customWidth="1"/>
    <col min="5" max="6" width="0" hidden="1" customWidth="1"/>
    <col min="7" max="7" width="10.140625" hidden="1" customWidth="1"/>
    <col min="8" max="10" width="0" hidden="1" customWidth="1"/>
    <col min="13" max="14" width="11.5703125" bestFit="1" customWidth="1"/>
    <col min="17" max="17" width="11.5703125" bestFit="1" customWidth="1"/>
    <col min="19" max="19" width="10.5703125" bestFit="1" customWidth="1"/>
    <col min="22" max="22" width="10.5703125" bestFit="1" customWidth="1"/>
    <col min="23" max="23" width="12.5703125" customWidth="1"/>
    <col min="24" max="24" width="14.28515625" bestFit="1" customWidth="1"/>
    <col min="28" max="28" width="12.140625" customWidth="1"/>
    <col min="29" max="29" width="0" hidden="1" customWidth="1"/>
    <col min="30" max="30" width="13.140625" customWidth="1"/>
    <col min="33" max="33" width="11.42578125" customWidth="1"/>
    <col min="34" max="34" width="11.5703125" bestFit="1" customWidth="1"/>
  </cols>
  <sheetData>
    <row r="1" spans="1:34">
      <c r="X1" t="s">
        <v>236</v>
      </c>
      <c r="Y1" t="s">
        <v>237</v>
      </c>
      <c r="Z1" t="s">
        <v>480</v>
      </c>
      <c r="AA1" t="s">
        <v>2060</v>
      </c>
      <c r="AB1" t="s">
        <v>240</v>
      </c>
      <c r="AC1" t="s">
        <v>244</v>
      </c>
      <c r="AD1" t="s">
        <v>1960</v>
      </c>
      <c r="AE1" t="s">
        <v>246</v>
      </c>
      <c r="AF1" t="s">
        <v>2061</v>
      </c>
      <c r="AG1" t="s">
        <v>266</v>
      </c>
      <c r="AH1" t="s">
        <v>12</v>
      </c>
    </row>
    <row r="2" spans="1:34">
      <c r="W2" t="s">
        <v>70</v>
      </c>
      <c r="X2" s="561">
        <f>SUMIFS(M:M,$C:$C,$W2)</f>
        <v>15098720</v>
      </c>
      <c r="Y2" s="561">
        <f t="shared" ref="Y2:AG5" si="0">SUMIFS(N:N,$C:$C,$W2)</f>
        <v>0</v>
      </c>
      <c r="Z2" s="561">
        <f t="shared" si="0"/>
        <v>0</v>
      </c>
      <c r="AA2" s="561">
        <f t="shared" si="0"/>
        <v>0</v>
      </c>
      <c r="AB2" s="561">
        <f t="shared" si="0"/>
        <v>13167600</v>
      </c>
      <c r="AC2" s="561">
        <f t="shared" si="0"/>
        <v>0</v>
      </c>
      <c r="AD2" s="561">
        <f t="shared" si="0"/>
        <v>0</v>
      </c>
      <c r="AE2" s="561">
        <f t="shared" si="0"/>
        <v>0</v>
      </c>
      <c r="AF2" s="561">
        <f t="shared" si="0"/>
        <v>0</v>
      </c>
      <c r="AG2" s="561">
        <f t="shared" si="0"/>
        <v>1002400</v>
      </c>
      <c r="AH2" s="890">
        <f>SUM(X2:AG2)</f>
        <v>29268720</v>
      </c>
    </row>
    <row r="3" spans="1:34">
      <c r="W3" t="s">
        <v>79</v>
      </c>
      <c r="X3" s="561">
        <f t="shared" ref="X3:X5" si="1">SUMIFS(M:M,$C:$C,$W3)</f>
        <v>6904800</v>
      </c>
      <c r="Y3" s="561">
        <f t="shared" si="0"/>
        <v>373636</v>
      </c>
      <c r="Z3" s="561">
        <f t="shared" si="0"/>
        <v>0</v>
      </c>
      <c r="AA3" s="561">
        <f t="shared" si="0"/>
        <v>0</v>
      </c>
      <c r="AB3" s="561">
        <f t="shared" si="0"/>
        <v>288000</v>
      </c>
      <c r="AC3" s="561">
        <f t="shared" si="0"/>
        <v>0</v>
      </c>
      <c r="AD3" s="561">
        <f t="shared" si="0"/>
        <v>0</v>
      </c>
      <c r="AE3" s="561">
        <f t="shared" si="0"/>
        <v>646200</v>
      </c>
      <c r="AF3" s="561">
        <f t="shared" si="0"/>
        <v>0</v>
      </c>
      <c r="AG3" s="561">
        <f t="shared" si="0"/>
        <v>861600</v>
      </c>
      <c r="AH3" s="890">
        <f t="shared" ref="AH3:AH5" si="2">SUM(X3:AG3)</f>
        <v>9074236</v>
      </c>
    </row>
    <row r="4" spans="1:34">
      <c r="W4" t="s">
        <v>87</v>
      </c>
      <c r="X4" s="561">
        <f t="shared" si="1"/>
        <v>1247600</v>
      </c>
      <c r="Y4" s="561">
        <f t="shared" si="0"/>
        <v>0</v>
      </c>
      <c r="Z4" s="561">
        <f t="shared" si="0"/>
        <v>330000</v>
      </c>
      <c r="AA4" s="561">
        <f t="shared" si="0"/>
        <v>270000</v>
      </c>
      <c r="AB4" s="561">
        <f t="shared" si="0"/>
        <v>213400</v>
      </c>
      <c r="AC4" s="561">
        <f t="shared" si="0"/>
        <v>0</v>
      </c>
      <c r="AD4" s="561">
        <f t="shared" si="0"/>
        <v>1500000</v>
      </c>
      <c r="AE4" s="561">
        <f t="shared" si="0"/>
        <v>0</v>
      </c>
      <c r="AF4" s="561">
        <f t="shared" si="0"/>
        <v>0</v>
      </c>
      <c r="AG4" s="561">
        <f t="shared" si="0"/>
        <v>592000</v>
      </c>
      <c r="AH4" s="890">
        <f t="shared" si="2"/>
        <v>4153000</v>
      </c>
    </row>
    <row r="5" spans="1:34">
      <c r="W5" t="s">
        <v>92</v>
      </c>
      <c r="X5" s="561">
        <f t="shared" si="1"/>
        <v>1518000</v>
      </c>
      <c r="Y5" s="561">
        <f t="shared" si="0"/>
        <v>0</v>
      </c>
      <c r="Z5" s="561">
        <f t="shared" si="0"/>
        <v>0</v>
      </c>
      <c r="AA5" s="561">
        <f t="shared" si="0"/>
        <v>0</v>
      </c>
      <c r="AB5" s="561">
        <f t="shared" si="0"/>
        <v>76800</v>
      </c>
      <c r="AC5" s="561">
        <f t="shared" si="0"/>
        <v>0</v>
      </c>
      <c r="AD5" s="561">
        <f t="shared" si="0"/>
        <v>0</v>
      </c>
      <c r="AE5" s="561">
        <f t="shared" si="0"/>
        <v>0</v>
      </c>
      <c r="AF5" s="561">
        <f t="shared" si="0"/>
        <v>16000</v>
      </c>
      <c r="AG5" s="561">
        <f t="shared" si="0"/>
        <v>232000</v>
      </c>
      <c r="AH5" s="890">
        <f t="shared" si="2"/>
        <v>1842800</v>
      </c>
    </row>
    <row r="6" spans="1:34">
      <c r="A6" s="1167" t="s">
        <v>225</v>
      </c>
      <c r="B6" s="1164"/>
      <c r="C6" s="1164"/>
      <c r="D6" s="1164"/>
      <c r="E6" s="1164"/>
      <c r="F6" s="1164"/>
      <c r="G6" s="1164"/>
      <c r="H6" s="1164"/>
      <c r="I6" s="1164"/>
      <c r="J6" s="1164"/>
      <c r="K6" s="1164"/>
      <c r="L6" s="1164"/>
      <c r="X6" s="66">
        <f>SUM(X2:X5)</f>
        <v>24769120</v>
      </c>
      <c r="Y6" s="66">
        <f t="shared" ref="Y6:AH6" si="3">SUM(Y2:Y5)</f>
        <v>373636</v>
      </c>
      <c r="Z6" s="66">
        <f t="shared" si="3"/>
        <v>330000</v>
      </c>
      <c r="AA6" s="66">
        <f t="shared" si="3"/>
        <v>270000</v>
      </c>
      <c r="AB6" s="66">
        <f t="shared" si="3"/>
        <v>13745800</v>
      </c>
      <c r="AC6" s="66">
        <f t="shared" si="3"/>
        <v>0</v>
      </c>
      <c r="AD6" s="66">
        <f t="shared" si="3"/>
        <v>1500000</v>
      </c>
      <c r="AE6" s="66">
        <f t="shared" si="3"/>
        <v>646200</v>
      </c>
      <c r="AF6" s="66">
        <f t="shared" si="3"/>
        <v>16000</v>
      </c>
      <c r="AG6" s="66">
        <f t="shared" si="3"/>
        <v>2688000</v>
      </c>
      <c r="AH6" s="66">
        <f t="shared" si="3"/>
        <v>44338756</v>
      </c>
    </row>
    <row r="7" spans="1:34">
      <c r="A7" s="1167" t="s">
        <v>225</v>
      </c>
      <c r="B7" s="1164"/>
      <c r="C7" s="1164"/>
      <c r="D7" s="1164"/>
      <c r="E7" s="1164"/>
      <c r="F7" s="1164"/>
      <c r="G7" s="1164"/>
      <c r="H7" s="1164"/>
      <c r="I7" s="1164"/>
      <c r="J7" s="1164"/>
      <c r="K7" s="1164"/>
      <c r="L7" s="1164"/>
    </row>
    <row r="9" spans="1:34" ht="18.75">
      <c r="A9" s="1168" t="s">
        <v>254</v>
      </c>
      <c r="B9" s="1164"/>
      <c r="C9" s="1164"/>
      <c r="D9" s="1164"/>
      <c r="E9" s="1164"/>
      <c r="F9" s="1164"/>
      <c r="G9" s="1164"/>
      <c r="H9" s="1164"/>
      <c r="I9" s="1164"/>
      <c r="J9" s="1164"/>
      <c r="K9" s="1164"/>
      <c r="L9" s="1164"/>
    </row>
    <row r="10" spans="1:34">
      <c r="A10" s="1167" t="s">
        <v>1962</v>
      </c>
      <c r="B10" s="1164"/>
      <c r="C10" s="1164"/>
      <c r="D10" s="1164"/>
      <c r="E10" s="1164"/>
      <c r="F10" s="1164"/>
      <c r="G10" s="1164"/>
      <c r="H10" s="1164"/>
      <c r="I10" s="1164"/>
      <c r="J10" s="1164"/>
      <c r="K10" s="1164"/>
      <c r="L10" s="1164"/>
    </row>
    <row r="12" spans="1:34">
      <c r="A12" s="1169" t="s">
        <v>226</v>
      </c>
      <c r="B12" s="1170"/>
      <c r="C12" s="1203"/>
      <c r="D12" s="1171" t="s">
        <v>227</v>
      </c>
      <c r="E12" s="1169" t="s">
        <v>255</v>
      </c>
      <c r="F12" s="1170"/>
      <c r="G12" s="1169" t="s">
        <v>228</v>
      </c>
      <c r="H12" s="1170"/>
      <c r="I12" s="1169" t="s">
        <v>229</v>
      </c>
      <c r="J12" s="1170"/>
      <c r="K12" s="1169" t="s">
        <v>230</v>
      </c>
      <c r="L12" s="1170"/>
    </row>
    <row r="13" spans="1:34">
      <c r="A13" s="1165" t="s">
        <v>231</v>
      </c>
      <c r="B13" s="1165" t="s">
        <v>232</v>
      </c>
      <c r="C13" s="1172"/>
      <c r="D13" s="1172"/>
      <c r="E13" s="1165" t="s">
        <v>233</v>
      </c>
      <c r="F13" s="1165" t="s">
        <v>234</v>
      </c>
      <c r="G13" s="1165" t="s">
        <v>233</v>
      </c>
      <c r="H13" s="1165" t="s">
        <v>234</v>
      </c>
      <c r="I13" s="1165" t="s">
        <v>233</v>
      </c>
      <c r="J13" s="1165" t="s">
        <v>234</v>
      </c>
      <c r="K13" s="1165" t="s">
        <v>233</v>
      </c>
      <c r="L13" s="1165" t="s">
        <v>234</v>
      </c>
    </row>
    <row r="14" spans="1:34">
      <c r="A14" s="1169" t="s">
        <v>235</v>
      </c>
      <c r="B14" s="1173"/>
      <c r="C14" s="1173"/>
      <c r="D14" s="1173"/>
      <c r="E14" s="1173"/>
      <c r="F14" s="1173"/>
      <c r="G14" s="1173"/>
      <c r="H14" s="1173"/>
      <c r="I14" s="1173"/>
      <c r="J14" s="1173"/>
      <c r="K14" s="1173"/>
      <c r="L14" s="1170"/>
      <c r="M14" t="s">
        <v>236</v>
      </c>
      <c r="N14" t="s">
        <v>237</v>
      </c>
      <c r="O14" t="s">
        <v>480</v>
      </c>
      <c r="P14" t="s">
        <v>2060</v>
      </c>
      <c r="Q14" t="s">
        <v>240</v>
      </c>
      <c r="R14" t="s">
        <v>244</v>
      </c>
      <c r="S14" t="s">
        <v>1960</v>
      </c>
      <c r="T14" t="s">
        <v>246</v>
      </c>
      <c r="U14" t="s">
        <v>2061</v>
      </c>
      <c r="V14" t="s">
        <v>266</v>
      </c>
      <c r="W14" t="s">
        <v>12</v>
      </c>
    </row>
    <row r="15" spans="1:34">
      <c r="A15" s="1166" t="s">
        <v>1778</v>
      </c>
      <c r="B15" s="1166" t="s">
        <v>354</v>
      </c>
      <c r="C15" s="1166"/>
      <c r="D15" s="1166" t="s">
        <v>1779</v>
      </c>
      <c r="E15" s="1163">
        <v>9900000</v>
      </c>
      <c r="F15" s="1163">
        <v>0</v>
      </c>
      <c r="G15" s="1163">
        <v>0</v>
      </c>
      <c r="H15" s="1163">
        <v>0</v>
      </c>
      <c r="I15" s="1163">
        <v>9900000</v>
      </c>
      <c r="J15" s="1163">
        <v>0</v>
      </c>
      <c r="K15" s="1163">
        <v>0</v>
      </c>
      <c r="L15" s="1163">
        <v>0</v>
      </c>
    </row>
    <row r="16" spans="1:34">
      <c r="A16" s="1166" t="s">
        <v>1778</v>
      </c>
      <c r="B16" s="1166" t="s">
        <v>356</v>
      </c>
      <c r="C16" s="1166"/>
      <c r="D16" s="1166" t="s">
        <v>1780</v>
      </c>
      <c r="E16" s="1163">
        <v>2220000</v>
      </c>
      <c r="F16" s="1163">
        <v>0</v>
      </c>
      <c r="G16" s="1163">
        <v>0</v>
      </c>
      <c r="H16" s="1163">
        <v>0</v>
      </c>
      <c r="I16" s="1163">
        <v>2220000</v>
      </c>
      <c r="J16" s="1163">
        <v>0</v>
      </c>
      <c r="K16" s="1163">
        <v>0</v>
      </c>
      <c r="L16" s="1163">
        <v>0</v>
      </c>
    </row>
    <row r="17" spans="1:23">
      <c r="A17" s="1166" t="s">
        <v>1781</v>
      </c>
      <c r="B17" s="1166" t="s">
        <v>1782</v>
      </c>
      <c r="C17" s="1166"/>
      <c r="D17" s="1166" t="s">
        <v>1783</v>
      </c>
      <c r="E17" s="1163">
        <v>1645000</v>
      </c>
      <c r="F17" s="1163">
        <v>0</v>
      </c>
      <c r="G17" s="1163">
        <v>0</v>
      </c>
      <c r="H17" s="1163">
        <v>0</v>
      </c>
      <c r="I17" s="1163">
        <v>1645000</v>
      </c>
      <c r="J17" s="1163">
        <v>0</v>
      </c>
      <c r="K17" s="1163">
        <v>0</v>
      </c>
      <c r="L17" s="1163">
        <v>0</v>
      </c>
    </row>
    <row r="18" spans="1:23">
      <c r="A18" s="1166" t="s">
        <v>1781</v>
      </c>
      <c r="B18" s="1166" t="s">
        <v>393</v>
      </c>
      <c r="C18" s="1166"/>
      <c r="D18" s="1166" t="s">
        <v>1784</v>
      </c>
      <c r="E18" s="1163">
        <v>69000</v>
      </c>
      <c r="F18" s="1163">
        <v>0</v>
      </c>
      <c r="G18" s="1163">
        <v>0</v>
      </c>
      <c r="H18" s="1163">
        <v>0</v>
      </c>
      <c r="I18" s="1163">
        <v>69000</v>
      </c>
      <c r="J18" s="1163">
        <v>0</v>
      </c>
      <c r="K18" s="1163">
        <v>0</v>
      </c>
      <c r="L18" s="1163">
        <v>0</v>
      </c>
    </row>
    <row r="19" spans="1:23">
      <c r="A19" s="1166" t="s">
        <v>1799</v>
      </c>
      <c r="B19" s="1166" t="s">
        <v>1800</v>
      </c>
      <c r="C19" s="1166"/>
      <c r="D19" s="1166" t="s">
        <v>1801</v>
      </c>
      <c r="E19" s="1163">
        <v>6950000</v>
      </c>
      <c r="F19" s="1163">
        <v>0</v>
      </c>
      <c r="G19" s="1163">
        <v>0</v>
      </c>
      <c r="H19" s="1163">
        <v>0</v>
      </c>
      <c r="I19" s="1163">
        <v>6950000</v>
      </c>
      <c r="J19" s="1163">
        <v>0</v>
      </c>
      <c r="K19" s="1163">
        <v>0</v>
      </c>
      <c r="L19" s="1163">
        <v>0</v>
      </c>
    </row>
    <row r="20" spans="1:23">
      <c r="A20" s="1166" t="s">
        <v>1799</v>
      </c>
      <c r="B20" s="1166" t="s">
        <v>1802</v>
      </c>
      <c r="C20" s="1166"/>
      <c r="D20" s="1166" t="s">
        <v>1803</v>
      </c>
      <c r="E20" s="1163">
        <v>4000000</v>
      </c>
      <c r="F20" s="1163">
        <v>0</v>
      </c>
      <c r="G20" s="1163">
        <v>0</v>
      </c>
      <c r="H20" s="1163">
        <v>0</v>
      </c>
      <c r="I20" s="1163">
        <v>4000000</v>
      </c>
      <c r="J20" s="1163">
        <v>0</v>
      </c>
      <c r="K20" s="1163">
        <v>0</v>
      </c>
      <c r="L20" s="1163">
        <v>0</v>
      </c>
    </row>
    <row r="21" spans="1:23">
      <c r="A21" s="1166" t="s">
        <v>1809</v>
      </c>
      <c r="B21" s="1166" t="s">
        <v>1810</v>
      </c>
      <c r="C21" s="1166"/>
      <c r="D21" s="1166" t="s">
        <v>1811</v>
      </c>
      <c r="E21" s="1163">
        <v>600000</v>
      </c>
      <c r="F21" s="1163">
        <v>0</v>
      </c>
      <c r="G21" s="1163">
        <v>0</v>
      </c>
      <c r="H21" s="1163">
        <v>0</v>
      </c>
      <c r="I21" s="1163">
        <v>600000</v>
      </c>
      <c r="J21" s="1163">
        <v>0</v>
      </c>
      <c r="K21" s="1163">
        <v>0</v>
      </c>
      <c r="L21" s="1163">
        <v>0</v>
      </c>
    </row>
    <row r="22" spans="1:23">
      <c r="A22" s="1166" t="s">
        <v>1819</v>
      </c>
      <c r="B22" s="1166" t="s">
        <v>1820</v>
      </c>
      <c r="C22" s="1166"/>
      <c r="D22" s="1166" t="s">
        <v>1821</v>
      </c>
      <c r="E22" s="1163">
        <v>1130000</v>
      </c>
      <c r="F22" s="1163">
        <v>0</v>
      </c>
      <c r="G22" s="1163">
        <v>0</v>
      </c>
      <c r="H22" s="1163">
        <v>0</v>
      </c>
      <c r="I22" s="1163">
        <v>1130000</v>
      </c>
      <c r="J22" s="1163">
        <v>0</v>
      </c>
      <c r="K22" s="1163">
        <v>0</v>
      </c>
      <c r="L22" s="1163">
        <v>0</v>
      </c>
    </row>
    <row r="23" spans="1:23">
      <c r="A23" s="1166" t="s">
        <v>1819</v>
      </c>
      <c r="B23" s="1166" t="s">
        <v>1822</v>
      </c>
      <c r="C23" s="1166"/>
      <c r="D23" s="1166" t="s">
        <v>1823</v>
      </c>
      <c r="E23" s="1163">
        <v>4610582</v>
      </c>
      <c r="F23" s="1163">
        <v>0</v>
      </c>
      <c r="G23" s="1163">
        <v>0</v>
      </c>
      <c r="H23" s="1163">
        <v>0</v>
      </c>
      <c r="I23" s="1163">
        <v>4610582</v>
      </c>
      <c r="J23" s="1163">
        <v>0</v>
      </c>
      <c r="K23" s="1163">
        <v>0</v>
      </c>
      <c r="L23" s="1163">
        <v>0</v>
      </c>
    </row>
    <row r="24" spans="1:23">
      <c r="A24" s="1166" t="s">
        <v>1836</v>
      </c>
      <c r="B24" s="1166" t="s">
        <v>1837</v>
      </c>
      <c r="C24" s="1166"/>
      <c r="D24" s="1166" t="s">
        <v>1838</v>
      </c>
      <c r="E24" s="1163">
        <v>1743200</v>
      </c>
      <c r="F24" s="1163">
        <v>0</v>
      </c>
      <c r="G24" s="1163">
        <v>0</v>
      </c>
      <c r="H24" s="1163">
        <v>0</v>
      </c>
      <c r="I24" s="1163">
        <v>1743200</v>
      </c>
      <c r="J24" s="1163">
        <v>0</v>
      </c>
      <c r="K24" s="1163">
        <v>0</v>
      </c>
      <c r="L24" s="1163">
        <v>0</v>
      </c>
    </row>
    <row r="25" spans="1:23">
      <c r="A25" s="1166" t="s">
        <v>1836</v>
      </c>
      <c r="B25" s="1166" t="s">
        <v>1839</v>
      </c>
      <c r="C25" s="1166"/>
      <c r="D25" s="1166" t="s">
        <v>1840</v>
      </c>
      <c r="E25" s="1163">
        <v>330000</v>
      </c>
      <c r="F25" s="1163">
        <v>0</v>
      </c>
      <c r="G25" s="1163">
        <v>0</v>
      </c>
      <c r="H25" s="1163">
        <v>0</v>
      </c>
      <c r="I25" s="1163">
        <v>330000</v>
      </c>
      <c r="J25" s="1163">
        <v>0</v>
      </c>
      <c r="K25" s="1163">
        <v>0</v>
      </c>
      <c r="L25" s="1163">
        <v>0</v>
      </c>
    </row>
    <row r="26" spans="1:23">
      <c r="A26" s="1166" t="s">
        <v>1836</v>
      </c>
      <c r="B26" s="1166" t="s">
        <v>1841</v>
      </c>
      <c r="C26" s="1166"/>
      <c r="D26" s="1166" t="s">
        <v>1842</v>
      </c>
      <c r="E26" s="1163">
        <v>451200</v>
      </c>
      <c r="F26" s="1163">
        <v>0</v>
      </c>
      <c r="G26" s="1163">
        <v>0</v>
      </c>
      <c r="H26" s="1163">
        <v>0</v>
      </c>
      <c r="I26" s="1163">
        <v>451200</v>
      </c>
      <c r="J26" s="1163">
        <v>0</v>
      </c>
      <c r="K26" s="1163">
        <v>0</v>
      </c>
      <c r="L26" s="1163">
        <v>0</v>
      </c>
    </row>
    <row r="27" spans="1:23">
      <c r="A27" s="1166" t="s">
        <v>1836</v>
      </c>
      <c r="B27" s="1166" t="s">
        <v>1843</v>
      </c>
      <c r="C27" s="1166"/>
      <c r="D27" s="1166" t="s">
        <v>1844</v>
      </c>
      <c r="E27" s="1163">
        <v>1480000</v>
      </c>
      <c r="F27" s="1163">
        <v>0</v>
      </c>
      <c r="G27" s="1163">
        <v>0</v>
      </c>
      <c r="H27" s="1163">
        <v>0</v>
      </c>
      <c r="I27" s="1163">
        <v>1480000</v>
      </c>
      <c r="J27" s="1163">
        <v>0</v>
      </c>
      <c r="K27" s="1163">
        <v>0</v>
      </c>
      <c r="L27" s="1163">
        <v>0</v>
      </c>
    </row>
    <row r="28" spans="1:23">
      <c r="A28" s="1166" t="s">
        <v>1836</v>
      </c>
      <c r="B28" s="1166" t="s">
        <v>1845</v>
      </c>
      <c r="C28" s="1166"/>
      <c r="D28" s="1166" t="s">
        <v>1846</v>
      </c>
      <c r="E28" s="1163">
        <v>118000</v>
      </c>
      <c r="F28" s="1163">
        <v>0</v>
      </c>
      <c r="G28" s="1163">
        <v>0</v>
      </c>
      <c r="H28" s="1163">
        <v>0</v>
      </c>
      <c r="I28" s="1163">
        <v>118000</v>
      </c>
      <c r="J28" s="1163">
        <v>0</v>
      </c>
      <c r="K28" s="1163">
        <v>0</v>
      </c>
      <c r="L28" s="1163">
        <v>0</v>
      </c>
    </row>
    <row r="29" spans="1:23">
      <c r="A29" s="1166" t="s">
        <v>1836</v>
      </c>
      <c r="B29" s="1166" t="s">
        <v>1847</v>
      </c>
      <c r="C29" s="1166"/>
      <c r="D29" s="1166" t="s">
        <v>1848</v>
      </c>
      <c r="E29" s="1163">
        <v>2379000</v>
      </c>
      <c r="F29" s="1163">
        <v>0</v>
      </c>
      <c r="G29" s="1163">
        <v>0</v>
      </c>
      <c r="H29" s="1163">
        <v>0</v>
      </c>
      <c r="I29" s="1163">
        <v>2379000</v>
      </c>
      <c r="J29" s="1163">
        <v>0</v>
      </c>
      <c r="K29" s="1163">
        <v>0</v>
      </c>
      <c r="L29" s="1163">
        <v>0</v>
      </c>
    </row>
    <row r="30" spans="1:23">
      <c r="A30" s="1166" t="s">
        <v>1836</v>
      </c>
      <c r="B30" s="1166" t="s">
        <v>1849</v>
      </c>
      <c r="C30" s="1166"/>
      <c r="D30" s="1166" t="s">
        <v>1850</v>
      </c>
      <c r="E30" s="1163">
        <v>123000</v>
      </c>
      <c r="F30" s="1163">
        <v>0</v>
      </c>
      <c r="G30" s="1163">
        <v>0</v>
      </c>
      <c r="H30" s="1163">
        <v>0</v>
      </c>
      <c r="I30" s="1163">
        <v>123000</v>
      </c>
      <c r="J30" s="1163">
        <v>0</v>
      </c>
      <c r="K30" s="1163">
        <v>0</v>
      </c>
      <c r="L30" s="1163">
        <v>0</v>
      </c>
    </row>
    <row r="31" spans="1:23">
      <c r="A31" s="1166" t="s">
        <v>1874</v>
      </c>
      <c r="B31" s="1166" t="s">
        <v>1875</v>
      </c>
      <c r="C31" s="1166"/>
      <c r="D31" s="1166" t="s">
        <v>1876</v>
      </c>
      <c r="E31" s="1163">
        <v>6799300</v>
      </c>
      <c r="F31" s="1163">
        <v>0</v>
      </c>
      <c r="G31" s="1163">
        <v>0</v>
      </c>
      <c r="H31" s="1163">
        <v>0</v>
      </c>
      <c r="I31" s="1163">
        <v>6799300</v>
      </c>
      <c r="J31" s="1163">
        <v>0</v>
      </c>
      <c r="K31" s="1163">
        <v>0</v>
      </c>
      <c r="L31" s="1163">
        <v>0</v>
      </c>
    </row>
    <row r="32" spans="1:23" s="1182" customFormat="1">
      <c r="A32" s="1180" t="s">
        <v>1963</v>
      </c>
      <c r="B32" s="1180" t="s">
        <v>1964</v>
      </c>
      <c r="C32" s="1180" t="s">
        <v>70</v>
      </c>
      <c r="D32" s="1180" t="s">
        <v>1965</v>
      </c>
      <c r="E32" s="1181">
        <v>0</v>
      </c>
      <c r="F32" s="1181">
        <v>0</v>
      </c>
      <c r="G32" s="1181">
        <v>14170000</v>
      </c>
      <c r="H32" s="1181">
        <v>0</v>
      </c>
      <c r="I32" s="1181">
        <v>0</v>
      </c>
      <c r="J32" s="1181">
        <v>0</v>
      </c>
      <c r="K32" s="1181">
        <v>14170000</v>
      </c>
      <c r="L32" s="1181">
        <v>0</v>
      </c>
      <c r="M32" s="1202">
        <f>13328720+1770000</f>
        <v>15098720</v>
      </c>
      <c r="N32" s="1202"/>
      <c r="O32" s="1202"/>
      <c r="P32" s="1202"/>
      <c r="Q32" s="1202">
        <f>597600+12570000</f>
        <v>13167600</v>
      </c>
      <c r="R32" s="1202"/>
      <c r="S32" s="1202"/>
      <c r="T32" s="1202"/>
      <c r="U32" s="1202"/>
      <c r="V32" s="1202">
        <f>822400+180000</f>
        <v>1002400</v>
      </c>
      <c r="W32" s="1202">
        <f>SUM(M32:V32)</f>
        <v>29268720</v>
      </c>
    </row>
    <row r="33" spans="1:23">
      <c r="A33" s="1166" t="s">
        <v>1984</v>
      </c>
      <c r="B33" s="1166" t="s">
        <v>1985</v>
      </c>
      <c r="C33" s="1166"/>
      <c r="D33" s="1166" t="s">
        <v>1986</v>
      </c>
      <c r="E33" s="1163">
        <v>0</v>
      </c>
      <c r="F33" s="1163">
        <v>0</v>
      </c>
      <c r="G33" s="1163">
        <v>30000000</v>
      </c>
      <c r="H33" s="1163">
        <v>0</v>
      </c>
      <c r="I33" s="1163">
        <v>0</v>
      </c>
      <c r="J33" s="1163">
        <v>0</v>
      </c>
      <c r="K33" s="1163">
        <v>30000000</v>
      </c>
      <c r="L33" s="1163">
        <v>0</v>
      </c>
    </row>
    <row r="34" spans="1:23">
      <c r="A34" s="1166" t="s">
        <v>1987</v>
      </c>
      <c r="B34" s="1166" t="s">
        <v>1988</v>
      </c>
      <c r="C34" s="1166"/>
      <c r="D34" s="1166" t="s">
        <v>1989</v>
      </c>
      <c r="E34" s="1163">
        <v>0</v>
      </c>
      <c r="F34" s="1163">
        <v>0</v>
      </c>
      <c r="G34" s="1163">
        <v>129000</v>
      </c>
      <c r="H34" s="1163">
        <v>0</v>
      </c>
      <c r="I34" s="1163">
        <v>0</v>
      </c>
      <c r="J34" s="1163">
        <v>0</v>
      </c>
      <c r="K34" s="1163">
        <v>129000</v>
      </c>
      <c r="L34" s="1163">
        <v>0</v>
      </c>
      <c r="M34" s="67"/>
    </row>
    <row r="35" spans="1:23">
      <c r="A35" s="1166" t="s">
        <v>1987</v>
      </c>
      <c r="B35" s="1166" t="s">
        <v>1990</v>
      </c>
      <c r="C35" s="1166"/>
      <c r="D35" s="1166" t="s">
        <v>1991</v>
      </c>
      <c r="E35" s="1163">
        <v>0</v>
      </c>
      <c r="F35" s="1163">
        <v>0</v>
      </c>
      <c r="G35" s="1163">
        <v>2875000</v>
      </c>
      <c r="H35" s="1163">
        <v>0</v>
      </c>
      <c r="I35" s="1163">
        <v>0</v>
      </c>
      <c r="J35" s="1163">
        <v>0</v>
      </c>
      <c r="K35" s="1163">
        <v>2875000</v>
      </c>
      <c r="L35" s="1163">
        <v>0</v>
      </c>
    </row>
    <row r="36" spans="1:23" s="68" customFormat="1">
      <c r="A36" s="1177" t="s">
        <v>1992</v>
      </c>
      <c r="B36" s="1177" t="s">
        <v>1993</v>
      </c>
      <c r="C36" s="1177"/>
      <c r="D36" s="1177" t="s">
        <v>1994</v>
      </c>
      <c r="E36" s="1178">
        <v>0</v>
      </c>
      <c r="F36" s="1178">
        <v>0</v>
      </c>
      <c r="G36" s="1178">
        <v>18100000</v>
      </c>
      <c r="H36" s="1178">
        <v>0</v>
      </c>
      <c r="I36" s="1178">
        <v>0</v>
      </c>
      <c r="J36" s="1178">
        <v>0</v>
      </c>
      <c r="K36" s="1178">
        <v>18100000</v>
      </c>
      <c r="L36" s="1178">
        <v>0</v>
      </c>
    </row>
    <row r="37" spans="1:23" s="68" customFormat="1">
      <c r="A37" s="1177" t="s">
        <v>1992</v>
      </c>
      <c r="B37" s="1177" t="s">
        <v>1995</v>
      </c>
      <c r="C37" s="1177"/>
      <c r="D37" s="1177" t="s">
        <v>1996</v>
      </c>
      <c r="E37" s="1178">
        <v>0</v>
      </c>
      <c r="F37" s="1178">
        <v>0</v>
      </c>
      <c r="G37" s="1178">
        <v>10160000</v>
      </c>
      <c r="H37" s="1178">
        <v>0</v>
      </c>
      <c r="I37" s="1178">
        <v>0</v>
      </c>
      <c r="J37" s="1178">
        <v>0</v>
      </c>
      <c r="K37" s="1178">
        <v>10160000</v>
      </c>
      <c r="L37" s="1178">
        <v>0</v>
      </c>
    </row>
    <row r="38" spans="1:23" s="342" customFormat="1">
      <c r="A38" s="1186" t="s">
        <v>1992</v>
      </c>
      <c r="B38" s="1186" t="s">
        <v>1997</v>
      </c>
      <c r="C38" s="1186"/>
      <c r="D38" s="1186" t="s">
        <v>1998</v>
      </c>
      <c r="E38" s="1187">
        <v>0</v>
      </c>
      <c r="F38" s="1187">
        <v>0</v>
      </c>
      <c r="G38" s="1187">
        <v>3307500</v>
      </c>
      <c r="H38" s="1187">
        <v>0</v>
      </c>
      <c r="I38" s="1187">
        <v>0</v>
      </c>
      <c r="J38" s="1187">
        <v>0</v>
      </c>
      <c r="K38" s="1187">
        <v>3307500</v>
      </c>
      <c r="L38" s="1187">
        <v>0</v>
      </c>
    </row>
    <row r="39" spans="1:23" s="342" customFormat="1">
      <c r="A39" s="1186" t="s">
        <v>1992</v>
      </c>
      <c r="B39" s="1186" t="s">
        <v>1999</v>
      </c>
      <c r="C39" s="1186"/>
      <c r="D39" s="1186" t="s">
        <v>2000</v>
      </c>
      <c r="E39" s="1187">
        <v>0</v>
      </c>
      <c r="F39" s="1187">
        <v>0</v>
      </c>
      <c r="G39" s="1187">
        <v>172000</v>
      </c>
      <c r="H39" s="1187">
        <v>0</v>
      </c>
      <c r="I39" s="1187">
        <v>0</v>
      </c>
      <c r="J39" s="1187">
        <v>0</v>
      </c>
      <c r="K39" s="1187">
        <v>172000</v>
      </c>
      <c r="L39" s="1187">
        <v>0</v>
      </c>
    </row>
    <row r="40" spans="1:23" s="68" customFormat="1">
      <c r="A40" s="1177" t="s">
        <v>1992</v>
      </c>
      <c r="B40" s="1177" t="s">
        <v>2001</v>
      </c>
      <c r="C40" s="1177"/>
      <c r="D40" s="1177" t="s">
        <v>2002</v>
      </c>
      <c r="E40" s="1178">
        <v>0</v>
      </c>
      <c r="F40" s="1178">
        <v>0</v>
      </c>
      <c r="G40" s="1178">
        <v>250000</v>
      </c>
      <c r="H40" s="1178">
        <v>0</v>
      </c>
      <c r="I40" s="1178">
        <v>0</v>
      </c>
      <c r="J40" s="1178">
        <v>0</v>
      </c>
      <c r="K40" s="1178">
        <v>250000</v>
      </c>
      <c r="L40" s="1178">
        <v>0</v>
      </c>
    </row>
    <row r="41" spans="1:23" s="68" customFormat="1">
      <c r="A41" s="1177" t="s">
        <v>1992</v>
      </c>
      <c r="B41" s="1177" t="s">
        <v>2003</v>
      </c>
      <c r="C41" s="1177"/>
      <c r="D41" s="1177" t="s">
        <v>2004</v>
      </c>
      <c r="E41" s="1178">
        <v>0</v>
      </c>
      <c r="F41" s="1178">
        <v>0</v>
      </c>
      <c r="G41" s="1178">
        <v>3840000</v>
      </c>
      <c r="H41" s="1178">
        <v>0</v>
      </c>
      <c r="I41" s="1178">
        <v>0</v>
      </c>
      <c r="J41" s="1178">
        <v>0</v>
      </c>
      <c r="K41" s="1178">
        <v>3840000</v>
      </c>
      <c r="L41" s="1178">
        <v>0</v>
      </c>
    </row>
    <row r="42" spans="1:23" s="1182" customFormat="1">
      <c r="A42" s="1180" t="s">
        <v>1969</v>
      </c>
      <c r="B42" s="1180" t="s">
        <v>1970</v>
      </c>
      <c r="C42" s="1180" t="s">
        <v>79</v>
      </c>
      <c r="D42" s="1180" t="s">
        <v>1971</v>
      </c>
      <c r="E42" s="1181">
        <v>0</v>
      </c>
      <c r="F42" s="1181">
        <v>0</v>
      </c>
      <c r="G42" s="1181">
        <v>1867836</v>
      </c>
      <c r="H42" s="1181">
        <v>0</v>
      </c>
      <c r="I42" s="1181">
        <v>0</v>
      </c>
      <c r="J42" s="1181">
        <v>0</v>
      </c>
      <c r="K42" s="1181">
        <v>1867836</v>
      </c>
      <c r="L42" s="1181">
        <v>0</v>
      </c>
      <c r="M42" s="1202">
        <f>4066000+902000</f>
        <v>4968000</v>
      </c>
      <c r="N42" s="1202">
        <v>373636</v>
      </c>
      <c r="O42" s="1202"/>
      <c r="P42" s="1202"/>
      <c r="Q42" s="1202">
        <v>288000</v>
      </c>
      <c r="R42" s="1202"/>
      <c r="S42" s="1202"/>
      <c r="T42" s="1202">
        <v>646200</v>
      </c>
      <c r="U42" s="1202"/>
      <c r="V42" s="1202">
        <v>560000</v>
      </c>
      <c r="W42" s="1202">
        <f t="shared" ref="W42:W45" si="4">SUM(M42:V42)</f>
        <v>6835836</v>
      </c>
    </row>
    <row r="43" spans="1:23" s="1182" customFormat="1">
      <c r="A43" s="1180" t="s">
        <v>1972</v>
      </c>
      <c r="B43" s="1180" t="s">
        <v>1973</v>
      </c>
      <c r="C43" s="1180" t="s">
        <v>87</v>
      </c>
      <c r="D43" s="1180" t="s">
        <v>1974</v>
      </c>
      <c r="E43" s="1181">
        <v>0</v>
      </c>
      <c r="F43" s="1181">
        <v>0</v>
      </c>
      <c r="G43" s="1181">
        <v>286700</v>
      </c>
      <c r="H43" s="1181">
        <v>0</v>
      </c>
      <c r="I43" s="1181">
        <v>0</v>
      </c>
      <c r="J43" s="1181">
        <v>0</v>
      </c>
      <c r="K43" s="1181">
        <v>286700</v>
      </c>
      <c r="L43" s="1181">
        <v>0</v>
      </c>
      <c r="M43" s="1202">
        <f>285000</f>
        <v>285000</v>
      </c>
      <c r="N43" s="1202"/>
      <c r="O43" s="1202"/>
      <c r="P43" s="1202"/>
      <c r="Q43" s="1182">
        <v>106700</v>
      </c>
      <c r="R43" s="1202"/>
      <c r="S43" s="1202"/>
      <c r="T43" s="1202"/>
      <c r="U43" s="1202"/>
      <c r="V43" s="1202">
        <v>180000</v>
      </c>
      <c r="W43" s="1202">
        <f t="shared" si="4"/>
        <v>571700</v>
      </c>
    </row>
    <row r="44" spans="1:23" s="1182" customFormat="1">
      <c r="A44" s="1180" t="s">
        <v>1972</v>
      </c>
      <c r="B44" s="1180" t="s">
        <v>1975</v>
      </c>
      <c r="C44" s="1180" t="s">
        <v>79</v>
      </c>
      <c r="D44" s="1180" t="s">
        <v>1976</v>
      </c>
      <c r="E44" s="1181">
        <v>0</v>
      </c>
      <c r="F44" s="1181">
        <v>0</v>
      </c>
      <c r="G44" s="1181">
        <v>301600</v>
      </c>
      <c r="H44" s="1181">
        <v>0</v>
      </c>
      <c r="I44" s="1181">
        <v>0</v>
      </c>
      <c r="J44" s="1181">
        <v>0</v>
      </c>
      <c r="K44" s="1181">
        <v>301600</v>
      </c>
      <c r="L44" s="1181">
        <v>0</v>
      </c>
      <c r="M44" s="1202">
        <v>1936800</v>
      </c>
      <c r="N44" s="1202"/>
      <c r="O44" s="1202"/>
      <c r="P44" s="1202"/>
      <c r="Q44" s="1202"/>
      <c r="R44" s="1202"/>
      <c r="S44" s="1202"/>
      <c r="T44" s="1202"/>
      <c r="U44" s="1202"/>
      <c r="V44" s="1202">
        <v>301600</v>
      </c>
      <c r="W44" s="1202">
        <f t="shared" si="4"/>
        <v>2238400</v>
      </c>
    </row>
    <row r="45" spans="1:23" s="1182" customFormat="1">
      <c r="A45" s="1180" t="s">
        <v>1972</v>
      </c>
      <c r="B45" s="1180" t="s">
        <v>2005</v>
      </c>
      <c r="C45" s="1180" t="s">
        <v>87</v>
      </c>
      <c r="D45" s="1180" t="s">
        <v>2006</v>
      </c>
      <c r="E45" s="1181">
        <v>0</v>
      </c>
      <c r="F45" s="1181">
        <v>0</v>
      </c>
      <c r="G45" s="1181">
        <v>1500000</v>
      </c>
      <c r="H45" s="1181">
        <v>0</v>
      </c>
      <c r="I45" s="1181">
        <v>0</v>
      </c>
      <c r="J45" s="1181">
        <v>0</v>
      </c>
      <c r="K45" s="1181">
        <v>1500000</v>
      </c>
      <c r="L45" s="1181">
        <v>0</v>
      </c>
      <c r="M45" s="1202"/>
      <c r="N45" s="1202"/>
      <c r="O45" s="1202"/>
      <c r="P45" s="1202"/>
      <c r="Q45" s="1202"/>
      <c r="R45" s="1202"/>
      <c r="S45" s="1202">
        <v>1500000</v>
      </c>
      <c r="T45" s="1202"/>
      <c r="U45" s="1202"/>
      <c r="V45" s="1202"/>
      <c r="W45" s="1202">
        <f t="shared" si="4"/>
        <v>1500000</v>
      </c>
    </row>
    <row r="46" spans="1:23" s="68" customFormat="1">
      <c r="A46" s="1177" t="s">
        <v>1972</v>
      </c>
      <c r="B46" s="1177" t="s">
        <v>2007</v>
      </c>
      <c r="C46" s="1177"/>
      <c r="D46" s="1177" t="s">
        <v>2008</v>
      </c>
      <c r="E46" s="1178">
        <v>0</v>
      </c>
      <c r="F46" s="1178">
        <v>0</v>
      </c>
      <c r="G46" s="1178">
        <v>1560000</v>
      </c>
      <c r="H46" s="1178">
        <v>0</v>
      </c>
      <c r="I46" s="1178">
        <v>0</v>
      </c>
      <c r="J46" s="1178">
        <v>0</v>
      </c>
      <c r="K46" s="1178">
        <v>1560000</v>
      </c>
      <c r="L46" s="1178">
        <v>0</v>
      </c>
    </row>
    <row r="47" spans="1:23" s="68" customFormat="1">
      <c r="A47" s="1177" t="s">
        <v>1972</v>
      </c>
      <c r="B47" s="1177" t="s">
        <v>2009</v>
      </c>
      <c r="C47" s="1177"/>
      <c r="D47" s="1177" t="s">
        <v>2010</v>
      </c>
      <c r="E47" s="1178">
        <v>0</v>
      </c>
      <c r="F47" s="1178">
        <v>0</v>
      </c>
      <c r="G47" s="1178">
        <v>4498450</v>
      </c>
      <c r="H47" s="1178">
        <v>0</v>
      </c>
      <c r="I47" s="1178">
        <v>0</v>
      </c>
      <c r="J47" s="1178">
        <v>0</v>
      </c>
      <c r="K47" s="1178">
        <v>4498450</v>
      </c>
      <c r="L47" s="1178">
        <v>0</v>
      </c>
    </row>
    <row r="48" spans="1:23" s="1182" customFormat="1">
      <c r="A48" s="1180" t="s">
        <v>1972</v>
      </c>
      <c r="B48" s="1180" t="s">
        <v>1977</v>
      </c>
      <c r="C48" s="1180" t="s">
        <v>87</v>
      </c>
      <c r="D48" s="1180" t="s">
        <v>1978</v>
      </c>
      <c r="E48" s="1181">
        <v>0</v>
      </c>
      <c r="F48" s="1181">
        <v>0</v>
      </c>
      <c r="G48" s="1181">
        <v>788700</v>
      </c>
      <c r="H48" s="1181">
        <v>0</v>
      </c>
      <c r="I48" s="1181">
        <v>0</v>
      </c>
      <c r="J48" s="1181">
        <v>0</v>
      </c>
      <c r="K48" s="1181">
        <v>788700</v>
      </c>
      <c r="L48" s="1181">
        <v>0</v>
      </c>
      <c r="M48" s="1202">
        <f>896600</f>
        <v>896600</v>
      </c>
      <c r="N48" s="1202"/>
      <c r="O48" s="1202"/>
      <c r="P48" s="1202">
        <v>270000</v>
      </c>
      <c r="Q48" s="1202">
        <v>106700</v>
      </c>
      <c r="R48" s="1202"/>
      <c r="S48" s="1202"/>
      <c r="T48" s="1202"/>
      <c r="U48" s="1202"/>
      <c r="V48" s="1202">
        <f>142000+270000</f>
        <v>412000</v>
      </c>
      <c r="W48" s="1202">
        <f t="shared" ref="W48:W50" si="5">SUM(M48:V48)</f>
        <v>1685300</v>
      </c>
    </row>
    <row r="49" spans="1:23" s="1182" customFormat="1">
      <c r="A49" s="1180" t="s">
        <v>1972</v>
      </c>
      <c r="B49" s="1180" t="s">
        <v>1979</v>
      </c>
      <c r="C49" s="1180" t="s">
        <v>92</v>
      </c>
      <c r="D49" s="1180" t="s">
        <v>1980</v>
      </c>
      <c r="E49" s="1181">
        <v>0</v>
      </c>
      <c r="F49" s="1181">
        <v>0</v>
      </c>
      <c r="G49" s="1181">
        <v>324800</v>
      </c>
      <c r="H49" s="1181">
        <v>0</v>
      </c>
      <c r="I49" s="1181">
        <v>0</v>
      </c>
      <c r="J49" s="1181">
        <v>0</v>
      </c>
      <c r="K49" s="1181">
        <v>324800</v>
      </c>
      <c r="L49" s="1181">
        <v>0</v>
      </c>
      <c r="M49" s="1202">
        <f>1518000</f>
        <v>1518000</v>
      </c>
      <c r="N49" s="1202"/>
      <c r="O49" s="1202"/>
      <c r="P49" s="1202"/>
      <c r="Q49" s="1202">
        <v>76800</v>
      </c>
      <c r="R49" s="1202"/>
      <c r="S49" s="1202"/>
      <c r="T49" s="1202"/>
      <c r="U49" s="1202">
        <v>16000</v>
      </c>
      <c r="V49" s="1202">
        <f>90000+142000</f>
        <v>232000</v>
      </c>
      <c r="W49" s="1202">
        <f t="shared" si="5"/>
        <v>1842800</v>
      </c>
    </row>
    <row r="50" spans="1:23" s="1182" customFormat="1">
      <c r="A50" s="1180" t="s">
        <v>1972</v>
      </c>
      <c r="B50" s="1180" t="s">
        <v>1981</v>
      </c>
      <c r="C50" s="1180" t="s">
        <v>87</v>
      </c>
      <c r="D50" s="1180" t="s">
        <v>1982</v>
      </c>
      <c r="E50" s="1181">
        <v>0</v>
      </c>
      <c r="F50" s="1181">
        <v>0</v>
      </c>
      <c r="G50" s="1181">
        <v>330000</v>
      </c>
      <c r="H50" s="1181">
        <v>0</v>
      </c>
      <c r="I50" s="1181">
        <v>0</v>
      </c>
      <c r="J50" s="1181">
        <v>0</v>
      </c>
      <c r="K50" s="1181">
        <v>330000</v>
      </c>
      <c r="L50" s="1181">
        <v>0</v>
      </c>
      <c r="M50" s="1202">
        <v>66000</v>
      </c>
      <c r="N50" s="1202"/>
      <c r="O50" s="1202">
        <v>330000</v>
      </c>
      <c r="P50" s="1202"/>
      <c r="Q50" s="1202"/>
      <c r="R50" s="1202"/>
      <c r="S50" s="1202"/>
      <c r="T50" s="1202"/>
      <c r="U50" s="1202"/>
      <c r="V50" s="1202"/>
      <c r="W50" s="1202">
        <f t="shared" si="5"/>
        <v>396000</v>
      </c>
    </row>
    <row r="51" spans="1:23">
      <c r="A51" s="1169" t="s">
        <v>404</v>
      </c>
      <c r="B51" s="1173"/>
      <c r="C51" s="1173"/>
      <c r="D51" s="1170"/>
      <c r="E51" s="1163">
        <v>44548282</v>
      </c>
      <c r="F51" s="1163">
        <v>0</v>
      </c>
      <c r="G51" s="1163">
        <v>94461586</v>
      </c>
      <c r="H51" s="1163">
        <v>0</v>
      </c>
      <c r="I51" s="1163">
        <v>44548282</v>
      </c>
      <c r="J51" s="1163">
        <v>0</v>
      </c>
      <c r="K51" s="1163">
        <v>94461586</v>
      </c>
      <c r="L51" s="1163">
        <v>0</v>
      </c>
    </row>
    <row r="52" spans="1:23">
      <c r="A52" s="1169" t="s">
        <v>257</v>
      </c>
      <c r="B52" s="1173"/>
      <c r="C52" s="1173"/>
      <c r="D52" s="1170"/>
      <c r="E52" s="1163">
        <v>44548282</v>
      </c>
      <c r="F52" s="1163">
        <v>0</v>
      </c>
      <c r="G52" s="1163">
        <v>94461586</v>
      </c>
      <c r="H52" s="1163">
        <v>0</v>
      </c>
      <c r="I52" s="1163">
        <v>44548282</v>
      </c>
      <c r="J52" s="1163">
        <v>0</v>
      </c>
      <c r="K52" s="1163">
        <v>94461586</v>
      </c>
      <c r="L52" s="1163">
        <v>0</v>
      </c>
    </row>
    <row r="53" spans="1:23">
      <c r="A53" s="1169" t="s">
        <v>258</v>
      </c>
      <c r="B53" s="1173"/>
      <c r="C53" s="1173"/>
      <c r="D53" s="1170"/>
      <c r="E53" s="1163">
        <v>44548282</v>
      </c>
      <c r="F53" s="1163">
        <v>0</v>
      </c>
      <c r="G53" s="1163">
        <v>94461586</v>
      </c>
      <c r="H53" s="1163">
        <v>0</v>
      </c>
      <c r="I53" s="1163">
        <v>44548282</v>
      </c>
      <c r="J53" s="1163">
        <v>0</v>
      </c>
      <c r="K53" s="1163">
        <v>94461586</v>
      </c>
      <c r="L53" s="1163">
        <v>0</v>
      </c>
    </row>
    <row r="54" spans="1:23">
      <c r="M54" s="66">
        <f>SUM(M32:M50)</f>
        <v>24769120</v>
      </c>
      <c r="N54" s="66">
        <f t="shared" ref="N54:W54" si="6">SUM(N32:N50)</f>
        <v>373636</v>
      </c>
      <c r="O54" s="66">
        <f t="shared" si="6"/>
        <v>330000</v>
      </c>
      <c r="P54" s="66">
        <f t="shared" si="6"/>
        <v>270000</v>
      </c>
      <c r="Q54" s="66">
        <f t="shared" si="6"/>
        <v>13745800</v>
      </c>
      <c r="R54" s="66">
        <f t="shared" si="6"/>
        <v>0</v>
      </c>
      <c r="S54" s="66">
        <f t="shared" si="6"/>
        <v>1500000</v>
      </c>
      <c r="T54" s="66">
        <f t="shared" si="6"/>
        <v>646200</v>
      </c>
      <c r="U54" s="66">
        <f t="shared" si="6"/>
        <v>16000</v>
      </c>
      <c r="V54" s="66">
        <f t="shared" si="6"/>
        <v>2688000</v>
      </c>
      <c r="W54" s="66">
        <f t="shared" si="6"/>
        <v>44338756</v>
      </c>
    </row>
    <row r="55" spans="1:23">
      <c r="D55" s="1164"/>
      <c r="E55" s="1164"/>
      <c r="F55" s="1164"/>
      <c r="G55" s="1164"/>
      <c r="H55" s="1164"/>
      <c r="I55" s="1164"/>
      <c r="J55" s="1164"/>
      <c r="K55" s="1174" t="s">
        <v>1983</v>
      </c>
      <c r="L55" s="1164"/>
      <c r="M55">
        <v>24769120</v>
      </c>
      <c r="N55" s="66">
        <f>N54+O54+P54+Q54+R54+S54+T54+U54+V54</f>
        <v>19569636</v>
      </c>
    </row>
    <row r="56" spans="1:23">
      <c r="D56" s="1167" t="s">
        <v>248</v>
      </c>
      <c r="E56" s="1164"/>
      <c r="F56" s="1164"/>
      <c r="G56" s="1164"/>
      <c r="H56" s="1164"/>
      <c r="I56" s="1164"/>
      <c r="J56" s="1164"/>
      <c r="K56" s="1167" t="s">
        <v>249</v>
      </c>
      <c r="L56" s="1164"/>
    </row>
    <row r="57" spans="1:23">
      <c r="D57" s="1167" t="s">
        <v>250</v>
      </c>
      <c r="E57" s="1164"/>
      <c r="F57" s="1164"/>
      <c r="G57" s="1190">
        <f>G32+G42+G43+G44+G45+G48+G49+G50</f>
        <v>19569636</v>
      </c>
      <c r="H57" s="1164"/>
      <c r="I57" s="1164"/>
      <c r="J57" s="1164"/>
      <c r="K57" s="1167" t="s">
        <v>251</v>
      </c>
      <c r="L57" s="1164"/>
      <c r="M57" s="66">
        <f>M54-M55</f>
        <v>0</v>
      </c>
    </row>
    <row r="62" spans="1:23">
      <c r="D62" s="1167" t="s">
        <v>252</v>
      </c>
      <c r="E62" s="1164"/>
      <c r="F62" s="1164"/>
      <c r="G62" s="1164"/>
      <c r="H62" s="1164"/>
      <c r="I62" s="1164"/>
      <c r="J62" s="1164"/>
      <c r="K62" s="1167" t="s">
        <v>253</v>
      </c>
      <c r="L62" s="1164"/>
    </row>
  </sheetData>
  <pageMargins left="0.7" right="0.7" top="0.75" bottom="0.75" header="0.3" footer="0.3"/>
  <pageSetup paperSize="9" orientation="landscape"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selection activeCell="D28" sqref="D28"/>
    </sheetView>
  </sheetViews>
  <sheetFormatPr defaultColWidth="9.140625" defaultRowHeight="15"/>
  <cols>
    <col min="1" max="1" width="12.7109375" customWidth="1"/>
    <col min="2" max="2" width="12.5703125" customWidth="1"/>
    <col min="3" max="3" width="6.140625" customWidth="1"/>
    <col min="4" max="4" width="46.7109375" customWidth="1"/>
    <col min="7" max="7" width="10.140625" bestFit="1" customWidth="1"/>
    <col min="15" max="15" width="12.85546875" customWidth="1"/>
  </cols>
  <sheetData>
    <row r="1" spans="1:15">
      <c r="A1" s="662" t="s">
        <v>225</v>
      </c>
      <c r="N1" t="s">
        <v>42</v>
      </c>
      <c r="O1" s="561">
        <f>SUMIFS($I:$I,$C:$C,$N1)</f>
        <v>8785680</v>
      </c>
    </row>
    <row r="2" spans="1:15">
      <c r="A2" s="662" t="s">
        <v>225</v>
      </c>
      <c r="N2" t="s">
        <v>79</v>
      </c>
      <c r="O2" s="561">
        <f t="shared" ref="O2:O4" si="0">SUMIFS($I:$I,$C:$C,$N2)</f>
        <v>15961800</v>
      </c>
    </row>
    <row r="3" spans="1:15">
      <c r="N3" t="s">
        <v>87</v>
      </c>
      <c r="O3" s="561">
        <f t="shared" si="0"/>
        <v>2340800</v>
      </c>
    </row>
    <row r="4" spans="1:15" ht="18.75">
      <c r="A4" s="104" t="s">
        <v>254</v>
      </c>
      <c r="N4" t="s">
        <v>92</v>
      </c>
      <c r="O4" s="561">
        <f t="shared" si="0"/>
        <v>2102240</v>
      </c>
    </row>
    <row r="5" spans="1:15">
      <c r="A5" s="662" t="s">
        <v>1777</v>
      </c>
    </row>
    <row r="7" spans="1:15">
      <c r="A7" s="1125" t="s">
        <v>226</v>
      </c>
      <c r="B7" s="1127"/>
      <c r="C7" s="1157"/>
      <c r="D7" s="1131" t="s">
        <v>227</v>
      </c>
      <c r="E7" s="1125" t="s">
        <v>255</v>
      </c>
      <c r="F7" s="1127"/>
      <c r="G7" s="1125" t="s">
        <v>228</v>
      </c>
      <c r="H7" s="1127"/>
      <c r="I7" s="1125" t="s">
        <v>229</v>
      </c>
      <c r="J7" s="1127"/>
      <c r="K7" s="1125" t="s">
        <v>230</v>
      </c>
      <c r="L7" s="1127"/>
    </row>
    <row r="8" spans="1:15">
      <c r="A8" s="1129" t="s">
        <v>231</v>
      </c>
      <c r="B8" s="1129" t="s">
        <v>232</v>
      </c>
      <c r="C8" s="1129"/>
      <c r="D8" s="1132"/>
      <c r="E8" s="1129" t="s">
        <v>233</v>
      </c>
      <c r="F8" s="1129" t="s">
        <v>234</v>
      </c>
      <c r="G8" s="1129" t="s">
        <v>233</v>
      </c>
      <c r="H8" s="1129" t="s">
        <v>234</v>
      </c>
      <c r="I8" s="1129" t="s">
        <v>233</v>
      </c>
      <c r="J8" s="1129" t="s">
        <v>234</v>
      </c>
      <c r="K8" s="1129" t="s">
        <v>233</v>
      </c>
      <c r="L8" s="1129" t="s">
        <v>234</v>
      </c>
    </row>
    <row r="9" spans="1:15">
      <c r="A9" s="1125" t="s">
        <v>235</v>
      </c>
      <c r="B9" s="1126"/>
      <c r="C9" s="1126"/>
      <c r="D9" s="1126"/>
      <c r="E9" s="1126"/>
      <c r="F9" s="1126"/>
      <c r="G9" s="1126"/>
      <c r="H9" s="1126"/>
      <c r="I9" s="1126"/>
      <c r="J9" s="1126"/>
      <c r="K9" s="1126"/>
      <c r="L9" s="1127"/>
    </row>
    <row r="10" spans="1:15">
      <c r="A10" s="1130" t="s">
        <v>1819</v>
      </c>
      <c r="B10" s="1124" t="s">
        <v>1899</v>
      </c>
      <c r="C10" s="1124" t="s">
        <v>87</v>
      </c>
      <c r="D10" s="1124" t="s">
        <v>1900</v>
      </c>
      <c r="E10" s="182">
        <v>0</v>
      </c>
      <c r="F10" s="182">
        <v>0</v>
      </c>
      <c r="G10" s="182">
        <v>509200</v>
      </c>
      <c r="H10" s="182">
        <v>0</v>
      </c>
      <c r="I10" s="182">
        <v>509200</v>
      </c>
      <c r="J10" s="182">
        <v>0</v>
      </c>
      <c r="K10" s="182">
        <v>0</v>
      </c>
      <c r="L10" s="182">
        <v>0</v>
      </c>
    </row>
    <row r="11" spans="1:15">
      <c r="A11" s="1130" t="s">
        <v>1819</v>
      </c>
      <c r="B11" s="1124" t="s">
        <v>1901</v>
      </c>
      <c r="C11" s="1124" t="s">
        <v>79</v>
      </c>
      <c r="D11" s="1124" t="s">
        <v>1902</v>
      </c>
      <c r="E11" s="182">
        <v>0</v>
      </c>
      <c r="F11" s="182">
        <v>0</v>
      </c>
      <c r="G11" s="182">
        <v>1164800</v>
      </c>
      <c r="H11" s="182">
        <v>0</v>
      </c>
      <c r="I11" s="182">
        <v>1164800</v>
      </c>
      <c r="J11" s="182">
        <v>0</v>
      </c>
      <c r="K11" s="182">
        <v>0</v>
      </c>
      <c r="L11" s="182">
        <v>0</v>
      </c>
    </row>
    <row r="12" spans="1:15">
      <c r="A12" s="1130" t="s">
        <v>1819</v>
      </c>
      <c r="B12" s="1124" t="s">
        <v>1903</v>
      </c>
      <c r="C12" s="1124" t="s">
        <v>87</v>
      </c>
      <c r="D12" s="1124" t="s">
        <v>1904</v>
      </c>
      <c r="E12" s="182">
        <v>0</v>
      </c>
      <c r="F12" s="182">
        <v>0</v>
      </c>
      <c r="G12" s="182">
        <v>154000</v>
      </c>
      <c r="H12" s="182">
        <v>0</v>
      </c>
      <c r="I12" s="182">
        <v>154000</v>
      </c>
      <c r="J12" s="182">
        <v>0</v>
      </c>
      <c r="K12" s="182">
        <v>0</v>
      </c>
      <c r="L12" s="182">
        <v>0</v>
      </c>
    </row>
    <row r="13" spans="1:15">
      <c r="A13" s="1130" t="s">
        <v>1819</v>
      </c>
      <c r="B13" s="1124" t="s">
        <v>1820</v>
      </c>
      <c r="C13" s="1124" t="s">
        <v>87</v>
      </c>
      <c r="D13" s="1124" t="s">
        <v>1821</v>
      </c>
      <c r="E13" s="182">
        <v>0</v>
      </c>
      <c r="F13" s="182">
        <v>0</v>
      </c>
      <c r="G13" s="182">
        <v>1677600</v>
      </c>
      <c r="H13" s="182">
        <v>0</v>
      </c>
      <c r="I13" s="182">
        <v>1677600</v>
      </c>
      <c r="J13" s="182">
        <v>0</v>
      </c>
      <c r="K13" s="182">
        <v>0</v>
      </c>
      <c r="L13" s="182">
        <v>0</v>
      </c>
    </row>
    <row r="14" spans="1:15">
      <c r="A14" s="1130" t="s">
        <v>1819</v>
      </c>
      <c r="B14" s="1124" t="s">
        <v>1822</v>
      </c>
      <c r="C14" s="1124" t="s">
        <v>79</v>
      </c>
      <c r="D14" s="1124" t="s">
        <v>1823</v>
      </c>
      <c r="E14" s="182">
        <v>0</v>
      </c>
      <c r="F14" s="182">
        <v>0</v>
      </c>
      <c r="G14" s="182">
        <v>14797000</v>
      </c>
      <c r="H14" s="182">
        <v>0</v>
      </c>
      <c r="I14" s="182">
        <v>14797000</v>
      </c>
      <c r="J14" s="182">
        <v>0</v>
      </c>
      <c r="K14" s="182">
        <v>0</v>
      </c>
      <c r="L14" s="182">
        <v>0</v>
      </c>
    </row>
    <row r="15" spans="1:15">
      <c r="A15" s="1130" t="s">
        <v>1836</v>
      </c>
      <c r="B15" s="1124" t="s">
        <v>1837</v>
      </c>
      <c r="C15" s="1124" t="s">
        <v>92</v>
      </c>
      <c r="D15" s="1124" t="s">
        <v>1838</v>
      </c>
      <c r="E15" s="182">
        <v>0</v>
      </c>
      <c r="F15" s="182">
        <v>0</v>
      </c>
      <c r="G15" s="182">
        <v>965040</v>
      </c>
      <c r="H15" s="182">
        <v>0</v>
      </c>
      <c r="I15" s="182">
        <v>965040</v>
      </c>
      <c r="J15" s="182">
        <v>0</v>
      </c>
      <c r="K15" s="182">
        <v>0</v>
      </c>
      <c r="L15" s="182">
        <v>0</v>
      </c>
    </row>
    <row r="16" spans="1:15">
      <c r="A16" s="1130" t="s">
        <v>1836</v>
      </c>
      <c r="B16" s="1124" t="s">
        <v>1839</v>
      </c>
      <c r="C16" s="1124" t="s">
        <v>92</v>
      </c>
      <c r="D16" s="1124" t="s">
        <v>1840</v>
      </c>
      <c r="E16" s="182">
        <v>0</v>
      </c>
      <c r="F16" s="182">
        <v>0</v>
      </c>
      <c r="G16" s="182">
        <v>154000</v>
      </c>
      <c r="H16" s="182">
        <v>0</v>
      </c>
      <c r="I16" s="182">
        <v>154000</v>
      </c>
      <c r="J16" s="182">
        <v>0</v>
      </c>
      <c r="K16" s="182">
        <v>0</v>
      </c>
      <c r="L16" s="182">
        <v>0</v>
      </c>
    </row>
    <row r="17" spans="1:12">
      <c r="A17" s="1130" t="s">
        <v>1836</v>
      </c>
      <c r="B17" s="1124" t="s">
        <v>1841</v>
      </c>
      <c r="C17" s="1124" t="s">
        <v>92</v>
      </c>
      <c r="D17" s="1124" t="s">
        <v>1842</v>
      </c>
      <c r="E17" s="182">
        <v>0</v>
      </c>
      <c r="F17" s="182">
        <v>0</v>
      </c>
      <c r="G17" s="182">
        <v>983200</v>
      </c>
      <c r="H17" s="182">
        <v>0</v>
      </c>
      <c r="I17" s="182">
        <v>983200</v>
      </c>
      <c r="J17" s="182">
        <v>0</v>
      </c>
      <c r="K17" s="182">
        <v>0</v>
      </c>
      <c r="L17" s="182">
        <v>0</v>
      </c>
    </row>
    <row r="18" spans="1:12">
      <c r="A18" s="1130" t="s">
        <v>1874</v>
      </c>
      <c r="B18" s="1124" t="s">
        <v>1875</v>
      </c>
      <c r="C18" s="1124" t="s">
        <v>42</v>
      </c>
      <c r="D18" s="1124" t="s">
        <v>1876</v>
      </c>
      <c r="E18" s="182">
        <v>0</v>
      </c>
      <c r="F18" s="182">
        <v>0</v>
      </c>
      <c r="G18" s="182">
        <v>8785680</v>
      </c>
      <c r="H18" s="182">
        <v>0</v>
      </c>
      <c r="I18" s="182">
        <v>8785680</v>
      </c>
      <c r="J18" s="182">
        <v>0</v>
      </c>
      <c r="K18" s="182">
        <v>0</v>
      </c>
      <c r="L18" s="182">
        <v>0</v>
      </c>
    </row>
    <row r="19" spans="1:12">
      <c r="A19" s="1125" t="s">
        <v>462</v>
      </c>
      <c r="B19" s="1126"/>
      <c r="C19" s="1126"/>
      <c r="D19" s="1127"/>
      <c r="E19" s="182">
        <v>0</v>
      </c>
      <c r="F19" s="182">
        <v>0</v>
      </c>
      <c r="G19" s="182">
        <v>29190520</v>
      </c>
      <c r="H19" s="182">
        <v>0</v>
      </c>
      <c r="I19" s="182">
        <v>29190520</v>
      </c>
      <c r="J19" s="182">
        <v>0</v>
      </c>
      <c r="K19" s="182">
        <v>0</v>
      </c>
      <c r="L19" s="182">
        <v>0</v>
      </c>
    </row>
    <row r="20" spans="1:12">
      <c r="A20" s="1125" t="s">
        <v>257</v>
      </c>
      <c r="B20" s="1126"/>
      <c r="C20" s="1126"/>
      <c r="D20" s="1127"/>
      <c r="E20" s="182">
        <v>0</v>
      </c>
      <c r="F20" s="182">
        <v>0</v>
      </c>
      <c r="G20" s="182">
        <v>29190520</v>
      </c>
      <c r="H20" s="182">
        <v>0</v>
      </c>
      <c r="I20" s="182">
        <v>29190520</v>
      </c>
      <c r="J20" s="182">
        <v>0</v>
      </c>
      <c r="K20" s="182">
        <v>0</v>
      </c>
      <c r="L20" s="182">
        <v>0</v>
      </c>
    </row>
    <row r="21" spans="1:12">
      <c r="A21" s="1125" t="s">
        <v>258</v>
      </c>
      <c r="B21" s="1126"/>
      <c r="C21" s="1126"/>
      <c r="D21" s="1127"/>
      <c r="E21" s="182">
        <v>0</v>
      </c>
      <c r="F21" s="182">
        <v>0</v>
      </c>
      <c r="G21" s="182">
        <v>29190520</v>
      </c>
      <c r="H21" s="182">
        <v>0</v>
      </c>
      <c r="I21" s="182">
        <v>29190520</v>
      </c>
      <c r="J21" s="182">
        <v>0</v>
      </c>
      <c r="K21" s="182">
        <v>0</v>
      </c>
      <c r="L21" s="182">
        <v>0</v>
      </c>
    </row>
    <row r="23" spans="1:12">
      <c r="G23" s="67">
        <f>G21+'338888_CTV_T10'!G99</f>
        <v>44254802</v>
      </c>
      <c r="K23" s="110" t="s">
        <v>1898</v>
      </c>
    </row>
    <row r="24" spans="1:12">
      <c r="D24" s="662" t="s">
        <v>248</v>
      </c>
      <c r="K24" s="662" t="s">
        <v>249</v>
      </c>
    </row>
    <row r="25" spans="1:12">
      <c r="D25" s="662" t="s">
        <v>250</v>
      </c>
      <c r="K25" s="662" t="s">
        <v>251</v>
      </c>
    </row>
    <row r="30" spans="1:12">
      <c r="D30" s="662" t="s">
        <v>252</v>
      </c>
      <c r="K30" s="662" t="s">
        <v>253</v>
      </c>
    </row>
  </sheetData>
  <pageMargins left="0.7" right="0.7" top="0.75" bottom="0.75" header="0.3" footer="0.3"/>
  <pageSetup paperSize="9" orientation="landscape"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08"/>
  <sheetViews>
    <sheetView topLeftCell="A31" workbookViewId="0">
      <selection activeCell="D13" sqref="D1:N1048576"/>
    </sheetView>
  </sheetViews>
  <sheetFormatPr defaultRowHeight="15"/>
  <cols>
    <col min="2" max="3" width="12.85546875" customWidth="1"/>
    <col min="4" max="4" width="59.5703125" customWidth="1"/>
    <col min="5" max="5" width="10.85546875" customWidth="1"/>
    <col min="6" max="6" width="9.140625" customWidth="1"/>
    <col min="7" max="7" width="10.42578125" customWidth="1"/>
    <col min="8" max="8" width="11.140625" customWidth="1"/>
    <col min="9" max="9" width="11.28515625" customWidth="1"/>
    <col min="10" max="10" width="12" customWidth="1"/>
    <col min="11" max="11" width="10.5703125" customWidth="1"/>
    <col min="12" max="12" width="9.140625" customWidth="1"/>
    <col min="13" max="13" width="5.7109375" customWidth="1"/>
    <col min="14" max="14" width="10.85546875" customWidth="1"/>
    <col min="16" max="16" width="9.140625" customWidth="1"/>
    <col min="17" max="17" width="10.5703125" bestFit="1" customWidth="1"/>
    <col min="19" max="19" width="10.5703125" bestFit="1" customWidth="1"/>
    <col min="20" max="20" width="9.28515625" customWidth="1"/>
    <col min="21" max="21" width="16" customWidth="1"/>
    <col min="22" max="22" width="12.140625" customWidth="1"/>
    <col min="23" max="23" width="12.85546875" customWidth="1"/>
    <col min="25" max="26" width="11.5703125" bestFit="1" customWidth="1"/>
    <col min="27" max="27" width="9.28515625" bestFit="1" customWidth="1"/>
    <col min="28" max="28" width="13.28515625" bestFit="1" customWidth="1"/>
    <col min="29" max="29" width="11.5703125" bestFit="1" customWidth="1"/>
    <col min="30" max="30" width="13.28515625" bestFit="1" customWidth="1"/>
    <col min="31" max="32" width="11.5703125" bestFit="1" customWidth="1"/>
    <col min="33" max="33" width="11.5703125" customWidth="1"/>
    <col min="34" max="34" width="13.5703125" customWidth="1"/>
    <col min="260" max="260" width="12.85546875" customWidth="1"/>
    <col min="261" max="261" width="58.7109375" customWidth="1"/>
    <col min="264" max="264" width="10.42578125" customWidth="1"/>
    <col min="265" max="265" width="11.140625" customWidth="1"/>
    <col min="267" max="267" width="12" customWidth="1"/>
    <col min="268" max="268" width="10.5703125" customWidth="1"/>
    <col min="516" max="516" width="12.85546875" customWidth="1"/>
    <col min="517" max="517" width="58.7109375" customWidth="1"/>
    <col min="520" max="520" width="10.42578125" customWidth="1"/>
    <col min="521" max="521" width="11.140625" customWidth="1"/>
    <col min="523" max="523" width="12" customWidth="1"/>
    <col min="524" max="524" width="10.5703125" customWidth="1"/>
    <col min="772" max="772" width="12.85546875" customWidth="1"/>
    <col min="773" max="773" width="58.7109375" customWidth="1"/>
    <col min="776" max="776" width="10.42578125" customWidth="1"/>
    <col min="777" max="777" width="11.140625" customWidth="1"/>
    <col min="779" max="779" width="12" customWidth="1"/>
    <col min="780" max="780" width="10.5703125" customWidth="1"/>
    <col min="1028" max="1028" width="12.85546875" customWidth="1"/>
    <col min="1029" max="1029" width="58.7109375" customWidth="1"/>
    <col min="1032" max="1032" width="10.42578125" customWidth="1"/>
    <col min="1033" max="1033" width="11.140625" customWidth="1"/>
    <col min="1035" max="1035" width="12" customWidth="1"/>
    <col min="1036" max="1036" width="10.5703125" customWidth="1"/>
    <col min="1284" max="1284" width="12.85546875" customWidth="1"/>
    <col min="1285" max="1285" width="58.7109375" customWidth="1"/>
    <col min="1288" max="1288" width="10.42578125" customWidth="1"/>
    <col min="1289" max="1289" width="11.140625" customWidth="1"/>
    <col min="1291" max="1291" width="12" customWidth="1"/>
    <col min="1292" max="1292" width="10.5703125" customWidth="1"/>
    <col min="1540" max="1540" width="12.85546875" customWidth="1"/>
    <col min="1541" max="1541" width="58.7109375" customWidth="1"/>
    <col min="1544" max="1544" width="10.42578125" customWidth="1"/>
    <col min="1545" max="1545" width="11.140625" customWidth="1"/>
    <col min="1547" max="1547" width="12" customWidth="1"/>
    <col min="1548" max="1548" width="10.5703125" customWidth="1"/>
    <col min="1796" max="1796" width="12.85546875" customWidth="1"/>
    <col min="1797" max="1797" width="58.7109375" customWidth="1"/>
    <col min="1800" max="1800" width="10.42578125" customWidth="1"/>
    <col min="1801" max="1801" width="11.140625" customWidth="1"/>
    <col min="1803" max="1803" width="12" customWidth="1"/>
    <col min="1804" max="1804" width="10.5703125" customWidth="1"/>
    <col min="2052" max="2052" width="12.85546875" customWidth="1"/>
    <col min="2053" max="2053" width="58.7109375" customWidth="1"/>
    <col min="2056" max="2056" width="10.42578125" customWidth="1"/>
    <col min="2057" max="2057" width="11.140625" customWidth="1"/>
    <col min="2059" max="2059" width="12" customWidth="1"/>
    <col min="2060" max="2060" width="10.5703125" customWidth="1"/>
    <col min="2308" max="2308" width="12.85546875" customWidth="1"/>
    <col min="2309" max="2309" width="58.7109375" customWidth="1"/>
    <col min="2312" max="2312" width="10.42578125" customWidth="1"/>
    <col min="2313" max="2313" width="11.140625" customWidth="1"/>
    <col min="2315" max="2315" width="12" customWidth="1"/>
    <col min="2316" max="2316" width="10.5703125" customWidth="1"/>
    <col min="2564" max="2564" width="12.85546875" customWidth="1"/>
    <col min="2565" max="2565" width="58.7109375" customWidth="1"/>
    <col min="2568" max="2568" width="10.42578125" customWidth="1"/>
    <col min="2569" max="2569" width="11.140625" customWidth="1"/>
    <col min="2571" max="2571" width="12" customWidth="1"/>
    <col min="2572" max="2572" width="10.5703125" customWidth="1"/>
    <col min="2820" max="2820" width="12.85546875" customWidth="1"/>
    <col min="2821" max="2821" width="58.7109375" customWidth="1"/>
    <col min="2824" max="2824" width="10.42578125" customWidth="1"/>
    <col min="2825" max="2825" width="11.140625" customWidth="1"/>
    <col min="2827" max="2827" width="12" customWidth="1"/>
    <col min="2828" max="2828" width="10.5703125" customWidth="1"/>
    <col min="3076" max="3076" width="12.85546875" customWidth="1"/>
    <col min="3077" max="3077" width="58.7109375" customWidth="1"/>
    <col min="3080" max="3080" width="10.42578125" customWidth="1"/>
    <col min="3081" max="3081" width="11.140625" customWidth="1"/>
    <col min="3083" max="3083" width="12" customWidth="1"/>
    <col min="3084" max="3084" width="10.5703125" customWidth="1"/>
    <col min="3332" max="3332" width="12.85546875" customWidth="1"/>
    <col min="3333" max="3333" width="58.7109375" customWidth="1"/>
    <col min="3336" max="3336" width="10.42578125" customWidth="1"/>
    <col min="3337" max="3337" width="11.140625" customWidth="1"/>
    <col min="3339" max="3339" width="12" customWidth="1"/>
    <col min="3340" max="3340" width="10.5703125" customWidth="1"/>
    <col min="3588" max="3588" width="12.85546875" customWidth="1"/>
    <col min="3589" max="3589" width="58.7109375" customWidth="1"/>
    <col min="3592" max="3592" width="10.42578125" customWidth="1"/>
    <col min="3593" max="3593" width="11.140625" customWidth="1"/>
    <col min="3595" max="3595" width="12" customWidth="1"/>
    <col min="3596" max="3596" width="10.5703125" customWidth="1"/>
    <col min="3844" max="3844" width="12.85546875" customWidth="1"/>
    <col min="3845" max="3845" width="58.7109375" customWidth="1"/>
    <col min="3848" max="3848" width="10.42578125" customWidth="1"/>
    <col min="3849" max="3849" width="11.140625" customWidth="1"/>
    <col min="3851" max="3851" width="12" customWidth="1"/>
    <col min="3852" max="3852" width="10.5703125" customWidth="1"/>
    <col min="4100" max="4100" width="12.85546875" customWidth="1"/>
    <col min="4101" max="4101" width="58.7109375" customWidth="1"/>
    <col min="4104" max="4104" width="10.42578125" customWidth="1"/>
    <col min="4105" max="4105" width="11.140625" customWidth="1"/>
    <col min="4107" max="4107" width="12" customWidth="1"/>
    <col min="4108" max="4108" width="10.5703125" customWidth="1"/>
    <col min="4356" max="4356" width="12.85546875" customWidth="1"/>
    <col min="4357" max="4357" width="58.7109375" customWidth="1"/>
    <col min="4360" max="4360" width="10.42578125" customWidth="1"/>
    <col min="4361" max="4361" width="11.140625" customWidth="1"/>
    <col min="4363" max="4363" width="12" customWidth="1"/>
    <col min="4364" max="4364" width="10.5703125" customWidth="1"/>
    <col min="4612" max="4612" width="12.85546875" customWidth="1"/>
    <col min="4613" max="4613" width="58.7109375" customWidth="1"/>
    <col min="4616" max="4616" width="10.42578125" customWidth="1"/>
    <col min="4617" max="4617" width="11.140625" customWidth="1"/>
    <col min="4619" max="4619" width="12" customWidth="1"/>
    <col min="4620" max="4620" width="10.5703125" customWidth="1"/>
    <col min="4868" max="4868" width="12.85546875" customWidth="1"/>
    <col min="4869" max="4869" width="58.7109375" customWidth="1"/>
    <col min="4872" max="4872" width="10.42578125" customWidth="1"/>
    <col min="4873" max="4873" width="11.140625" customWidth="1"/>
    <col min="4875" max="4875" width="12" customWidth="1"/>
    <col min="4876" max="4876" width="10.5703125" customWidth="1"/>
    <col min="5124" max="5124" width="12.85546875" customWidth="1"/>
    <col min="5125" max="5125" width="58.7109375" customWidth="1"/>
    <col min="5128" max="5128" width="10.42578125" customWidth="1"/>
    <col min="5129" max="5129" width="11.140625" customWidth="1"/>
    <col min="5131" max="5131" width="12" customWidth="1"/>
    <col min="5132" max="5132" width="10.5703125" customWidth="1"/>
    <col min="5380" max="5380" width="12.85546875" customWidth="1"/>
    <col min="5381" max="5381" width="58.7109375" customWidth="1"/>
    <col min="5384" max="5384" width="10.42578125" customWidth="1"/>
    <col min="5385" max="5385" width="11.140625" customWidth="1"/>
    <col min="5387" max="5387" width="12" customWidth="1"/>
    <col min="5388" max="5388" width="10.5703125" customWidth="1"/>
    <col min="5636" max="5636" width="12.85546875" customWidth="1"/>
    <col min="5637" max="5637" width="58.7109375" customWidth="1"/>
    <col min="5640" max="5640" width="10.42578125" customWidth="1"/>
    <col min="5641" max="5641" width="11.140625" customWidth="1"/>
    <col min="5643" max="5643" width="12" customWidth="1"/>
    <col min="5644" max="5644" width="10.5703125" customWidth="1"/>
    <col min="5892" max="5892" width="12.85546875" customWidth="1"/>
    <col min="5893" max="5893" width="58.7109375" customWidth="1"/>
    <col min="5896" max="5896" width="10.42578125" customWidth="1"/>
    <col min="5897" max="5897" width="11.140625" customWidth="1"/>
    <col min="5899" max="5899" width="12" customWidth="1"/>
    <col min="5900" max="5900" width="10.5703125" customWidth="1"/>
    <col min="6148" max="6148" width="12.85546875" customWidth="1"/>
    <col min="6149" max="6149" width="58.7109375" customWidth="1"/>
    <col min="6152" max="6152" width="10.42578125" customWidth="1"/>
    <col min="6153" max="6153" width="11.140625" customWidth="1"/>
    <col min="6155" max="6155" width="12" customWidth="1"/>
    <col min="6156" max="6156" width="10.5703125" customWidth="1"/>
    <col min="6404" max="6404" width="12.85546875" customWidth="1"/>
    <col min="6405" max="6405" width="58.7109375" customWidth="1"/>
    <col min="6408" max="6408" width="10.42578125" customWidth="1"/>
    <col min="6409" max="6409" width="11.140625" customWidth="1"/>
    <col min="6411" max="6411" width="12" customWidth="1"/>
    <col min="6412" max="6412" width="10.5703125" customWidth="1"/>
    <col min="6660" max="6660" width="12.85546875" customWidth="1"/>
    <col min="6661" max="6661" width="58.7109375" customWidth="1"/>
    <col min="6664" max="6664" width="10.42578125" customWidth="1"/>
    <col min="6665" max="6665" width="11.140625" customWidth="1"/>
    <col min="6667" max="6667" width="12" customWidth="1"/>
    <col min="6668" max="6668" width="10.5703125" customWidth="1"/>
    <col min="6916" max="6916" width="12.85546875" customWidth="1"/>
    <col min="6917" max="6917" width="58.7109375" customWidth="1"/>
    <col min="6920" max="6920" width="10.42578125" customWidth="1"/>
    <col min="6921" max="6921" width="11.140625" customWidth="1"/>
    <col min="6923" max="6923" width="12" customWidth="1"/>
    <col min="6924" max="6924" width="10.5703125" customWidth="1"/>
    <col min="7172" max="7172" width="12.85546875" customWidth="1"/>
    <col min="7173" max="7173" width="58.7109375" customWidth="1"/>
    <col min="7176" max="7176" width="10.42578125" customWidth="1"/>
    <col min="7177" max="7177" width="11.140625" customWidth="1"/>
    <col min="7179" max="7179" width="12" customWidth="1"/>
    <col min="7180" max="7180" width="10.5703125" customWidth="1"/>
    <col min="7428" max="7428" width="12.85546875" customWidth="1"/>
    <col min="7429" max="7429" width="58.7109375" customWidth="1"/>
    <col min="7432" max="7432" width="10.42578125" customWidth="1"/>
    <col min="7433" max="7433" width="11.140625" customWidth="1"/>
    <col min="7435" max="7435" width="12" customWidth="1"/>
    <col min="7436" max="7436" width="10.5703125" customWidth="1"/>
    <col min="7684" max="7684" width="12.85546875" customWidth="1"/>
    <col min="7685" max="7685" width="58.7109375" customWidth="1"/>
    <col min="7688" max="7688" width="10.42578125" customWidth="1"/>
    <col min="7689" max="7689" width="11.140625" customWidth="1"/>
    <col min="7691" max="7691" width="12" customWidth="1"/>
    <col min="7692" max="7692" width="10.5703125" customWidth="1"/>
    <col min="7940" max="7940" width="12.85546875" customWidth="1"/>
    <col min="7941" max="7941" width="58.7109375" customWidth="1"/>
    <col min="7944" max="7944" width="10.42578125" customWidth="1"/>
    <col min="7945" max="7945" width="11.140625" customWidth="1"/>
    <col min="7947" max="7947" width="12" customWidth="1"/>
    <col min="7948" max="7948" width="10.5703125" customWidth="1"/>
    <col min="8196" max="8196" width="12.85546875" customWidth="1"/>
    <col min="8197" max="8197" width="58.7109375" customWidth="1"/>
    <col min="8200" max="8200" width="10.42578125" customWidth="1"/>
    <col min="8201" max="8201" width="11.140625" customWidth="1"/>
    <col min="8203" max="8203" width="12" customWidth="1"/>
    <col min="8204" max="8204" width="10.5703125" customWidth="1"/>
    <col min="8452" max="8452" width="12.85546875" customWidth="1"/>
    <col min="8453" max="8453" width="58.7109375" customWidth="1"/>
    <col min="8456" max="8456" width="10.42578125" customWidth="1"/>
    <col min="8457" max="8457" width="11.140625" customWidth="1"/>
    <col min="8459" max="8459" width="12" customWidth="1"/>
    <col min="8460" max="8460" width="10.5703125" customWidth="1"/>
    <col min="8708" max="8708" width="12.85546875" customWidth="1"/>
    <col min="8709" max="8709" width="58.7109375" customWidth="1"/>
    <col min="8712" max="8712" width="10.42578125" customWidth="1"/>
    <col min="8713" max="8713" width="11.140625" customWidth="1"/>
    <col min="8715" max="8715" width="12" customWidth="1"/>
    <col min="8716" max="8716" width="10.5703125" customWidth="1"/>
    <col min="8964" max="8964" width="12.85546875" customWidth="1"/>
    <col min="8965" max="8965" width="58.7109375" customWidth="1"/>
    <col min="8968" max="8968" width="10.42578125" customWidth="1"/>
    <col min="8969" max="8969" width="11.140625" customWidth="1"/>
    <col min="8971" max="8971" width="12" customWidth="1"/>
    <col min="8972" max="8972" width="10.5703125" customWidth="1"/>
    <col min="9220" max="9220" width="12.85546875" customWidth="1"/>
    <col min="9221" max="9221" width="58.7109375" customWidth="1"/>
    <col min="9224" max="9224" width="10.42578125" customWidth="1"/>
    <col min="9225" max="9225" width="11.140625" customWidth="1"/>
    <col min="9227" max="9227" width="12" customWidth="1"/>
    <col min="9228" max="9228" width="10.5703125" customWidth="1"/>
    <col min="9476" max="9476" width="12.85546875" customWidth="1"/>
    <col min="9477" max="9477" width="58.7109375" customWidth="1"/>
    <col min="9480" max="9480" width="10.42578125" customWidth="1"/>
    <col min="9481" max="9481" width="11.140625" customWidth="1"/>
    <col min="9483" max="9483" width="12" customWidth="1"/>
    <col min="9484" max="9484" width="10.5703125" customWidth="1"/>
    <col min="9732" max="9732" width="12.85546875" customWidth="1"/>
    <col min="9733" max="9733" width="58.7109375" customWidth="1"/>
    <col min="9736" max="9736" width="10.42578125" customWidth="1"/>
    <col min="9737" max="9737" width="11.140625" customWidth="1"/>
    <col min="9739" max="9739" width="12" customWidth="1"/>
    <col min="9740" max="9740" width="10.5703125" customWidth="1"/>
    <col min="9988" max="9988" width="12.85546875" customWidth="1"/>
    <col min="9989" max="9989" width="58.7109375" customWidth="1"/>
    <col min="9992" max="9992" width="10.42578125" customWidth="1"/>
    <col min="9993" max="9993" width="11.140625" customWidth="1"/>
    <col min="9995" max="9995" width="12" customWidth="1"/>
    <col min="9996" max="9996" width="10.5703125" customWidth="1"/>
    <col min="10244" max="10244" width="12.85546875" customWidth="1"/>
    <col min="10245" max="10245" width="58.7109375" customWidth="1"/>
    <col min="10248" max="10248" width="10.42578125" customWidth="1"/>
    <col min="10249" max="10249" width="11.140625" customWidth="1"/>
    <col min="10251" max="10251" width="12" customWidth="1"/>
    <col min="10252" max="10252" width="10.5703125" customWidth="1"/>
    <col min="10500" max="10500" width="12.85546875" customWidth="1"/>
    <col min="10501" max="10501" width="58.7109375" customWidth="1"/>
    <col min="10504" max="10504" width="10.42578125" customWidth="1"/>
    <col min="10505" max="10505" width="11.140625" customWidth="1"/>
    <col min="10507" max="10507" width="12" customWidth="1"/>
    <col min="10508" max="10508" width="10.5703125" customWidth="1"/>
    <col min="10756" max="10756" width="12.85546875" customWidth="1"/>
    <col min="10757" max="10757" width="58.7109375" customWidth="1"/>
    <col min="10760" max="10760" width="10.42578125" customWidth="1"/>
    <col min="10761" max="10761" width="11.140625" customWidth="1"/>
    <col min="10763" max="10763" width="12" customWidth="1"/>
    <col min="10764" max="10764" width="10.5703125" customWidth="1"/>
    <col min="11012" max="11012" width="12.85546875" customWidth="1"/>
    <col min="11013" max="11013" width="58.7109375" customWidth="1"/>
    <col min="11016" max="11016" width="10.42578125" customWidth="1"/>
    <col min="11017" max="11017" width="11.140625" customWidth="1"/>
    <col min="11019" max="11019" width="12" customWidth="1"/>
    <col min="11020" max="11020" width="10.5703125" customWidth="1"/>
    <col min="11268" max="11268" width="12.85546875" customWidth="1"/>
    <col min="11269" max="11269" width="58.7109375" customWidth="1"/>
    <col min="11272" max="11272" width="10.42578125" customWidth="1"/>
    <col min="11273" max="11273" width="11.140625" customWidth="1"/>
    <col min="11275" max="11275" width="12" customWidth="1"/>
    <col min="11276" max="11276" width="10.5703125" customWidth="1"/>
    <col min="11524" max="11524" width="12.85546875" customWidth="1"/>
    <col min="11525" max="11525" width="58.7109375" customWidth="1"/>
    <col min="11528" max="11528" width="10.42578125" customWidth="1"/>
    <col min="11529" max="11529" width="11.140625" customWidth="1"/>
    <col min="11531" max="11531" width="12" customWidth="1"/>
    <col min="11532" max="11532" width="10.5703125" customWidth="1"/>
    <col min="11780" max="11780" width="12.85546875" customWidth="1"/>
    <col min="11781" max="11781" width="58.7109375" customWidth="1"/>
    <col min="11784" max="11784" width="10.42578125" customWidth="1"/>
    <col min="11785" max="11785" width="11.140625" customWidth="1"/>
    <col min="11787" max="11787" width="12" customWidth="1"/>
    <col min="11788" max="11788" width="10.5703125" customWidth="1"/>
    <col min="12036" max="12036" width="12.85546875" customWidth="1"/>
    <col min="12037" max="12037" width="58.7109375" customWidth="1"/>
    <col min="12040" max="12040" width="10.42578125" customWidth="1"/>
    <col min="12041" max="12041" width="11.140625" customWidth="1"/>
    <col min="12043" max="12043" width="12" customWidth="1"/>
    <col min="12044" max="12044" width="10.5703125" customWidth="1"/>
    <col min="12292" max="12292" width="12.85546875" customWidth="1"/>
    <col min="12293" max="12293" width="58.7109375" customWidth="1"/>
    <col min="12296" max="12296" width="10.42578125" customWidth="1"/>
    <col min="12297" max="12297" width="11.140625" customWidth="1"/>
    <col min="12299" max="12299" width="12" customWidth="1"/>
    <col min="12300" max="12300" width="10.5703125" customWidth="1"/>
    <col min="12548" max="12548" width="12.85546875" customWidth="1"/>
    <col min="12549" max="12549" width="58.7109375" customWidth="1"/>
    <col min="12552" max="12552" width="10.42578125" customWidth="1"/>
    <col min="12553" max="12553" width="11.140625" customWidth="1"/>
    <col min="12555" max="12555" width="12" customWidth="1"/>
    <col min="12556" max="12556" width="10.5703125" customWidth="1"/>
    <col min="12804" max="12804" width="12.85546875" customWidth="1"/>
    <col min="12805" max="12805" width="58.7109375" customWidth="1"/>
    <col min="12808" max="12808" width="10.42578125" customWidth="1"/>
    <col min="12809" max="12809" width="11.140625" customWidth="1"/>
    <col min="12811" max="12811" width="12" customWidth="1"/>
    <col min="12812" max="12812" width="10.5703125" customWidth="1"/>
    <col min="13060" max="13060" width="12.85546875" customWidth="1"/>
    <col min="13061" max="13061" width="58.7109375" customWidth="1"/>
    <col min="13064" max="13064" width="10.42578125" customWidth="1"/>
    <col min="13065" max="13065" width="11.140625" customWidth="1"/>
    <col min="13067" max="13067" width="12" customWidth="1"/>
    <col min="13068" max="13068" width="10.5703125" customWidth="1"/>
    <col min="13316" max="13316" width="12.85546875" customWidth="1"/>
    <col min="13317" max="13317" width="58.7109375" customWidth="1"/>
    <col min="13320" max="13320" width="10.42578125" customWidth="1"/>
    <col min="13321" max="13321" width="11.140625" customWidth="1"/>
    <col min="13323" max="13323" width="12" customWidth="1"/>
    <col min="13324" max="13324" width="10.5703125" customWidth="1"/>
    <col min="13572" max="13572" width="12.85546875" customWidth="1"/>
    <col min="13573" max="13573" width="58.7109375" customWidth="1"/>
    <col min="13576" max="13576" width="10.42578125" customWidth="1"/>
    <col min="13577" max="13577" width="11.140625" customWidth="1"/>
    <col min="13579" max="13579" width="12" customWidth="1"/>
    <col min="13580" max="13580" width="10.5703125" customWidth="1"/>
    <col min="13828" max="13828" width="12.85546875" customWidth="1"/>
    <col min="13829" max="13829" width="58.7109375" customWidth="1"/>
    <col min="13832" max="13832" width="10.42578125" customWidth="1"/>
    <col min="13833" max="13833" width="11.140625" customWidth="1"/>
    <col min="13835" max="13835" width="12" customWidth="1"/>
    <col min="13836" max="13836" width="10.5703125" customWidth="1"/>
    <col min="14084" max="14084" width="12.85546875" customWidth="1"/>
    <col min="14085" max="14085" width="58.7109375" customWidth="1"/>
    <col min="14088" max="14088" width="10.42578125" customWidth="1"/>
    <col min="14089" max="14089" width="11.140625" customWidth="1"/>
    <col min="14091" max="14091" width="12" customWidth="1"/>
    <col min="14092" max="14092" width="10.5703125" customWidth="1"/>
    <col min="14340" max="14340" width="12.85546875" customWidth="1"/>
    <col min="14341" max="14341" width="58.7109375" customWidth="1"/>
    <col min="14344" max="14344" width="10.42578125" customWidth="1"/>
    <col min="14345" max="14345" width="11.140625" customWidth="1"/>
    <col min="14347" max="14347" width="12" customWidth="1"/>
    <col min="14348" max="14348" width="10.5703125" customWidth="1"/>
    <col min="14596" max="14596" width="12.85546875" customWidth="1"/>
    <col min="14597" max="14597" width="58.7109375" customWidth="1"/>
    <col min="14600" max="14600" width="10.42578125" customWidth="1"/>
    <col min="14601" max="14601" width="11.140625" customWidth="1"/>
    <col min="14603" max="14603" width="12" customWidth="1"/>
    <col min="14604" max="14604" width="10.5703125" customWidth="1"/>
    <col min="14852" max="14852" width="12.85546875" customWidth="1"/>
    <col min="14853" max="14853" width="58.7109375" customWidth="1"/>
    <col min="14856" max="14856" width="10.42578125" customWidth="1"/>
    <col min="14857" max="14857" width="11.140625" customWidth="1"/>
    <col min="14859" max="14859" width="12" customWidth="1"/>
    <col min="14860" max="14860" width="10.5703125" customWidth="1"/>
    <col min="15108" max="15108" width="12.85546875" customWidth="1"/>
    <col min="15109" max="15109" width="58.7109375" customWidth="1"/>
    <col min="15112" max="15112" width="10.42578125" customWidth="1"/>
    <col min="15113" max="15113" width="11.140625" customWidth="1"/>
    <col min="15115" max="15115" width="12" customWidth="1"/>
    <col min="15116" max="15116" width="10.5703125" customWidth="1"/>
    <col min="15364" max="15364" width="12.85546875" customWidth="1"/>
    <col min="15365" max="15365" width="58.7109375" customWidth="1"/>
    <col min="15368" max="15368" width="10.42578125" customWidth="1"/>
    <col min="15369" max="15369" width="11.140625" customWidth="1"/>
    <col min="15371" max="15371" width="12" customWidth="1"/>
    <col min="15372" max="15372" width="10.5703125" customWidth="1"/>
    <col min="15620" max="15620" width="12.85546875" customWidth="1"/>
    <col min="15621" max="15621" width="58.7109375" customWidth="1"/>
    <col min="15624" max="15624" width="10.42578125" customWidth="1"/>
    <col min="15625" max="15625" width="11.140625" customWidth="1"/>
    <col min="15627" max="15627" width="12" customWidth="1"/>
    <col min="15628" max="15628" width="10.5703125" customWidth="1"/>
    <col min="15876" max="15876" width="12.85546875" customWidth="1"/>
    <col min="15877" max="15877" width="58.7109375" customWidth="1"/>
    <col min="15880" max="15880" width="10.42578125" customWidth="1"/>
    <col min="15881" max="15881" width="11.140625" customWidth="1"/>
    <col min="15883" max="15883" width="12" customWidth="1"/>
    <col min="15884" max="15884" width="10.5703125" customWidth="1"/>
    <col min="16132" max="16132" width="12.85546875" customWidth="1"/>
    <col min="16133" max="16133" width="58.7109375" customWidth="1"/>
    <col min="16136" max="16136" width="10.42578125" customWidth="1"/>
    <col min="16137" max="16137" width="11.140625" customWidth="1"/>
    <col min="16139" max="16139" width="12" customWidth="1"/>
    <col min="16140" max="16140" width="10.5703125" customWidth="1"/>
  </cols>
  <sheetData>
    <row r="1" spans="1:34" ht="45">
      <c r="A1" s="662" t="s">
        <v>225</v>
      </c>
      <c r="Y1" s="229" t="s">
        <v>237</v>
      </c>
      <c r="Z1" s="229" t="s">
        <v>238</v>
      </c>
      <c r="AA1" s="229" t="s">
        <v>240</v>
      </c>
      <c r="AB1" s="229" t="s">
        <v>244</v>
      </c>
      <c r="AC1" s="229" t="s">
        <v>1960</v>
      </c>
      <c r="AD1" s="229" t="s">
        <v>246</v>
      </c>
      <c r="AE1" s="1159" t="s">
        <v>247</v>
      </c>
      <c r="AF1" s="229" t="s">
        <v>266</v>
      </c>
      <c r="AG1" s="229" t="s">
        <v>266</v>
      </c>
      <c r="AH1" s="229" t="s">
        <v>12</v>
      </c>
    </row>
    <row r="2" spans="1:34">
      <c r="A2" s="662" t="s">
        <v>225</v>
      </c>
      <c r="X2" t="s">
        <v>42</v>
      </c>
      <c r="Y2" s="561">
        <f>SUMIFS(N:N,$C:$C,$X2)</f>
        <v>0</v>
      </c>
      <c r="Z2" s="561">
        <f t="shared" ref="Z2:AG5" si="0">SUMIFS(O:O,$C:$C,$X2)</f>
        <v>330000</v>
      </c>
      <c r="AA2" s="561">
        <f t="shared" si="0"/>
        <v>0</v>
      </c>
      <c r="AB2" s="561">
        <f t="shared" si="0"/>
        <v>4650300</v>
      </c>
      <c r="AC2" s="561">
        <f t="shared" si="0"/>
        <v>0</v>
      </c>
      <c r="AD2" s="561">
        <f t="shared" si="0"/>
        <v>1000000</v>
      </c>
      <c r="AE2" s="561">
        <f t="shared" si="0"/>
        <v>0</v>
      </c>
      <c r="AF2" s="561">
        <f t="shared" si="0"/>
        <v>0</v>
      </c>
      <c r="AG2" s="561">
        <f t="shared" si="0"/>
        <v>819000</v>
      </c>
      <c r="AH2" s="66">
        <f>SUM(Y2:AG2)</f>
        <v>6799300</v>
      </c>
    </row>
    <row r="3" spans="1:34">
      <c r="X3" t="s">
        <v>79</v>
      </c>
      <c r="Y3" s="561">
        <f t="shared" ref="Y3:Y5" si="1">SUMIFS(N:N,$C:$C,$X3)</f>
        <v>347182</v>
      </c>
      <c r="Z3" s="561">
        <f t="shared" si="0"/>
        <v>0</v>
      </c>
      <c r="AA3" s="561">
        <f t="shared" si="0"/>
        <v>0</v>
      </c>
      <c r="AB3" s="561">
        <f t="shared" si="0"/>
        <v>776800</v>
      </c>
      <c r="AC3" s="561">
        <f t="shared" si="0"/>
        <v>0</v>
      </c>
      <c r="AD3" s="561">
        <f t="shared" si="0"/>
        <v>0</v>
      </c>
      <c r="AE3" s="561">
        <f t="shared" si="0"/>
        <v>646200</v>
      </c>
      <c r="AF3" s="561">
        <f t="shared" si="0"/>
        <v>0</v>
      </c>
      <c r="AG3" s="561">
        <f t="shared" si="0"/>
        <v>2840400</v>
      </c>
      <c r="AH3" s="66">
        <f t="shared" ref="AH3:AH5" si="2">SUM(Y3:AG3)</f>
        <v>4610582</v>
      </c>
    </row>
    <row r="4" spans="1:34" ht="18.75">
      <c r="A4" s="104" t="s">
        <v>254</v>
      </c>
      <c r="X4" t="s">
        <v>87</v>
      </c>
      <c r="Y4" s="561">
        <f t="shared" si="1"/>
        <v>600000</v>
      </c>
      <c r="Z4" s="561">
        <f t="shared" si="0"/>
        <v>110000</v>
      </c>
      <c r="AA4" s="561">
        <f t="shared" si="0"/>
        <v>0</v>
      </c>
      <c r="AB4" s="561">
        <f t="shared" si="0"/>
        <v>0</v>
      </c>
      <c r="AC4" s="561">
        <f t="shared" si="0"/>
        <v>0</v>
      </c>
      <c r="AD4" s="561">
        <f t="shared" si="0"/>
        <v>0</v>
      </c>
      <c r="AE4" s="561">
        <f t="shared" si="0"/>
        <v>0</v>
      </c>
      <c r="AF4" s="561">
        <f t="shared" si="0"/>
        <v>330000</v>
      </c>
      <c r="AG4" s="561">
        <f t="shared" si="0"/>
        <v>90000</v>
      </c>
      <c r="AH4" s="66">
        <f t="shared" si="2"/>
        <v>1130000</v>
      </c>
    </row>
    <row r="5" spans="1:34">
      <c r="A5" s="662" t="s">
        <v>1777</v>
      </c>
      <c r="X5" t="s">
        <v>92</v>
      </c>
      <c r="Y5" s="561">
        <f t="shared" si="1"/>
        <v>0</v>
      </c>
      <c r="Z5" s="561">
        <f t="shared" si="0"/>
        <v>0</v>
      </c>
      <c r="AA5" s="561">
        <f t="shared" si="0"/>
        <v>0</v>
      </c>
      <c r="AB5" s="561">
        <f t="shared" si="0"/>
        <v>167200</v>
      </c>
      <c r="AC5" s="561">
        <f t="shared" si="0"/>
        <v>330000</v>
      </c>
      <c r="AD5" s="561">
        <f t="shared" si="0"/>
        <v>1500000</v>
      </c>
      <c r="AE5" s="561">
        <f t="shared" si="0"/>
        <v>0</v>
      </c>
      <c r="AF5" s="561">
        <f t="shared" si="0"/>
        <v>0</v>
      </c>
      <c r="AG5" s="561">
        <f t="shared" si="0"/>
        <v>527200</v>
      </c>
      <c r="AH5" s="66">
        <f t="shared" si="2"/>
        <v>2524400</v>
      </c>
    </row>
    <row r="6" spans="1:34">
      <c r="Y6" s="71">
        <f>SUM(Y2:Y5)</f>
        <v>947182</v>
      </c>
      <c r="Z6" s="71">
        <f t="shared" ref="Z6:AH6" si="3">SUM(Z2:Z5)</f>
        <v>440000</v>
      </c>
      <c r="AA6" s="71">
        <f t="shared" si="3"/>
        <v>0</v>
      </c>
      <c r="AB6" s="71">
        <f t="shared" si="3"/>
        <v>5594300</v>
      </c>
      <c r="AC6" s="71">
        <f t="shared" si="3"/>
        <v>330000</v>
      </c>
      <c r="AD6" s="71">
        <f t="shared" si="3"/>
        <v>2500000</v>
      </c>
      <c r="AE6" s="71">
        <f t="shared" si="3"/>
        <v>646200</v>
      </c>
      <c r="AF6" s="71">
        <f t="shared" si="3"/>
        <v>330000</v>
      </c>
      <c r="AG6" s="71">
        <f t="shared" si="3"/>
        <v>4276600</v>
      </c>
      <c r="AH6" s="71">
        <f t="shared" si="3"/>
        <v>15064282</v>
      </c>
    </row>
    <row r="7" spans="1:34">
      <c r="A7" s="1125" t="s">
        <v>226</v>
      </c>
      <c r="B7" s="1127"/>
      <c r="C7" s="1160"/>
      <c r="D7" s="1131" t="s">
        <v>227</v>
      </c>
      <c r="E7" s="1125" t="s">
        <v>255</v>
      </c>
      <c r="F7" s="1127"/>
      <c r="G7" s="1125" t="s">
        <v>228</v>
      </c>
      <c r="H7" s="1127"/>
      <c r="I7" s="1125" t="s">
        <v>229</v>
      </c>
      <c r="J7" s="1127"/>
      <c r="K7" s="1125" t="s">
        <v>230</v>
      </c>
      <c r="L7" s="1127"/>
    </row>
    <row r="8" spans="1:34">
      <c r="A8" s="1129" t="s">
        <v>231</v>
      </c>
      <c r="B8" s="1129" t="s">
        <v>232</v>
      </c>
      <c r="C8" s="1161"/>
      <c r="D8" s="1132"/>
      <c r="E8" s="1129" t="s">
        <v>233</v>
      </c>
      <c r="F8" s="1129" t="s">
        <v>234</v>
      </c>
      <c r="G8" s="1129" t="s">
        <v>233</v>
      </c>
      <c r="H8" s="1129" t="s">
        <v>234</v>
      </c>
      <c r="I8" s="1129" t="s">
        <v>233</v>
      </c>
      <c r="J8" s="1129" t="s">
        <v>234</v>
      </c>
      <c r="K8" s="1129" t="s">
        <v>233</v>
      </c>
      <c r="L8" s="1129" t="s">
        <v>234</v>
      </c>
    </row>
    <row r="9" spans="1:34" ht="30">
      <c r="A9" s="1125" t="s">
        <v>235</v>
      </c>
      <c r="B9" s="1126"/>
      <c r="C9" s="1126"/>
      <c r="D9" s="1126"/>
      <c r="E9" s="1126"/>
      <c r="F9" s="1126"/>
      <c r="G9" s="1126"/>
      <c r="H9" s="1126"/>
      <c r="I9" s="1126"/>
      <c r="J9" s="1126"/>
      <c r="K9" s="1126"/>
      <c r="L9" s="1127"/>
      <c r="M9" s="229" t="s">
        <v>236</v>
      </c>
      <c r="N9" s="229" t="s">
        <v>237</v>
      </c>
      <c r="O9" s="229" t="s">
        <v>238</v>
      </c>
      <c r="P9" s="229" t="s">
        <v>239</v>
      </c>
      <c r="Q9" s="229" t="s">
        <v>240</v>
      </c>
      <c r="R9" s="229" t="s">
        <v>244</v>
      </c>
      <c r="S9" s="229" t="s">
        <v>1960</v>
      </c>
      <c r="T9" s="229" t="s">
        <v>246</v>
      </c>
      <c r="U9" s="1159" t="s">
        <v>247</v>
      </c>
      <c r="V9" s="229" t="s">
        <v>266</v>
      </c>
      <c r="W9" s="229" t="s">
        <v>12</v>
      </c>
      <c r="Z9">
        <v>44254802</v>
      </c>
      <c r="AG9" s="66">
        <f>AF4+AG4</f>
        <v>420000</v>
      </c>
    </row>
    <row r="10" spans="1:34">
      <c r="A10" s="1130" t="s">
        <v>1661</v>
      </c>
      <c r="B10" s="1124" t="s">
        <v>1686</v>
      </c>
      <c r="C10" s="1124"/>
      <c r="D10" s="1124" t="s">
        <v>1687</v>
      </c>
      <c r="E10" s="182">
        <v>3252500</v>
      </c>
      <c r="F10" s="182">
        <v>0</v>
      </c>
      <c r="G10" s="182">
        <v>0</v>
      </c>
      <c r="H10" s="182">
        <v>0</v>
      </c>
      <c r="I10" s="182">
        <v>3252500</v>
      </c>
      <c r="J10" s="182">
        <v>0</v>
      </c>
      <c r="K10" s="182">
        <v>0</v>
      </c>
      <c r="L10" s="182">
        <v>0</v>
      </c>
    </row>
    <row r="11" spans="1:34">
      <c r="A11" s="1130" t="s">
        <v>1661</v>
      </c>
      <c r="B11" s="1124" t="s">
        <v>1688</v>
      </c>
      <c r="C11" s="1124"/>
      <c r="D11" s="1124" t="s">
        <v>1689</v>
      </c>
      <c r="E11" s="182">
        <v>276000</v>
      </c>
      <c r="F11" s="182">
        <v>0</v>
      </c>
      <c r="G11" s="182">
        <v>0</v>
      </c>
      <c r="H11" s="182">
        <v>0</v>
      </c>
      <c r="I11" s="182">
        <v>276000</v>
      </c>
      <c r="J11" s="182">
        <v>0</v>
      </c>
      <c r="K11" s="182">
        <v>0</v>
      </c>
      <c r="L11" s="182">
        <v>0</v>
      </c>
    </row>
    <row r="12" spans="1:34">
      <c r="A12" s="1130" t="s">
        <v>1661</v>
      </c>
      <c r="B12" s="1124" t="s">
        <v>1690</v>
      </c>
      <c r="C12" s="1124"/>
      <c r="D12" s="1124" t="s">
        <v>1691</v>
      </c>
      <c r="E12" s="182">
        <v>1182600</v>
      </c>
      <c r="F12" s="182">
        <v>0</v>
      </c>
      <c r="G12" s="182">
        <v>0</v>
      </c>
      <c r="H12" s="182">
        <v>0</v>
      </c>
      <c r="I12" s="182">
        <v>1182600</v>
      </c>
      <c r="J12" s="182">
        <v>0</v>
      </c>
      <c r="K12" s="182">
        <v>0</v>
      </c>
      <c r="L12" s="182">
        <v>0</v>
      </c>
    </row>
    <row r="13" spans="1:34">
      <c r="A13" s="1130" t="s">
        <v>1661</v>
      </c>
      <c r="B13" s="1124" t="s">
        <v>1662</v>
      </c>
      <c r="C13" s="1124"/>
      <c r="D13" s="1124" t="s">
        <v>1663</v>
      </c>
      <c r="E13" s="182">
        <v>10756145</v>
      </c>
      <c r="F13" s="182">
        <v>0</v>
      </c>
      <c r="G13" s="182">
        <v>0</v>
      </c>
      <c r="H13" s="182">
        <v>0</v>
      </c>
      <c r="I13" s="182">
        <v>10756145</v>
      </c>
      <c r="J13" s="182">
        <v>0</v>
      </c>
      <c r="K13" s="182">
        <v>0</v>
      </c>
      <c r="L13" s="182">
        <v>0</v>
      </c>
    </row>
    <row r="14" spans="1:34">
      <c r="A14" s="1130" t="s">
        <v>1664</v>
      </c>
      <c r="B14" s="1124" t="s">
        <v>1692</v>
      </c>
      <c r="C14" s="1124"/>
      <c r="D14" s="1124" t="s">
        <v>1693</v>
      </c>
      <c r="E14" s="182">
        <v>1780000</v>
      </c>
      <c r="F14" s="182">
        <v>0</v>
      </c>
      <c r="G14" s="182">
        <v>0</v>
      </c>
      <c r="H14" s="182">
        <v>0</v>
      </c>
      <c r="I14" s="182">
        <v>1780000</v>
      </c>
      <c r="J14" s="182">
        <v>0</v>
      </c>
      <c r="K14" s="182">
        <v>0</v>
      </c>
      <c r="L14" s="182">
        <v>0</v>
      </c>
    </row>
    <row r="15" spans="1:34">
      <c r="A15" s="1130" t="s">
        <v>1664</v>
      </c>
      <c r="B15" s="1124" t="s">
        <v>1694</v>
      </c>
      <c r="C15" s="1124"/>
      <c r="D15" s="1124" t="s">
        <v>1695</v>
      </c>
      <c r="E15" s="182">
        <v>1500000</v>
      </c>
      <c r="F15" s="182">
        <v>0</v>
      </c>
      <c r="G15" s="182">
        <v>0</v>
      </c>
      <c r="H15" s="182">
        <v>0</v>
      </c>
      <c r="I15" s="182">
        <v>1500000</v>
      </c>
      <c r="J15" s="182">
        <v>0</v>
      </c>
      <c r="K15" s="182">
        <v>0</v>
      </c>
      <c r="L15" s="182">
        <v>0</v>
      </c>
    </row>
    <row r="16" spans="1:34">
      <c r="A16" s="1130" t="s">
        <v>1664</v>
      </c>
      <c r="B16" s="1124" t="s">
        <v>1696</v>
      </c>
      <c r="C16" s="1124"/>
      <c r="D16" s="1124" t="s">
        <v>1697</v>
      </c>
      <c r="E16" s="182">
        <v>730000</v>
      </c>
      <c r="F16" s="182">
        <v>0</v>
      </c>
      <c r="G16" s="182">
        <v>0</v>
      </c>
      <c r="H16" s="182">
        <v>0</v>
      </c>
      <c r="I16" s="182">
        <v>730000</v>
      </c>
      <c r="J16" s="182">
        <v>0</v>
      </c>
      <c r="K16" s="182">
        <v>0</v>
      </c>
      <c r="L16" s="182">
        <v>0</v>
      </c>
    </row>
    <row r="17" spans="1:12">
      <c r="A17" s="1130" t="s">
        <v>1664</v>
      </c>
      <c r="B17" s="1124" t="s">
        <v>1665</v>
      </c>
      <c r="C17" s="1124"/>
      <c r="D17" s="1124" t="s">
        <v>1666</v>
      </c>
      <c r="E17" s="182">
        <v>24504900</v>
      </c>
      <c r="F17" s="182">
        <v>0</v>
      </c>
      <c r="G17" s="182">
        <v>0</v>
      </c>
      <c r="H17" s="182">
        <v>0</v>
      </c>
      <c r="I17" s="182">
        <v>24504900</v>
      </c>
      <c r="J17" s="182">
        <v>0</v>
      </c>
      <c r="K17" s="182">
        <v>0</v>
      </c>
      <c r="L17" s="182">
        <v>0</v>
      </c>
    </row>
    <row r="18" spans="1:12">
      <c r="A18" s="1130" t="s">
        <v>1667</v>
      </c>
      <c r="B18" s="1124" t="s">
        <v>1698</v>
      </c>
      <c r="C18" s="1124"/>
      <c r="D18" s="1124" t="s">
        <v>1699</v>
      </c>
      <c r="E18" s="182">
        <v>3130000</v>
      </c>
      <c r="F18" s="182">
        <v>0</v>
      </c>
      <c r="G18" s="182">
        <v>0</v>
      </c>
      <c r="H18" s="182">
        <v>0</v>
      </c>
      <c r="I18" s="182">
        <v>3130000</v>
      </c>
      <c r="J18" s="182">
        <v>0</v>
      </c>
      <c r="K18" s="182">
        <v>0</v>
      </c>
      <c r="L18" s="182">
        <v>0</v>
      </c>
    </row>
    <row r="19" spans="1:12">
      <c r="A19" s="1130" t="s">
        <v>1667</v>
      </c>
      <c r="B19" s="1124" t="s">
        <v>1700</v>
      </c>
      <c r="C19" s="1124"/>
      <c r="D19" s="1124" t="s">
        <v>1701</v>
      </c>
      <c r="E19" s="182">
        <v>213000</v>
      </c>
      <c r="F19" s="182">
        <v>0</v>
      </c>
      <c r="G19" s="182">
        <v>0</v>
      </c>
      <c r="H19" s="182">
        <v>0</v>
      </c>
      <c r="I19" s="182">
        <v>213000</v>
      </c>
      <c r="J19" s="182">
        <v>0</v>
      </c>
      <c r="K19" s="182">
        <v>0</v>
      </c>
      <c r="L19" s="182">
        <v>0</v>
      </c>
    </row>
    <row r="20" spans="1:12">
      <c r="A20" s="1130" t="s">
        <v>1667</v>
      </c>
      <c r="B20" s="1124" t="s">
        <v>378</v>
      </c>
      <c r="C20" s="1124"/>
      <c r="D20" s="1124" t="s">
        <v>1668</v>
      </c>
      <c r="E20" s="182">
        <v>2240600</v>
      </c>
      <c r="F20" s="182">
        <v>0</v>
      </c>
      <c r="G20" s="182">
        <v>0</v>
      </c>
      <c r="H20" s="182">
        <v>0</v>
      </c>
      <c r="I20" s="182">
        <v>2240600</v>
      </c>
      <c r="J20" s="182">
        <v>0</v>
      </c>
      <c r="K20" s="182">
        <v>0</v>
      </c>
      <c r="L20" s="182">
        <v>0</v>
      </c>
    </row>
    <row r="21" spans="1:12">
      <c r="A21" s="1130" t="s">
        <v>1669</v>
      </c>
      <c r="B21" s="1124" t="s">
        <v>1702</v>
      </c>
      <c r="C21" s="1124"/>
      <c r="D21" s="1124" t="s">
        <v>1703</v>
      </c>
      <c r="E21" s="182">
        <v>2500000</v>
      </c>
      <c r="F21" s="182">
        <v>0</v>
      </c>
      <c r="G21" s="182">
        <v>0</v>
      </c>
      <c r="H21" s="182">
        <v>0</v>
      </c>
      <c r="I21" s="182">
        <v>2500000</v>
      </c>
      <c r="J21" s="182">
        <v>0</v>
      </c>
      <c r="K21" s="182">
        <v>0</v>
      </c>
      <c r="L21" s="182">
        <v>0</v>
      </c>
    </row>
    <row r="22" spans="1:12">
      <c r="A22" s="1130" t="s">
        <v>1669</v>
      </c>
      <c r="B22" s="1124" t="s">
        <v>1670</v>
      </c>
      <c r="C22" s="1124"/>
      <c r="D22" s="1124" t="s">
        <v>1671</v>
      </c>
      <c r="E22" s="182">
        <v>688700</v>
      </c>
      <c r="F22" s="182">
        <v>0</v>
      </c>
      <c r="G22" s="182">
        <v>0</v>
      </c>
      <c r="H22" s="182">
        <v>0</v>
      </c>
      <c r="I22" s="182">
        <v>688700</v>
      </c>
      <c r="J22" s="182">
        <v>0</v>
      </c>
      <c r="K22" s="182">
        <v>0</v>
      </c>
      <c r="L22" s="182">
        <v>0</v>
      </c>
    </row>
    <row r="23" spans="1:12">
      <c r="A23" s="1130" t="s">
        <v>1669</v>
      </c>
      <c r="B23" s="1124" t="s">
        <v>1672</v>
      </c>
      <c r="C23" s="1124"/>
      <c r="D23" s="1124" t="s">
        <v>1673</v>
      </c>
      <c r="E23" s="182">
        <v>5341200</v>
      </c>
      <c r="F23" s="182">
        <v>0</v>
      </c>
      <c r="G23" s="182">
        <v>0</v>
      </c>
      <c r="H23" s="182">
        <v>0</v>
      </c>
      <c r="I23" s="182">
        <v>5341200</v>
      </c>
      <c r="J23" s="182">
        <v>0</v>
      </c>
      <c r="K23" s="182">
        <v>0</v>
      </c>
      <c r="L23" s="182">
        <v>0</v>
      </c>
    </row>
    <row r="24" spans="1:12">
      <c r="A24" s="1130" t="s">
        <v>1669</v>
      </c>
      <c r="B24" s="1124" t="s">
        <v>1704</v>
      </c>
      <c r="C24" s="1124"/>
      <c r="D24" s="1124" t="s">
        <v>1705</v>
      </c>
      <c r="E24" s="182">
        <v>2105000</v>
      </c>
      <c r="F24" s="182">
        <v>0</v>
      </c>
      <c r="G24" s="182">
        <v>0</v>
      </c>
      <c r="H24" s="182">
        <v>0</v>
      </c>
      <c r="I24" s="182">
        <v>2105000</v>
      </c>
      <c r="J24" s="182">
        <v>0</v>
      </c>
      <c r="K24" s="182">
        <v>0</v>
      </c>
      <c r="L24" s="182">
        <v>0</v>
      </c>
    </row>
    <row r="25" spans="1:12">
      <c r="A25" s="1130" t="s">
        <v>1669</v>
      </c>
      <c r="B25" s="1124" t="s">
        <v>1706</v>
      </c>
      <c r="C25" s="1124"/>
      <c r="D25" s="1124" t="s">
        <v>1707</v>
      </c>
      <c r="E25" s="182">
        <v>84000</v>
      </c>
      <c r="F25" s="182">
        <v>0</v>
      </c>
      <c r="G25" s="182">
        <v>0</v>
      </c>
      <c r="H25" s="182">
        <v>0</v>
      </c>
      <c r="I25" s="182">
        <v>84000</v>
      </c>
      <c r="J25" s="182">
        <v>0</v>
      </c>
      <c r="K25" s="182">
        <v>0</v>
      </c>
      <c r="L25" s="182">
        <v>0</v>
      </c>
    </row>
    <row r="26" spans="1:12">
      <c r="A26" s="1130" t="s">
        <v>1669</v>
      </c>
      <c r="B26" s="1124" t="s">
        <v>1708</v>
      </c>
      <c r="C26" s="1124"/>
      <c r="D26" s="1124" t="s">
        <v>1709</v>
      </c>
      <c r="E26" s="182">
        <v>120000</v>
      </c>
      <c r="F26" s="182">
        <v>0</v>
      </c>
      <c r="G26" s="182">
        <v>0</v>
      </c>
      <c r="H26" s="182">
        <v>0</v>
      </c>
      <c r="I26" s="182">
        <v>120000</v>
      </c>
      <c r="J26" s="182">
        <v>0</v>
      </c>
      <c r="K26" s="182">
        <v>0</v>
      </c>
      <c r="L26" s="182">
        <v>0</v>
      </c>
    </row>
    <row r="27" spans="1:12">
      <c r="A27" s="1130" t="s">
        <v>1669</v>
      </c>
      <c r="B27" s="1124" t="s">
        <v>1710</v>
      </c>
      <c r="C27" s="1124"/>
      <c r="D27" s="1124" t="s">
        <v>1711</v>
      </c>
      <c r="E27" s="182">
        <v>165000</v>
      </c>
      <c r="F27" s="182">
        <v>0</v>
      </c>
      <c r="G27" s="182">
        <v>0</v>
      </c>
      <c r="H27" s="182">
        <v>0</v>
      </c>
      <c r="I27" s="182">
        <v>165000</v>
      </c>
      <c r="J27" s="182">
        <v>0</v>
      </c>
      <c r="K27" s="182">
        <v>0</v>
      </c>
      <c r="L27" s="182">
        <v>0</v>
      </c>
    </row>
    <row r="28" spans="1:12">
      <c r="A28" s="1130" t="s">
        <v>1669</v>
      </c>
      <c r="B28" s="1124" t="s">
        <v>1712</v>
      </c>
      <c r="C28" s="1124"/>
      <c r="D28" s="1124" t="s">
        <v>1713</v>
      </c>
      <c r="E28" s="182">
        <v>150000</v>
      </c>
      <c r="F28" s="182">
        <v>0</v>
      </c>
      <c r="G28" s="182">
        <v>0</v>
      </c>
      <c r="H28" s="182">
        <v>0</v>
      </c>
      <c r="I28" s="182">
        <v>150000</v>
      </c>
      <c r="J28" s="182">
        <v>0</v>
      </c>
      <c r="K28" s="182">
        <v>0</v>
      </c>
      <c r="L28" s="182">
        <v>0</v>
      </c>
    </row>
    <row r="29" spans="1:12">
      <c r="A29" s="1130" t="s">
        <v>1674</v>
      </c>
      <c r="B29" s="1124" t="s">
        <v>328</v>
      </c>
      <c r="C29" s="1124"/>
      <c r="D29" s="1124" t="s">
        <v>1675</v>
      </c>
      <c r="E29" s="182">
        <v>8301966</v>
      </c>
      <c r="F29" s="182">
        <v>0</v>
      </c>
      <c r="G29" s="182">
        <v>0</v>
      </c>
      <c r="H29" s="182">
        <v>0</v>
      </c>
      <c r="I29" s="182">
        <v>8301966</v>
      </c>
      <c r="J29" s="182">
        <v>0</v>
      </c>
      <c r="K29" s="182">
        <v>0</v>
      </c>
      <c r="L29" s="182">
        <v>0</v>
      </c>
    </row>
    <row r="30" spans="1:12">
      <c r="A30" s="1130" t="s">
        <v>1674</v>
      </c>
      <c r="B30" s="1124" t="s">
        <v>332</v>
      </c>
      <c r="C30" s="1124"/>
      <c r="D30" s="1124" t="s">
        <v>1714</v>
      </c>
      <c r="E30" s="182">
        <v>372727</v>
      </c>
      <c r="F30" s="182">
        <v>0</v>
      </c>
      <c r="G30" s="182">
        <v>0</v>
      </c>
      <c r="H30" s="182">
        <v>0</v>
      </c>
      <c r="I30" s="182">
        <v>372727</v>
      </c>
      <c r="J30" s="182">
        <v>0</v>
      </c>
      <c r="K30" s="182">
        <v>0</v>
      </c>
      <c r="L30" s="182">
        <v>0</v>
      </c>
    </row>
    <row r="31" spans="1:12">
      <c r="A31" s="1130" t="s">
        <v>1674</v>
      </c>
      <c r="B31" s="1124" t="s">
        <v>334</v>
      </c>
      <c r="C31" s="1124"/>
      <c r="D31" s="1124" t="s">
        <v>1715</v>
      </c>
      <c r="E31" s="182">
        <v>2081818</v>
      </c>
      <c r="F31" s="182">
        <v>0</v>
      </c>
      <c r="G31" s="182">
        <v>0</v>
      </c>
      <c r="H31" s="182">
        <v>0</v>
      </c>
      <c r="I31" s="182">
        <v>2081818</v>
      </c>
      <c r="J31" s="182">
        <v>0</v>
      </c>
      <c r="K31" s="182">
        <v>0</v>
      </c>
      <c r="L31" s="182">
        <v>0</v>
      </c>
    </row>
    <row r="32" spans="1:12">
      <c r="A32" s="1130" t="s">
        <v>1674</v>
      </c>
      <c r="B32" s="1124" t="s">
        <v>336</v>
      </c>
      <c r="C32" s="1124"/>
      <c r="D32" s="1124" t="s">
        <v>1676</v>
      </c>
      <c r="E32" s="182">
        <v>1292400</v>
      </c>
      <c r="F32" s="182">
        <v>0</v>
      </c>
      <c r="G32" s="182">
        <v>0</v>
      </c>
      <c r="H32" s="182">
        <v>0</v>
      </c>
      <c r="I32" s="182">
        <v>1292400</v>
      </c>
      <c r="J32" s="182">
        <v>0</v>
      </c>
      <c r="K32" s="182">
        <v>0</v>
      </c>
      <c r="L32" s="182">
        <v>0</v>
      </c>
    </row>
    <row r="33" spans="1:12">
      <c r="A33" s="1130" t="s">
        <v>1674</v>
      </c>
      <c r="B33" s="1124" t="s">
        <v>338</v>
      </c>
      <c r="C33" s="1124"/>
      <c r="D33" s="1124" t="s">
        <v>1677</v>
      </c>
      <c r="E33" s="182">
        <v>412000</v>
      </c>
      <c r="F33" s="182">
        <v>0</v>
      </c>
      <c r="G33" s="182">
        <v>0</v>
      </c>
      <c r="H33" s="182">
        <v>0</v>
      </c>
      <c r="I33" s="182">
        <v>412000</v>
      </c>
      <c r="J33" s="182">
        <v>0</v>
      </c>
      <c r="K33" s="182">
        <v>0</v>
      </c>
      <c r="L33" s="182">
        <v>0</v>
      </c>
    </row>
    <row r="34" spans="1:12">
      <c r="A34" s="1130" t="s">
        <v>1678</v>
      </c>
      <c r="B34" s="1124" t="s">
        <v>1679</v>
      </c>
      <c r="C34" s="1124"/>
      <c r="D34" s="1124" t="s">
        <v>1680</v>
      </c>
      <c r="E34" s="182">
        <v>933809</v>
      </c>
      <c r="F34" s="182">
        <v>0</v>
      </c>
      <c r="G34" s="182">
        <v>0</v>
      </c>
      <c r="H34" s="182">
        <v>0</v>
      </c>
      <c r="I34" s="182">
        <v>933809</v>
      </c>
      <c r="J34" s="182">
        <v>0</v>
      </c>
      <c r="K34" s="182">
        <v>0</v>
      </c>
      <c r="L34" s="182">
        <v>0</v>
      </c>
    </row>
    <row r="35" spans="1:12">
      <c r="A35" s="1130" t="s">
        <v>1678</v>
      </c>
      <c r="B35" s="1124" t="s">
        <v>1681</v>
      </c>
      <c r="C35" s="1124"/>
      <c r="D35" s="1124" t="s">
        <v>1682</v>
      </c>
      <c r="E35" s="182">
        <v>4409500</v>
      </c>
      <c r="F35" s="182">
        <v>0</v>
      </c>
      <c r="G35" s="182">
        <v>0</v>
      </c>
      <c r="H35" s="182">
        <v>0</v>
      </c>
      <c r="I35" s="182">
        <v>4409500</v>
      </c>
      <c r="J35" s="182">
        <v>0</v>
      </c>
      <c r="K35" s="182">
        <v>0</v>
      </c>
      <c r="L35" s="182">
        <v>0</v>
      </c>
    </row>
    <row r="36" spans="1:12">
      <c r="A36" s="1130" t="s">
        <v>1678</v>
      </c>
      <c r="B36" s="1124" t="s">
        <v>1683</v>
      </c>
      <c r="C36" s="1124"/>
      <c r="D36" s="1124" t="s">
        <v>1684</v>
      </c>
      <c r="E36" s="182">
        <v>2983600</v>
      </c>
      <c r="F36" s="182">
        <v>0</v>
      </c>
      <c r="G36" s="182">
        <v>0</v>
      </c>
      <c r="H36" s="182">
        <v>0</v>
      </c>
      <c r="I36" s="182">
        <v>2983600</v>
      </c>
      <c r="J36" s="182">
        <v>0</v>
      </c>
      <c r="K36" s="182">
        <v>0</v>
      </c>
      <c r="L36" s="182">
        <v>0</v>
      </c>
    </row>
    <row r="37" spans="1:12" s="68" customFormat="1">
      <c r="A37" s="1137" t="s">
        <v>1778</v>
      </c>
      <c r="B37" s="1138" t="s">
        <v>354</v>
      </c>
      <c r="C37" s="1138"/>
      <c r="D37" s="1138" t="s">
        <v>1779</v>
      </c>
      <c r="E37" s="1139">
        <v>0</v>
      </c>
      <c r="F37" s="1139">
        <v>0</v>
      </c>
      <c r="G37" s="1139">
        <v>9900000</v>
      </c>
      <c r="H37" s="1139">
        <v>0</v>
      </c>
      <c r="I37" s="1139">
        <v>0</v>
      </c>
      <c r="J37" s="1139">
        <v>0</v>
      </c>
      <c r="K37" s="1139">
        <v>9900000</v>
      </c>
      <c r="L37" s="1139">
        <v>0</v>
      </c>
    </row>
    <row r="38" spans="1:12" s="68" customFormat="1">
      <c r="A38" s="1137" t="s">
        <v>1778</v>
      </c>
      <c r="B38" s="1138" t="s">
        <v>356</v>
      </c>
      <c r="C38" s="1138"/>
      <c r="D38" s="1138" t="s">
        <v>1780</v>
      </c>
      <c r="E38" s="1139">
        <v>0</v>
      </c>
      <c r="F38" s="1139">
        <v>0</v>
      </c>
      <c r="G38" s="1139">
        <v>2220000</v>
      </c>
      <c r="H38" s="1139">
        <v>0</v>
      </c>
      <c r="I38" s="1139">
        <v>0</v>
      </c>
      <c r="J38" s="1139">
        <v>0</v>
      </c>
      <c r="K38" s="1139">
        <v>2220000</v>
      </c>
      <c r="L38" s="1139">
        <v>0</v>
      </c>
    </row>
    <row r="39" spans="1:12" s="68" customFormat="1">
      <c r="A39" s="1137" t="s">
        <v>1781</v>
      </c>
      <c r="B39" s="1138" t="s">
        <v>1782</v>
      </c>
      <c r="C39" s="1138"/>
      <c r="D39" s="1138" t="s">
        <v>1783</v>
      </c>
      <c r="E39" s="1139">
        <v>0</v>
      </c>
      <c r="F39" s="1139">
        <v>0</v>
      </c>
      <c r="G39" s="1139">
        <v>1645000</v>
      </c>
      <c r="H39" s="1139">
        <v>0</v>
      </c>
      <c r="I39" s="1139">
        <v>0</v>
      </c>
      <c r="J39" s="1139">
        <v>0</v>
      </c>
      <c r="K39" s="1139">
        <v>1645000</v>
      </c>
      <c r="L39" s="1139">
        <v>0</v>
      </c>
    </row>
    <row r="40" spans="1:12" s="68" customFormat="1">
      <c r="A40" s="1137" t="s">
        <v>1781</v>
      </c>
      <c r="B40" s="1138" t="s">
        <v>393</v>
      </c>
      <c r="C40" s="1138"/>
      <c r="D40" s="1138" t="s">
        <v>1784</v>
      </c>
      <c r="E40" s="1139">
        <v>0</v>
      </c>
      <c r="F40" s="1139">
        <v>0</v>
      </c>
      <c r="G40" s="1139">
        <v>69000</v>
      </c>
      <c r="H40" s="1139">
        <v>0</v>
      </c>
      <c r="I40" s="1139">
        <v>0</v>
      </c>
      <c r="J40" s="1139">
        <v>0</v>
      </c>
      <c r="K40" s="1139">
        <v>69000</v>
      </c>
      <c r="L40" s="1139">
        <v>0</v>
      </c>
    </row>
    <row r="41" spans="1:12">
      <c r="A41" s="1130" t="s">
        <v>1785</v>
      </c>
      <c r="B41" s="1124" t="s">
        <v>1786</v>
      </c>
      <c r="C41" s="1124"/>
      <c r="D41" s="1124" t="s">
        <v>1787</v>
      </c>
      <c r="E41" s="182">
        <v>0</v>
      </c>
      <c r="F41" s="182">
        <v>0</v>
      </c>
      <c r="G41" s="182">
        <v>0</v>
      </c>
      <c r="H41" s="182">
        <v>3504665</v>
      </c>
      <c r="I41" s="182">
        <v>0</v>
      </c>
      <c r="J41" s="182">
        <v>3504665</v>
      </c>
      <c r="K41" s="182">
        <v>0</v>
      </c>
      <c r="L41" s="182">
        <v>0</v>
      </c>
    </row>
    <row r="42" spans="1:12">
      <c r="A42" s="1130" t="s">
        <v>1785</v>
      </c>
      <c r="B42" s="1124" t="s">
        <v>1788</v>
      </c>
      <c r="C42" s="1124"/>
      <c r="D42" s="1124" t="s">
        <v>1789</v>
      </c>
      <c r="E42" s="182">
        <v>0</v>
      </c>
      <c r="F42" s="182">
        <v>0</v>
      </c>
      <c r="G42" s="182">
        <v>0</v>
      </c>
      <c r="H42" s="182">
        <v>851080</v>
      </c>
      <c r="I42" s="182">
        <v>0</v>
      </c>
      <c r="J42" s="182">
        <v>851080</v>
      </c>
      <c r="K42" s="182">
        <v>0</v>
      </c>
      <c r="L42" s="182">
        <v>0</v>
      </c>
    </row>
    <row r="43" spans="1:12">
      <c r="A43" s="1130" t="s">
        <v>1785</v>
      </c>
      <c r="B43" s="1124" t="s">
        <v>1790</v>
      </c>
      <c r="C43" s="1124"/>
      <c r="D43" s="1124" t="s">
        <v>1791</v>
      </c>
      <c r="E43" s="182">
        <v>0</v>
      </c>
      <c r="F43" s="182">
        <v>0</v>
      </c>
      <c r="G43" s="182">
        <v>0</v>
      </c>
      <c r="H43" s="182">
        <v>190820</v>
      </c>
      <c r="I43" s="182">
        <v>0</v>
      </c>
      <c r="J43" s="182">
        <v>190820</v>
      </c>
      <c r="K43" s="182">
        <v>0</v>
      </c>
      <c r="L43" s="182">
        <v>0</v>
      </c>
    </row>
    <row r="44" spans="1:12">
      <c r="A44" s="1130" t="s">
        <v>1792</v>
      </c>
      <c r="B44" s="1124" t="s">
        <v>1793</v>
      </c>
      <c r="C44" s="1124"/>
      <c r="D44" s="1124" t="s">
        <v>1794</v>
      </c>
      <c r="E44" s="182">
        <v>0</v>
      </c>
      <c r="F44" s="182">
        <v>0</v>
      </c>
      <c r="G44" s="182">
        <v>0</v>
      </c>
      <c r="H44" s="182">
        <v>194400</v>
      </c>
      <c r="I44" s="182">
        <v>0</v>
      </c>
      <c r="J44" s="182">
        <v>194400</v>
      </c>
      <c r="K44" s="182">
        <v>0</v>
      </c>
      <c r="L44" s="182">
        <v>0</v>
      </c>
    </row>
    <row r="45" spans="1:12">
      <c r="A45" s="1130" t="s">
        <v>1792</v>
      </c>
      <c r="B45" s="1124" t="s">
        <v>1795</v>
      </c>
      <c r="C45" s="1124"/>
      <c r="D45" s="1124" t="s">
        <v>1796</v>
      </c>
      <c r="E45" s="182">
        <v>0</v>
      </c>
      <c r="F45" s="182">
        <v>0</v>
      </c>
      <c r="G45" s="182">
        <v>0</v>
      </c>
      <c r="H45" s="182">
        <v>403610</v>
      </c>
      <c r="I45" s="182">
        <v>0</v>
      </c>
      <c r="J45" s="182">
        <v>403610</v>
      </c>
      <c r="K45" s="182">
        <v>0</v>
      </c>
      <c r="L45" s="182">
        <v>0</v>
      </c>
    </row>
    <row r="46" spans="1:12">
      <c r="A46" s="1130" t="s">
        <v>1792</v>
      </c>
      <c r="B46" s="1124" t="s">
        <v>1797</v>
      </c>
      <c r="C46" s="1124"/>
      <c r="D46" s="1124" t="s">
        <v>1798</v>
      </c>
      <c r="E46" s="182">
        <v>0</v>
      </c>
      <c r="F46" s="182">
        <v>0</v>
      </c>
      <c r="G46" s="182">
        <v>0</v>
      </c>
      <c r="H46" s="182">
        <v>80920</v>
      </c>
      <c r="I46" s="182">
        <v>0</v>
      </c>
      <c r="J46" s="182">
        <v>80920</v>
      </c>
      <c r="K46" s="182">
        <v>0</v>
      </c>
      <c r="L46" s="182">
        <v>0</v>
      </c>
    </row>
    <row r="47" spans="1:12" s="68" customFormat="1">
      <c r="A47" s="1137" t="s">
        <v>1799</v>
      </c>
      <c r="B47" s="1138" t="s">
        <v>1800</v>
      </c>
      <c r="C47" s="1138"/>
      <c r="D47" s="1138" t="s">
        <v>1801</v>
      </c>
      <c r="E47" s="1139">
        <v>0</v>
      </c>
      <c r="F47" s="1139">
        <v>0</v>
      </c>
      <c r="G47" s="1139">
        <v>6950000</v>
      </c>
      <c r="H47" s="1139">
        <v>0</v>
      </c>
      <c r="I47" s="1139">
        <v>0</v>
      </c>
      <c r="J47" s="1139">
        <v>0</v>
      </c>
      <c r="K47" s="1139">
        <v>6950000</v>
      </c>
      <c r="L47" s="1139">
        <v>0</v>
      </c>
    </row>
    <row r="48" spans="1:12" s="68" customFormat="1">
      <c r="A48" s="1137" t="s">
        <v>1799</v>
      </c>
      <c r="B48" s="1138" t="s">
        <v>1802</v>
      </c>
      <c r="C48" s="1138"/>
      <c r="D48" s="1138" t="s">
        <v>1803</v>
      </c>
      <c r="E48" s="1139">
        <v>0</v>
      </c>
      <c r="F48" s="1139">
        <v>0</v>
      </c>
      <c r="G48" s="1139">
        <v>4000000</v>
      </c>
      <c r="H48" s="1139">
        <v>0</v>
      </c>
      <c r="I48" s="1139">
        <v>0</v>
      </c>
      <c r="J48" s="1139">
        <v>0</v>
      </c>
      <c r="K48" s="1139">
        <v>4000000</v>
      </c>
      <c r="L48" s="1139">
        <v>0</v>
      </c>
    </row>
    <row r="49" spans="1:25">
      <c r="A49" s="1130" t="s">
        <v>1804</v>
      </c>
      <c r="B49" s="1124" t="s">
        <v>1805</v>
      </c>
      <c r="C49" s="1124"/>
      <c r="D49" s="1124" t="s">
        <v>1806</v>
      </c>
      <c r="E49" s="182">
        <v>0</v>
      </c>
      <c r="F49" s="182">
        <v>0</v>
      </c>
      <c r="G49" s="182">
        <v>0</v>
      </c>
      <c r="H49" s="182">
        <v>150000</v>
      </c>
      <c r="I49" s="182">
        <v>0</v>
      </c>
      <c r="J49" s="182">
        <v>150000</v>
      </c>
      <c r="K49" s="182">
        <v>0</v>
      </c>
      <c r="L49" s="182">
        <v>0</v>
      </c>
    </row>
    <row r="50" spans="1:25">
      <c r="A50" s="1130" t="s">
        <v>1804</v>
      </c>
      <c r="B50" s="1124" t="s">
        <v>1807</v>
      </c>
      <c r="C50" s="1124"/>
      <c r="D50" s="1124" t="s">
        <v>1808</v>
      </c>
      <c r="E50" s="182">
        <v>0</v>
      </c>
      <c r="F50" s="182">
        <v>0</v>
      </c>
      <c r="G50" s="182">
        <v>0</v>
      </c>
      <c r="H50" s="182">
        <v>252574</v>
      </c>
      <c r="I50" s="182">
        <v>0</v>
      </c>
      <c r="J50" s="182">
        <v>252574</v>
      </c>
      <c r="K50" s="182">
        <v>0</v>
      </c>
      <c r="L50" s="182">
        <v>0</v>
      </c>
    </row>
    <row r="51" spans="1:25" s="68" customFormat="1">
      <c r="A51" s="1137" t="s">
        <v>1809</v>
      </c>
      <c r="B51" s="1138" t="s">
        <v>1810</v>
      </c>
      <c r="C51" s="1138"/>
      <c r="D51" s="1138" t="s">
        <v>1811</v>
      </c>
      <c r="E51" s="1139">
        <v>0</v>
      </c>
      <c r="F51" s="1139">
        <v>0</v>
      </c>
      <c r="G51" s="1139">
        <v>600000</v>
      </c>
      <c r="H51" s="1139">
        <v>0</v>
      </c>
      <c r="I51" s="1139">
        <v>0</v>
      </c>
      <c r="J51" s="1139">
        <v>0</v>
      </c>
      <c r="K51" s="1139">
        <v>600000</v>
      </c>
      <c r="L51" s="1139">
        <v>0</v>
      </c>
    </row>
    <row r="52" spans="1:25">
      <c r="A52" s="1130" t="s">
        <v>1809</v>
      </c>
      <c r="B52" s="1124" t="s">
        <v>1812</v>
      </c>
      <c r="C52" s="1124"/>
      <c r="D52" s="1124" t="s">
        <v>1813</v>
      </c>
      <c r="E52" s="182">
        <v>0</v>
      </c>
      <c r="F52" s="182">
        <v>0</v>
      </c>
      <c r="G52" s="182">
        <v>0</v>
      </c>
      <c r="H52" s="182">
        <v>5492532</v>
      </c>
      <c r="I52" s="182">
        <v>0</v>
      </c>
      <c r="J52" s="182">
        <v>5492532</v>
      </c>
      <c r="K52" s="182">
        <v>0</v>
      </c>
      <c r="L52" s="182">
        <v>0</v>
      </c>
    </row>
    <row r="53" spans="1:25">
      <c r="A53" s="1130" t="s">
        <v>1809</v>
      </c>
      <c r="B53" s="1124" t="s">
        <v>1814</v>
      </c>
      <c r="C53" s="1124"/>
      <c r="D53" s="1124" t="s">
        <v>1815</v>
      </c>
      <c r="E53" s="182">
        <v>0</v>
      </c>
      <c r="F53" s="182">
        <v>0</v>
      </c>
      <c r="G53" s="182">
        <v>0</v>
      </c>
      <c r="H53" s="182">
        <v>893033573</v>
      </c>
      <c r="I53" s="182">
        <v>0</v>
      </c>
      <c r="J53" s="182">
        <v>893033573</v>
      </c>
      <c r="K53" s="182">
        <v>0</v>
      </c>
      <c r="L53" s="182">
        <v>0</v>
      </c>
    </row>
    <row r="54" spans="1:25">
      <c r="A54" s="1130" t="s">
        <v>1809</v>
      </c>
      <c r="B54" s="1124" t="s">
        <v>1816</v>
      </c>
      <c r="C54" s="1124"/>
      <c r="D54" s="1124" t="s">
        <v>1817</v>
      </c>
      <c r="E54" s="182">
        <v>0</v>
      </c>
      <c r="F54" s="182">
        <v>0</v>
      </c>
      <c r="G54" s="182">
        <v>0</v>
      </c>
      <c r="H54" s="182">
        <v>364712</v>
      </c>
      <c r="I54" s="182">
        <v>0</v>
      </c>
      <c r="J54" s="182">
        <v>364712</v>
      </c>
      <c r="K54" s="182">
        <v>0</v>
      </c>
      <c r="L54" s="182">
        <v>0</v>
      </c>
    </row>
    <row r="55" spans="1:25">
      <c r="A55" s="1130" t="s">
        <v>1809</v>
      </c>
      <c r="B55" s="1124" t="s">
        <v>1818</v>
      </c>
      <c r="C55" s="1124"/>
      <c r="D55" s="1124" t="s">
        <v>1817</v>
      </c>
      <c r="E55" s="182">
        <v>0</v>
      </c>
      <c r="F55" s="182">
        <v>0</v>
      </c>
      <c r="G55" s="182">
        <v>0</v>
      </c>
      <c r="H55" s="182">
        <v>1941132</v>
      </c>
      <c r="I55" s="182">
        <v>0</v>
      </c>
      <c r="J55" s="182">
        <v>1941132</v>
      </c>
      <c r="K55" s="182">
        <v>0</v>
      </c>
      <c r="L55" s="182">
        <v>0</v>
      </c>
    </row>
    <row r="56" spans="1:25">
      <c r="A56" s="1130" t="s">
        <v>1819</v>
      </c>
      <c r="B56" s="1124" t="s">
        <v>1820</v>
      </c>
      <c r="C56" s="1124" t="s">
        <v>87</v>
      </c>
      <c r="D56" s="1124" t="s">
        <v>1821</v>
      </c>
      <c r="E56" s="182">
        <v>0</v>
      </c>
      <c r="F56" s="182">
        <v>0</v>
      </c>
      <c r="G56" s="182">
        <v>1130000</v>
      </c>
      <c r="H56" s="182">
        <v>0</v>
      </c>
      <c r="I56" s="182">
        <v>0</v>
      </c>
      <c r="J56" s="182">
        <v>0</v>
      </c>
      <c r="K56" s="182">
        <v>1130000</v>
      </c>
      <c r="L56" s="182">
        <v>0</v>
      </c>
      <c r="M56" s="561"/>
      <c r="N56" s="561">
        <v>600000</v>
      </c>
      <c r="O56" s="561">
        <v>110000</v>
      </c>
      <c r="P56" s="561"/>
      <c r="Q56" s="561"/>
      <c r="R56" s="561"/>
      <c r="S56" s="561"/>
      <c r="T56" s="561"/>
      <c r="U56" s="561">
        <v>330000</v>
      </c>
      <c r="V56" s="561">
        <v>90000</v>
      </c>
      <c r="W56" s="561">
        <f>SUM(M56:V56)</f>
        <v>1130000</v>
      </c>
      <c r="Y56" t="s">
        <v>1961</v>
      </c>
    </row>
    <row r="57" spans="1:25">
      <c r="A57" s="1130" t="s">
        <v>1819</v>
      </c>
      <c r="B57" s="1124" t="s">
        <v>1822</v>
      </c>
      <c r="C57" s="1124" t="s">
        <v>79</v>
      </c>
      <c r="D57" s="1124" t="s">
        <v>1823</v>
      </c>
      <c r="E57" s="182">
        <v>0</v>
      </c>
      <c r="F57" s="182">
        <v>0</v>
      </c>
      <c r="G57" s="182">
        <v>4610582</v>
      </c>
      <c r="H57" s="182">
        <v>0</v>
      </c>
      <c r="I57" s="182">
        <v>0</v>
      </c>
      <c r="J57" s="182">
        <v>0</v>
      </c>
      <c r="K57" s="182">
        <v>4610582</v>
      </c>
      <c r="L57" s="182">
        <v>0</v>
      </c>
      <c r="M57" s="561"/>
      <c r="N57" s="561">
        <v>347182</v>
      </c>
      <c r="O57" s="561"/>
      <c r="P57" s="561"/>
      <c r="Q57" s="561">
        <f>326800+450000</f>
        <v>776800</v>
      </c>
      <c r="R57" s="561"/>
      <c r="S57" s="561"/>
      <c r="T57" s="561">
        <v>646200</v>
      </c>
      <c r="U57" s="561"/>
      <c r="V57" s="561">
        <f>2840400</f>
        <v>2840400</v>
      </c>
      <c r="W57" s="561">
        <f>SUM(M57:V57)</f>
        <v>4610582</v>
      </c>
    </row>
    <row r="58" spans="1:25">
      <c r="A58" s="1130" t="s">
        <v>1819</v>
      </c>
      <c r="B58" s="1124" t="s">
        <v>1824</v>
      </c>
      <c r="C58" s="1124"/>
      <c r="D58" s="1124" t="s">
        <v>1825</v>
      </c>
      <c r="E58" s="182">
        <v>0</v>
      </c>
      <c r="F58" s="182">
        <v>0</v>
      </c>
      <c r="G58" s="182">
        <v>0</v>
      </c>
      <c r="H58" s="182">
        <v>910340</v>
      </c>
      <c r="I58" s="182">
        <v>0</v>
      </c>
      <c r="J58" s="182">
        <v>910340</v>
      </c>
      <c r="K58" s="182">
        <v>0</v>
      </c>
      <c r="L58" s="182">
        <v>0</v>
      </c>
    </row>
    <row r="59" spans="1:25">
      <c r="A59" s="1130" t="s">
        <v>1819</v>
      </c>
      <c r="B59" s="1124" t="s">
        <v>1826</v>
      </c>
      <c r="C59" s="1124"/>
      <c r="D59" s="1124" t="s">
        <v>1827</v>
      </c>
      <c r="E59" s="182">
        <v>0</v>
      </c>
      <c r="F59" s="182">
        <v>0</v>
      </c>
      <c r="G59" s="182">
        <v>0</v>
      </c>
      <c r="H59" s="182">
        <v>245960</v>
      </c>
      <c r="I59" s="182">
        <v>0</v>
      </c>
      <c r="J59" s="182">
        <v>245960</v>
      </c>
      <c r="K59" s="182">
        <v>0</v>
      </c>
      <c r="L59" s="182">
        <v>0</v>
      </c>
    </row>
    <row r="60" spans="1:25">
      <c r="A60" s="1130" t="s">
        <v>1819</v>
      </c>
      <c r="B60" s="1124" t="s">
        <v>1828</v>
      </c>
      <c r="C60" s="1124"/>
      <c r="D60" s="1124" t="s">
        <v>1829</v>
      </c>
      <c r="E60" s="182">
        <v>0</v>
      </c>
      <c r="F60" s="182">
        <v>0</v>
      </c>
      <c r="G60" s="182">
        <v>0</v>
      </c>
      <c r="H60" s="182">
        <v>74920</v>
      </c>
      <c r="I60" s="182">
        <v>0</v>
      </c>
      <c r="J60" s="182">
        <v>74920</v>
      </c>
      <c r="K60" s="182">
        <v>0</v>
      </c>
      <c r="L60" s="182">
        <v>0</v>
      </c>
    </row>
    <row r="61" spans="1:25">
      <c r="A61" s="1130" t="s">
        <v>1819</v>
      </c>
      <c r="B61" s="1124" t="s">
        <v>1830</v>
      </c>
      <c r="C61" s="1124"/>
      <c r="D61" s="1124" t="s">
        <v>1831</v>
      </c>
      <c r="E61" s="182">
        <v>0</v>
      </c>
      <c r="F61" s="182">
        <v>0</v>
      </c>
      <c r="G61" s="182">
        <v>0</v>
      </c>
      <c r="H61" s="182">
        <v>345895</v>
      </c>
      <c r="I61" s="182">
        <v>0</v>
      </c>
      <c r="J61" s="182">
        <v>345895</v>
      </c>
      <c r="K61" s="182">
        <v>0</v>
      </c>
      <c r="L61" s="182">
        <v>0</v>
      </c>
    </row>
    <row r="62" spans="1:25">
      <c r="A62" s="1130" t="s">
        <v>1819</v>
      </c>
      <c r="B62" s="1124" t="s">
        <v>1832</v>
      </c>
      <c r="C62" s="1124"/>
      <c r="D62" s="1124" t="s">
        <v>1833</v>
      </c>
      <c r="E62" s="182">
        <v>0</v>
      </c>
      <c r="F62" s="182">
        <v>0</v>
      </c>
      <c r="G62" s="182">
        <v>0</v>
      </c>
      <c r="H62" s="182">
        <v>425678</v>
      </c>
      <c r="I62" s="182">
        <v>0</v>
      </c>
      <c r="J62" s="182">
        <v>425678</v>
      </c>
      <c r="K62" s="182">
        <v>0</v>
      </c>
      <c r="L62" s="182">
        <v>0</v>
      </c>
    </row>
    <row r="63" spans="1:25">
      <c r="A63" s="1130" t="s">
        <v>1819</v>
      </c>
      <c r="B63" s="1124" t="s">
        <v>1834</v>
      </c>
      <c r="C63" s="1124"/>
      <c r="D63" s="1124" t="s">
        <v>1835</v>
      </c>
      <c r="E63" s="182">
        <v>0</v>
      </c>
      <c r="F63" s="182">
        <v>0</v>
      </c>
      <c r="G63" s="182">
        <v>0</v>
      </c>
      <c r="H63" s="182">
        <v>3602690</v>
      </c>
      <c r="I63" s="182">
        <v>0</v>
      </c>
      <c r="J63" s="182">
        <v>3602690</v>
      </c>
      <c r="K63" s="182">
        <v>0</v>
      </c>
      <c r="L63" s="182">
        <v>0</v>
      </c>
    </row>
    <row r="64" spans="1:25">
      <c r="A64" s="1130" t="s">
        <v>1836</v>
      </c>
      <c r="B64" s="1124" t="s">
        <v>1837</v>
      </c>
      <c r="C64" s="1124" t="s">
        <v>92</v>
      </c>
      <c r="D64" s="1124" t="s">
        <v>1838</v>
      </c>
      <c r="E64" s="182">
        <v>0</v>
      </c>
      <c r="F64" s="182">
        <v>0</v>
      </c>
      <c r="G64" s="182">
        <v>1743200</v>
      </c>
      <c r="H64" s="182">
        <v>0</v>
      </c>
      <c r="I64" s="182">
        <v>0</v>
      </c>
      <c r="J64" s="182">
        <v>0</v>
      </c>
      <c r="K64" s="182">
        <v>1743200</v>
      </c>
      <c r="L64" s="182">
        <v>0</v>
      </c>
      <c r="M64" s="561"/>
      <c r="N64" s="561"/>
      <c r="O64" s="561"/>
      <c r="P64" s="561"/>
      <c r="Q64" s="561"/>
      <c r="R64" s="561"/>
      <c r="S64" s="561">
        <v>1500000</v>
      </c>
      <c r="T64" s="561"/>
      <c r="U64" s="561"/>
      <c r="V64" s="561">
        <v>243200</v>
      </c>
      <c r="W64" s="561">
        <f t="shared" ref="W64:W66" si="4">SUM(M64:V64)</f>
        <v>1743200</v>
      </c>
    </row>
    <row r="65" spans="1:23">
      <c r="A65" s="1130" t="s">
        <v>1836</v>
      </c>
      <c r="B65" s="1124" t="s">
        <v>1839</v>
      </c>
      <c r="C65" s="1124" t="s">
        <v>92</v>
      </c>
      <c r="D65" s="1124" t="s">
        <v>1840</v>
      </c>
      <c r="E65" s="182">
        <v>0</v>
      </c>
      <c r="F65" s="182">
        <v>0</v>
      </c>
      <c r="G65" s="182">
        <v>330000</v>
      </c>
      <c r="H65" s="182">
        <v>0</v>
      </c>
      <c r="I65" s="182">
        <v>0</v>
      </c>
      <c r="J65" s="182">
        <v>0</v>
      </c>
      <c r="K65" s="182">
        <v>330000</v>
      </c>
      <c r="L65" s="182">
        <v>0</v>
      </c>
      <c r="M65" s="561"/>
      <c r="N65" s="561"/>
      <c r="O65" s="561"/>
      <c r="P65" s="561"/>
      <c r="Q65" s="561"/>
      <c r="R65" s="561">
        <v>330000</v>
      </c>
      <c r="S65" s="561"/>
      <c r="T65" s="561"/>
      <c r="U65" s="561"/>
      <c r="V65" s="561"/>
      <c r="W65" s="561">
        <f t="shared" si="4"/>
        <v>330000</v>
      </c>
    </row>
    <row r="66" spans="1:23">
      <c r="A66" s="1130" t="s">
        <v>1836</v>
      </c>
      <c r="B66" s="1124" t="s">
        <v>1841</v>
      </c>
      <c r="C66" s="1124" t="s">
        <v>92</v>
      </c>
      <c r="D66" s="1124" t="s">
        <v>1842</v>
      </c>
      <c r="E66" s="182">
        <v>0</v>
      </c>
      <c r="F66" s="182">
        <v>0</v>
      </c>
      <c r="G66" s="182">
        <v>451200</v>
      </c>
      <c r="H66" s="182">
        <v>0</v>
      </c>
      <c r="I66" s="182">
        <v>0</v>
      </c>
      <c r="J66" s="182">
        <v>0</v>
      </c>
      <c r="K66" s="182">
        <v>451200</v>
      </c>
      <c r="L66" s="182">
        <v>0</v>
      </c>
      <c r="M66" s="561"/>
      <c r="N66" s="561"/>
      <c r="O66" s="561"/>
      <c r="P66" s="561"/>
      <c r="Q66" s="561">
        <v>167200</v>
      </c>
      <c r="R66" s="561"/>
      <c r="S66" s="561"/>
      <c r="T66" s="561"/>
      <c r="U66" s="561"/>
      <c r="V66" s="561">
        <v>284000</v>
      </c>
      <c r="W66" s="561">
        <f t="shared" si="4"/>
        <v>451200</v>
      </c>
    </row>
    <row r="67" spans="1:23" s="68" customFormat="1">
      <c r="A67" s="1137" t="s">
        <v>1836</v>
      </c>
      <c r="B67" s="1138" t="s">
        <v>1843</v>
      </c>
      <c r="C67" s="1138"/>
      <c r="D67" s="1138" t="s">
        <v>1844</v>
      </c>
      <c r="E67" s="1139">
        <v>0</v>
      </c>
      <c r="F67" s="1139">
        <v>0</v>
      </c>
      <c r="G67" s="1139">
        <v>1480000</v>
      </c>
      <c r="H67" s="1139">
        <v>0</v>
      </c>
      <c r="I67" s="1139">
        <v>0</v>
      </c>
      <c r="J67" s="1139">
        <v>0</v>
      </c>
      <c r="K67" s="1139">
        <v>1480000</v>
      </c>
      <c r="L67" s="1139">
        <v>0</v>
      </c>
    </row>
    <row r="68" spans="1:23" s="68" customFormat="1">
      <c r="A68" s="1137" t="s">
        <v>1836</v>
      </c>
      <c r="B68" s="1138" t="s">
        <v>1845</v>
      </c>
      <c r="C68" s="1138"/>
      <c r="D68" s="1138" t="s">
        <v>1846</v>
      </c>
      <c r="E68" s="1139">
        <v>0</v>
      </c>
      <c r="F68" s="1139">
        <v>0</v>
      </c>
      <c r="G68" s="1139">
        <v>118000</v>
      </c>
      <c r="H68" s="1139">
        <v>0</v>
      </c>
      <c r="I68" s="1139">
        <v>0</v>
      </c>
      <c r="J68" s="1139">
        <v>0</v>
      </c>
      <c r="K68" s="1139">
        <v>118000</v>
      </c>
      <c r="L68" s="1139">
        <v>0</v>
      </c>
    </row>
    <row r="69" spans="1:23" s="68" customFormat="1">
      <c r="A69" s="1137" t="s">
        <v>1836</v>
      </c>
      <c r="B69" s="1138" t="s">
        <v>1847</v>
      </c>
      <c r="C69" s="1138"/>
      <c r="D69" s="1138" t="s">
        <v>1848</v>
      </c>
      <c r="E69" s="1139">
        <v>0</v>
      </c>
      <c r="F69" s="1139">
        <v>0</v>
      </c>
      <c r="G69" s="1139">
        <v>2379000</v>
      </c>
      <c r="H69" s="1139">
        <v>0</v>
      </c>
      <c r="I69" s="1139">
        <v>0</v>
      </c>
      <c r="J69" s="1139">
        <v>0</v>
      </c>
      <c r="K69" s="1139">
        <v>2379000</v>
      </c>
      <c r="L69" s="1139">
        <v>0</v>
      </c>
    </row>
    <row r="70" spans="1:23" s="68" customFormat="1">
      <c r="A70" s="1137" t="s">
        <v>1836</v>
      </c>
      <c r="B70" s="1138" t="s">
        <v>1849</v>
      </c>
      <c r="C70" s="1138"/>
      <c r="D70" s="1138" t="s">
        <v>1850</v>
      </c>
      <c r="E70" s="1139">
        <v>0</v>
      </c>
      <c r="F70" s="1139">
        <v>0</v>
      </c>
      <c r="G70" s="1139">
        <v>123000</v>
      </c>
      <c r="H70" s="1139">
        <v>0</v>
      </c>
      <c r="I70" s="1139">
        <v>0</v>
      </c>
      <c r="J70" s="1139">
        <v>0</v>
      </c>
      <c r="K70" s="1139">
        <v>123000</v>
      </c>
      <c r="L70" s="1139">
        <v>0</v>
      </c>
    </row>
    <row r="71" spans="1:23">
      <c r="A71" s="1130" t="s">
        <v>1836</v>
      </c>
      <c r="B71" s="1124" t="s">
        <v>1851</v>
      </c>
      <c r="C71" s="1124"/>
      <c r="D71" s="1124" t="s">
        <v>1852</v>
      </c>
      <c r="E71" s="182">
        <v>0</v>
      </c>
      <c r="F71" s="182">
        <v>0</v>
      </c>
      <c r="G71" s="182">
        <v>0</v>
      </c>
      <c r="H71" s="182">
        <v>396440</v>
      </c>
      <c r="I71" s="182">
        <v>0</v>
      </c>
      <c r="J71" s="182">
        <v>396440</v>
      </c>
      <c r="K71" s="182">
        <v>0</v>
      </c>
      <c r="L71" s="182">
        <v>0</v>
      </c>
    </row>
    <row r="72" spans="1:23">
      <c r="A72" s="1130" t="s">
        <v>1836</v>
      </c>
      <c r="B72" s="1124" t="s">
        <v>1853</v>
      </c>
      <c r="C72" s="1124"/>
      <c r="D72" s="1124" t="s">
        <v>1854</v>
      </c>
      <c r="E72" s="182">
        <v>0</v>
      </c>
      <c r="F72" s="182">
        <v>0</v>
      </c>
      <c r="G72" s="182">
        <v>0</v>
      </c>
      <c r="H72" s="182">
        <v>365604</v>
      </c>
      <c r="I72" s="182">
        <v>0</v>
      </c>
      <c r="J72" s="182">
        <v>365604</v>
      </c>
      <c r="K72" s="182">
        <v>0</v>
      </c>
      <c r="L72" s="182">
        <v>0</v>
      </c>
    </row>
    <row r="73" spans="1:23">
      <c r="A73" s="1130" t="s">
        <v>1836</v>
      </c>
      <c r="B73" s="1124" t="s">
        <v>1855</v>
      </c>
      <c r="C73" s="1124"/>
      <c r="D73" s="1124" t="s">
        <v>1856</v>
      </c>
      <c r="E73" s="182">
        <v>0</v>
      </c>
      <c r="F73" s="182">
        <v>0</v>
      </c>
      <c r="G73" s="182">
        <v>0</v>
      </c>
      <c r="H73" s="182">
        <v>344898</v>
      </c>
      <c r="I73" s="182">
        <v>0</v>
      </c>
      <c r="J73" s="182">
        <v>344898</v>
      </c>
      <c r="K73" s="182">
        <v>0</v>
      </c>
      <c r="L73" s="182">
        <v>0</v>
      </c>
    </row>
    <row r="74" spans="1:23">
      <c r="A74" s="1130" t="s">
        <v>1836</v>
      </c>
      <c r="B74" s="1124" t="s">
        <v>1857</v>
      </c>
      <c r="C74" s="1124"/>
      <c r="D74" s="1124" t="s">
        <v>1858</v>
      </c>
      <c r="E74" s="182">
        <v>0</v>
      </c>
      <c r="F74" s="182">
        <v>0</v>
      </c>
      <c r="G74" s="182">
        <v>0</v>
      </c>
      <c r="H74" s="182">
        <v>318960</v>
      </c>
      <c r="I74" s="182">
        <v>0</v>
      </c>
      <c r="J74" s="182">
        <v>318960</v>
      </c>
      <c r="K74" s="182">
        <v>0</v>
      </c>
      <c r="L74" s="182">
        <v>0</v>
      </c>
    </row>
    <row r="75" spans="1:23">
      <c r="A75" s="1130" t="s">
        <v>1836</v>
      </c>
      <c r="B75" s="1124" t="s">
        <v>1859</v>
      </c>
      <c r="C75" s="1124"/>
      <c r="D75" s="1124" t="s">
        <v>1860</v>
      </c>
      <c r="E75" s="182">
        <v>0</v>
      </c>
      <c r="F75" s="182">
        <v>0</v>
      </c>
      <c r="G75" s="182">
        <v>0</v>
      </c>
      <c r="H75" s="182">
        <v>88619</v>
      </c>
      <c r="I75" s="182">
        <v>0</v>
      </c>
      <c r="J75" s="182">
        <v>88619</v>
      </c>
      <c r="K75" s="182">
        <v>0</v>
      </c>
      <c r="L75" s="182">
        <v>0</v>
      </c>
    </row>
    <row r="76" spans="1:23">
      <c r="A76" s="1130" t="s">
        <v>1836</v>
      </c>
      <c r="B76" s="1124" t="s">
        <v>1861</v>
      </c>
      <c r="C76" s="1124"/>
      <c r="D76" s="1124" t="s">
        <v>1862</v>
      </c>
      <c r="E76" s="182">
        <v>0</v>
      </c>
      <c r="F76" s="182">
        <v>0</v>
      </c>
      <c r="G76" s="182">
        <v>0</v>
      </c>
      <c r="H76" s="182">
        <v>6600</v>
      </c>
      <c r="I76" s="182">
        <v>0</v>
      </c>
      <c r="J76" s="182">
        <v>6600</v>
      </c>
      <c r="K76" s="182">
        <v>0</v>
      </c>
      <c r="L76" s="182">
        <v>0</v>
      </c>
    </row>
    <row r="77" spans="1:23">
      <c r="A77" s="1130" t="s">
        <v>1836</v>
      </c>
      <c r="B77" s="1124" t="s">
        <v>1863</v>
      </c>
      <c r="C77" s="1124"/>
      <c r="D77" s="1124" t="s">
        <v>1864</v>
      </c>
      <c r="E77" s="182">
        <v>0</v>
      </c>
      <c r="F77" s="182">
        <v>0</v>
      </c>
      <c r="G77" s="182">
        <v>0</v>
      </c>
      <c r="H77" s="182">
        <v>52800</v>
      </c>
      <c r="I77" s="182">
        <v>0</v>
      </c>
      <c r="J77" s="182">
        <v>52800</v>
      </c>
      <c r="K77" s="182">
        <v>0</v>
      </c>
      <c r="L77" s="182">
        <v>0</v>
      </c>
    </row>
    <row r="78" spans="1:23">
      <c r="A78" s="1130" t="s">
        <v>1836</v>
      </c>
      <c r="B78" s="1124" t="s">
        <v>1865</v>
      </c>
      <c r="C78" s="1124"/>
      <c r="D78" s="1124" t="s">
        <v>1866</v>
      </c>
      <c r="E78" s="182">
        <v>0</v>
      </c>
      <c r="F78" s="182">
        <v>0</v>
      </c>
      <c r="G78" s="182">
        <v>0</v>
      </c>
      <c r="H78" s="182">
        <v>1331267</v>
      </c>
      <c r="I78" s="182">
        <v>0</v>
      </c>
      <c r="J78" s="182">
        <v>1331267</v>
      </c>
      <c r="K78" s="182">
        <v>0</v>
      </c>
      <c r="L78" s="182">
        <v>0</v>
      </c>
    </row>
    <row r="79" spans="1:23">
      <c r="A79" s="1130" t="s">
        <v>1836</v>
      </c>
      <c r="B79" s="1124" t="s">
        <v>1867</v>
      </c>
      <c r="C79" s="1124"/>
      <c r="D79" s="1124" t="s">
        <v>1868</v>
      </c>
      <c r="E79" s="182">
        <v>0</v>
      </c>
      <c r="F79" s="182">
        <v>0</v>
      </c>
      <c r="G79" s="182">
        <v>0</v>
      </c>
      <c r="H79" s="182">
        <v>1510889</v>
      </c>
      <c r="I79" s="182">
        <v>0</v>
      </c>
      <c r="J79" s="182">
        <v>1510889</v>
      </c>
      <c r="K79" s="182">
        <v>0</v>
      </c>
      <c r="L79" s="182">
        <v>0</v>
      </c>
    </row>
    <row r="80" spans="1:23">
      <c r="A80" s="1130" t="s">
        <v>1836</v>
      </c>
      <c r="B80" s="1124" t="s">
        <v>1869</v>
      </c>
      <c r="C80" s="1124"/>
      <c r="D80" s="1124" t="s">
        <v>1870</v>
      </c>
      <c r="E80" s="182">
        <v>0</v>
      </c>
      <c r="F80" s="182">
        <v>0</v>
      </c>
      <c r="G80" s="182">
        <v>0</v>
      </c>
      <c r="H80" s="182">
        <v>105660</v>
      </c>
      <c r="I80" s="182">
        <v>0</v>
      </c>
      <c r="J80" s="182">
        <v>105660</v>
      </c>
      <c r="K80" s="182">
        <v>0</v>
      </c>
      <c r="L80" s="182">
        <v>0</v>
      </c>
    </row>
    <row r="81" spans="1:23">
      <c r="A81" s="1130" t="s">
        <v>1871</v>
      </c>
      <c r="B81" s="1124" t="s">
        <v>1872</v>
      </c>
      <c r="C81" s="1124"/>
      <c r="D81" s="1124" t="s">
        <v>1873</v>
      </c>
      <c r="E81" s="182">
        <v>0</v>
      </c>
      <c r="F81" s="182">
        <v>0</v>
      </c>
      <c r="G81" s="182">
        <v>0</v>
      </c>
      <c r="H81" s="182">
        <v>593523</v>
      </c>
      <c r="I81" s="182">
        <v>0</v>
      </c>
      <c r="J81" s="182">
        <v>593523</v>
      </c>
      <c r="K81" s="182">
        <v>0</v>
      </c>
      <c r="L81" s="182">
        <v>0</v>
      </c>
    </row>
    <row r="82" spans="1:23">
      <c r="A82" s="1130" t="s">
        <v>1874</v>
      </c>
      <c r="B82" s="1124" t="s">
        <v>1875</v>
      </c>
      <c r="C82" s="1124" t="s">
        <v>42</v>
      </c>
      <c r="D82" s="1124" t="s">
        <v>1876</v>
      </c>
      <c r="E82" s="182">
        <v>0</v>
      </c>
      <c r="F82" s="182">
        <v>0</v>
      </c>
      <c r="G82" s="182">
        <v>6799300</v>
      </c>
      <c r="H82" s="182">
        <v>0</v>
      </c>
      <c r="I82" s="182">
        <v>0</v>
      </c>
      <c r="J82" s="182">
        <v>0</v>
      </c>
      <c r="K82" s="182">
        <v>6799300</v>
      </c>
      <c r="L82" s="182">
        <v>0</v>
      </c>
      <c r="M82" s="561"/>
      <c r="N82" s="561"/>
      <c r="O82" s="561">
        <f>330000</f>
        <v>330000</v>
      </c>
      <c r="P82" s="561"/>
      <c r="Q82" s="561">
        <f>1066800+3583500</f>
        <v>4650300</v>
      </c>
      <c r="R82" s="561"/>
      <c r="S82" s="561">
        <f>500000+500000</f>
        <v>1000000</v>
      </c>
      <c r="T82" s="561"/>
      <c r="U82" s="561"/>
      <c r="V82" s="561">
        <f>243200+575800</f>
        <v>819000</v>
      </c>
      <c r="W82" s="561">
        <f>SUM(M82:V82)</f>
        <v>6799300</v>
      </c>
    </row>
    <row r="83" spans="1:23">
      <c r="A83" s="1130" t="s">
        <v>1874</v>
      </c>
      <c r="B83" s="1124" t="s">
        <v>1877</v>
      </c>
      <c r="C83" s="1124"/>
      <c r="D83" s="1124" t="s">
        <v>1878</v>
      </c>
      <c r="E83" s="182">
        <v>0</v>
      </c>
      <c r="F83" s="182">
        <v>0</v>
      </c>
      <c r="G83" s="182">
        <v>0</v>
      </c>
      <c r="H83" s="182">
        <v>119200</v>
      </c>
      <c r="I83" s="182">
        <v>0</v>
      </c>
      <c r="J83" s="182">
        <v>119200</v>
      </c>
      <c r="K83" s="182">
        <v>0</v>
      </c>
      <c r="L83" s="182">
        <v>0</v>
      </c>
    </row>
    <row r="84" spans="1:23">
      <c r="A84" s="1130" t="s">
        <v>1874</v>
      </c>
      <c r="B84" s="1124" t="s">
        <v>1879</v>
      </c>
      <c r="C84" s="1124"/>
      <c r="D84" s="1124" t="s">
        <v>1880</v>
      </c>
      <c r="E84" s="182">
        <v>0</v>
      </c>
      <c r="F84" s="182">
        <v>0</v>
      </c>
      <c r="G84" s="182">
        <v>0</v>
      </c>
      <c r="H84" s="182">
        <v>295160</v>
      </c>
      <c r="I84" s="182">
        <v>0</v>
      </c>
      <c r="J84" s="182">
        <v>295160</v>
      </c>
      <c r="K84" s="182">
        <v>0</v>
      </c>
      <c r="L84" s="182">
        <v>0</v>
      </c>
    </row>
    <row r="85" spans="1:23">
      <c r="A85" s="1130" t="s">
        <v>1874</v>
      </c>
      <c r="B85" s="1124" t="s">
        <v>1881</v>
      </c>
      <c r="C85" s="1124"/>
      <c r="D85" s="1124" t="s">
        <v>1882</v>
      </c>
      <c r="E85" s="182">
        <v>0</v>
      </c>
      <c r="F85" s="182">
        <v>0</v>
      </c>
      <c r="G85" s="182">
        <v>0</v>
      </c>
      <c r="H85" s="182">
        <v>747520</v>
      </c>
      <c r="I85" s="182">
        <v>0</v>
      </c>
      <c r="J85" s="182">
        <v>747520</v>
      </c>
      <c r="K85" s="182">
        <v>0</v>
      </c>
      <c r="L85" s="182">
        <v>0</v>
      </c>
    </row>
    <row r="86" spans="1:23">
      <c r="A86" s="1130" t="s">
        <v>1874</v>
      </c>
      <c r="B86" s="1124" t="s">
        <v>1883</v>
      </c>
      <c r="C86" s="1124"/>
      <c r="D86" s="1124" t="s">
        <v>1884</v>
      </c>
      <c r="E86" s="182">
        <v>0</v>
      </c>
      <c r="F86" s="182">
        <v>0</v>
      </c>
      <c r="G86" s="182">
        <v>0</v>
      </c>
      <c r="H86" s="182">
        <v>226390</v>
      </c>
      <c r="I86" s="182">
        <v>0</v>
      </c>
      <c r="J86" s="182">
        <v>226390</v>
      </c>
      <c r="K86" s="182">
        <v>0</v>
      </c>
      <c r="L86" s="182">
        <v>0</v>
      </c>
    </row>
    <row r="87" spans="1:23">
      <c r="A87" s="1130" t="s">
        <v>1874</v>
      </c>
      <c r="B87" s="1124" t="s">
        <v>1885</v>
      </c>
      <c r="C87" s="1124"/>
      <c r="D87" s="1124" t="s">
        <v>1886</v>
      </c>
      <c r="E87" s="182">
        <v>0</v>
      </c>
      <c r="F87" s="182">
        <v>0</v>
      </c>
      <c r="G87" s="182">
        <v>0</v>
      </c>
      <c r="H87" s="182">
        <v>359684</v>
      </c>
      <c r="I87" s="182">
        <v>0</v>
      </c>
      <c r="J87" s="182">
        <v>359684</v>
      </c>
      <c r="K87" s="182">
        <v>0</v>
      </c>
      <c r="L87" s="182">
        <v>0</v>
      </c>
    </row>
    <row r="88" spans="1:23">
      <c r="A88" s="1130" t="s">
        <v>1874</v>
      </c>
      <c r="B88" s="1124" t="s">
        <v>1887</v>
      </c>
      <c r="C88" s="1124"/>
      <c r="D88" s="1124" t="s">
        <v>1888</v>
      </c>
      <c r="E88" s="182">
        <v>0</v>
      </c>
      <c r="F88" s="182">
        <v>0</v>
      </c>
      <c r="G88" s="182">
        <v>0</v>
      </c>
      <c r="H88" s="182">
        <v>209680</v>
      </c>
      <c r="I88" s="182">
        <v>0</v>
      </c>
      <c r="J88" s="182">
        <v>209680</v>
      </c>
      <c r="K88" s="182">
        <v>0</v>
      </c>
      <c r="L88" s="182">
        <v>0</v>
      </c>
    </row>
    <row r="89" spans="1:23">
      <c r="A89" s="1130" t="s">
        <v>1889</v>
      </c>
      <c r="B89" s="1124" t="s">
        <v>1890</v>
      </c>
      <c r="C89" s="1124"/>
      <c r="D89" s="1124" t="s">
        <v>1891</v>
      </c>
      <c r="E89" s="182">
        <v>0</v>
      </c>
      <c r="F89" s="182">
        <v>0</v>
      </c>
      <c r="G89" s="182">
        <v>0</v>
      </c>
      <c r="H89" s="182">
        <v>750400</v>
      </c>
      <c r="I89" s="182">
        <v>0</v>
      </c>
      <c r="J89" s="182">
        <v>750400</v>
      </c>
      <c r="K89" s="182">
        <v>0</v>
      </c>
      <c r="L89" s="182">
        <v>0</v>
      </c>
    </row>
    <row r="90" spans="1:23">
      <c r="A90" s="1130" t="s">
        <v>1889</v>
      </c>
      <c r="B90" s="1124" t="s">
        <v>1892</v>
      </c>
      <c r="C90" s="1124"/>
      <c r="D90" s="1124" t="s">
        <v>1893</v>
      </c>
      <c r="E90" s="182">
        <v>0</v>
      </c>
      <c r="F90" s="182">
        <v>0</v>
      </c>
      <c r="G90" s="182">
        <v>0</v>
      </c>
      <c r="H90" s="182">
        <v>2065750</v>
      </c>
      <c r="I90" s="182">
        <v>0</v>
      </c>
      <c r="J90" s="182">
        <v>2065750</v>
      </c>
      <c r="K90" s="182">
        <v>0</v>
      </c>
      <c r="L90" s="182">
        <v>0</v>
      </c>
    </row>
    <row r="91" spans="1:23">
      <c r="A91" s="1130" t="s">
        <v>1889</v>
      </c>
      <c r="B91" s="1124" t="s">
        <v>1894</v>
      </c>
      <c r="C91" s="1124"/>
      <c r="D91" s="1124" t="s">
        <v>1895</v>
      </c>
      <c r="E91" s="182">
        <v>0</v>
      </c>
      <c r="F91" s="182">
        <v>0</v>
      </c>
      <c r="G91" s="182">
        <v>0</v>
      </c>
      <c r="H91" s="182">
        <v>2000000</v>
      </c>
      <c r="I91" s="182">
        <v>0</v>
      </c>
      <c r="J91" s="182">
        <v>2000000</v>
      </c>
      <c r="K91" s="182">
        <v>0</v>
      </c>
      <c r="L91" s="182">
        <v>0</v>
      </c>
    </row>
    <row r="92" spans="1:23">
      <c r="A92" s="1130" t="s">
        <v>1889</v>
      </c>
      <c r="B92" s="1124" t="s">
        <v>1896</v>
      </c>
      <c r="C92" s="1124"/>
      <c r="D92" s="1124" t="s">
        <v>1897</v>
      </c>
      <c r="E92" s="182">
        <v>0</v>
      </c>
      <c r="F92" s="182">
        <v>0</v>
      </c>
      <c r="G92" s="182">
        <v>0</v>
      </c>
      <c r="H92" s="182">
        <v>728560</v>
      </c>
      <c r="I92" s="182">
        <v>0</v>
      </c>
      <c r="J92" s="182">
        <v>728560</v>
      </c>
      <c r="K92" s="182">
        <v>0</v>
      </c>
      <c r="L92" s="182">
        <v>0</v>
      </c>
    </row>
    <row r="93" spans="1:23">
      <c r="A93" s="1125" t="s">
        <v>404</v>
      </c>
      <c r="B93" s="1126"/>
      <c r="C93" s="1126"/>
      <c r="D93" s="1127"/>
      <c r="E93" s="182">
        <v>81507465</v>
      </c>
      <c r="F93" s="182">
        <v>0</v>
      </c>
      <c r="G93" s="182">
        <v>44548282</v>
      </c>
      <c r="H93" s="182">
        <v>924683105</v>
      </c>
      <c r="I93" s="182">
        <v>81507465</v>
      </c>
      <c r="J93" s="182">
        <v>924683105</v>
      </c>
      <c r="K93" s="1158">
        <v>44548282</v>
      </c>
      <c r="L93" s="182">
        <v>0</v>
      </c>
      <c r="M93" s="561">
        <f>SUM(M56:M82)</f>
        <v>0</v>
      </c>
      <c r="N93" s="64">
        <f t="shared" ref="N93:V93" si="5">SUM(N56:N82)</f>
        <v>947182</v>
      </c>
      <c r="O93" s="64">
        <f t="shared" si="5"/>
        <v>440000</v>
      </c>
      <c r="P93" s="561">
        <f t="shared" si="5"/>
        <v>0</v>
      </c>
      <c r="Q93" s="64">
        <f t="shared" si="5"/>
        <v>5594300</v>
      </c>
      <c r="R93" s="64">
        <f t="shared" si="5"/>
        <v>330000</v>
      </c>
      <c r="S93" s="64">
        <f t="shared" si="5"/>
        <v>2500000</v>
      </c>
      <c r="T93" s="64">
        <f t="shared" si="5"/>
        <v>646200</v>
      </c>
      <c r="U93" s="64">
        <f t="shared" si="5"/>
        <v>330000</v>
      </c>
      <c r="V93" s="64">
        <f t="shared" si="5"/>
        <v>4276600</v>
      </c>
      <c r="W93" s="561">
        <f t="shared" ref="W93" si="6">SUM(M93:V93)</f>
        <v>15064282</v>
      </c>
    </row>
    <row r="94" spans="1:23">
      <c r="A94" s="1125" t="s">
        <v>257</v>
      </c>
      <c r="B94" s="1126"/>
      <c r="C94" s="1126"/>
      <c r="D94" s="1127"/>
      <c r="E94" s="182">
        <v>81507465</v>
      </c>
      <c r="F94" s="182">
        <v>0</v>
      </c>
      <c r="G94" s="182">
        <v>44548282</v>
      </c>
      <c r="H94" s="182">
        <v>924683105</v>
      </c>
      <c r="I94" s="182">
        <v>81507465</v>
      </c>
      <c r="J94" s="182">
        <v>924683105</v>
      </c>
      <c r="K94" s="182">
        <v>44548282</v>
      </c>
      <c r="L94" s="182">
        <v>0</v>
      </c>
      <c r="W94" s="561"/>
    </row>
    <row r="95" spans="1:23">
      <c r="A95" s="1125" t="s">
        <v>258</v>
      </c>
      <c r="B95" s="1126"/>
      <c r="C95" s="1126"/>
      <c r="D95" s="1127"/>
      <c r="E95" s="668">
        <v>81507465</v>
      </c>
      <c r="F95" s="668">
        <v>0</v>
      </c>
      <c r="G95" s="668">
        <v>44548282</v>
      </c>
      <c r="H95" s="668">
        <v>924683105</v>
      </c>
      <c r="I95" s="668">
        <v>81507465</v>
      </c>
      <c r="J95" s="668">
        <v>924683105</v>
      </c>
      <c r="K95" s="668">
        <v>44548282</v>
      </c>
      <c r="L95" s="668">
        <v>0</v>
      </c>
    </row>
    <row r="97" spans="2:11">
      <c r="K97" s="110" t="s">
        <v>1898</v>
      </c>
    </row>
    <row r="98" spans="2:11">
      <c r="D98" s="662" t="s">
        <v>248</v>
      </c>
      <c r="K98" s="662" t="s">
        <v>249</v>
      </c>
    </row>
    <row r="99" spans="2:11">
      <c r="D99" s="662" t="s">
        <v>250</v>
      </c>
      <c r="G99" s="67">
        <f>G56+G57+G64+G65+G66+G82</f>
        <v>15064282</v>
      </c>
      <c r="K99" s="662" t="s">
        <v>251</v>
      </c>
    </row>
    <row r="100" spans="2:11">
      <c r="B100" s="1124" t="s">
        <v>1899</v>
      </c>
      <c r="C100" s="1162"/>
    </row>
    <row r="101" spans="2:11">
      <c r="B101" s="1124" t="s">
        <v>1901</v>
      </c>
      <c r="C101" s="1162"/>
      <c r="G101" s="67">
        <f>G99+'338888_TV_T10'!G21</f>
        <v>44254802</v>
      </c>
    </row>
    <row r="102" spans="2:11">
      <c r="B102" s="1124" t="s">
        <v>1903</v>
      </c>
      <c r="C102" s="1162"/>
    </row>
    <row r="103" spans="2:11">
      <c r="B103" s="1124" t="s">
        <v>1820</v>
      </c>
      <c r="C103" s="1162"/>
    </row>
    <row r="104" spans="2:11">
      <c r="B104" s="1124" t="s">
        <v>1822</v>
      </c>
      <c r="C104" s="1162"/>
      <c r="D104" s="662" t="s">
        <v>252</v>
      </c>
      <c r="K104" s="662" t="s">
        <v>253</v>
      </c>
    </row>
    <row r="105" spans="2:11">
      <c r="B105" s="1124" t="s">
        <v>1837</v>
      </c>
      <c r="C105" s="1162"/>
    </row>
    <row r="106" spans="2:11">
      <c r="B106" s="1124" t="s">
        <v>1839</v>
      </c>
      <c r="C106" s="1162"/>
    </row>
    <row r="107" spans="2:11">
      <c r="B107" s="1124" t="s">
        <v>1841</v>
      </c>
      <c r="C107" s="1162"/>
    </row>
    <row r="108" spans="2:11">
      <c r="B108" s="1124" t="s">
        <v>1875</v>
      </c>
      <c r="C108" s="1162"/>
    </row>
  </sheetData>
  <conditionalFormatting sqref="B1:C1048576">
    <cfRule type="duplicateValues" dxfId="71" priority="1"/>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3"/>
  <sheetViews>
    <sheetView topLeftCell="A58" workbookViewId="0">
      <selection activeCell="E68" sqref="E68"/>
    </sheetView>
  </sheetViews>
  <sheetFormatPr defaultColWidth="9.140625" defaultRowHeight="15"/>
  <cols>
    <col min="2" max="2" width="11.5703125" customWidth="1"/>
    <col min="3" max="3" width="6.28515625" customWidth="1"/>
    <col min="4" max="4" width="20.7109375" customWidth="1"/>
    <col min="5" max="5" width="12.28515625" customWidth="1"/>
    <col min="6" max="6" width="9.140625" customWidth="1"/>
    <col min="7" max="7" width="12.140625" customWidth="1"/>
    <col min="8" max="8" width="12.42578125" customWidth="1"/>
    <col min="9" max="9" width="11.85546875" customWidth="1"/>
    <col min="10" max="12" width="9.140625" customWidth="1"/>
    <col min="13" max="13" width="3.140625" customWidth="1"/>
    <col min="14" max="14" width="11.5703125" bestFit="1" customWidth="1"/>
    <col min="15" max="15" width="11.7109375" customWidth="1"/>
    <col min="16" max="17" width="10.5703125" bestFit="1" customWidth="1"/>
    <col min="18" max="18" width="11.5703125" bestFit="1" customWidth="1"/>
    <col min="21" max="21" width="12.42578125" customWidth="1"/>
    <col min="24" max="24" width="10.5703125" bestFit="1" customWidth="1"/>
    <col min="26" max="26" width="11.5703125" customWidth="1"/>
    <col min="28" max="28" width="10.5703125" bestFit="1" customWidth="1"/>
    <col min="29" max="29" width="15.42578125" style="65" customWidth="1"/>
    <col min="30" max="30" width="11.5703125" bestFit="1" customWidth="1"/>
  </cols>
  <sheetData>
    <row r="1" spans="1:29">
      <c r="A1" s="1044" t="s">
        <v>225</v>
      </c>
    </row>
    <row r="2" spans="1:29">
      <c r="A2" s="1044" t="s">
        <v>225</v>
      </c>
    </row>
    <row r="4" spans="1:29" ht="18.75">
      <c r="A4" s="1045" t="s">
        <v>254</v>
      </c>
    </row>
    <row r="5" spans="1:29">
      <c r="A5" s="1044" t="s">
        <v>1660</v>
      </c>
    </row>
    <row r="7" spans="1:29">
      <c r="A7" s="1046" t="s">
        <v>226</v>
      </c>
      <c r="B7" s="1047"/>
      <c r="C7" s="1122"/>
      <c r="D7" s="1048" t="s">
        <v>227</v>
      </c>
      <c r="E7" s="1046" t="s">
        <v>255</v>
      </c>
      <c r="F7" s="1047"/>
      <c r="G7" s="1046" t="s">
        <v>228</v>
      </c>
      <c r="H7" s="1047"/>
      <c r="I7" s="1046" t="s">
        <v>229</v>
      </c>
      <c r="J7" s="1047"/>
      <c r="K7" s="1046" t="s">
        <v>230</v>
      </c>
      <c r="L7" s="1047"/>
    </row>
    <row r="8" spans="1:29">
      <c r="A8" s="1040" t="s">
        <v>231</v>
      </c>
      <c r="B8" s="1040" t="s">
        <v>232</v>
      </c>
      <c r="C8" s="1123"/>
      <c r="D8" s="1049"/>
      <c r="E8" s="1040" t="s">
        <v>233</v>
      </c>
      <c r="F8" s="1040" t="s">
        <v>234</v>
      </c>
      <c r="G8" s="1040" t="s">
        <v>233</v>
      </c>
      <c r="H8" s="1040" t="s">
        <v>234</v>
      </c>
      <c r="I8" s="1040" t="s">
        <v>233</v>
      </c>
      <c r="J8" s="1040" t="s">
        <v>234</v>
      </c>
      <c r="K8" s="1040" t="s">
        <v>233</v>
      </c>
      <c r="L8" s="1040" t="s">
        <v>234</v>
      </c>
      <c r="N8" s="65" t="s">
        <v>236</v>
      </c>
      <c r="O8" s="65" t="s">
        <v>237</v>
      </c>
      <c r="P8" s="65" t="s">
        <v>238</v>
      </c>
      <c r="Q8" s="65" t="s">
        <v>1659</v>
      </c>
      <c r="R8" s="65" t="s">
        <v>1658</v>
      </c>
      <c r="S8" s="65" t="s">
        <v>1776</v>
      </c>
      <c r="T8" s="65" t="s">
        <v>1775</v>
      </c>
      <c r="U8" s="65" t="s">
        <v>240</v>
      </c>
      <c r="V8" s="65" t="s">
        <v>244</v>
      </c>
      <c r="W8" s="65" t="s">
        <v>245</v>
      </c>
      <c r="X8" s="65" t="s">
        <v>246</v>
      </c>
      <c r="Y8" s="65" t="s">
        <v>293</v>
      </c>
      <c r="Z8" s="65" t="s">
        <v>1774</v>
      </c>
      <c r="AA8" s="65" t="s">
        <v>1657</v>
      </c>
      <c r="AB8" s="65" t="s">
        <v>266</v>
      </c>
      <c r="AC8" s="65" t="s">
        <v>12</v>
      </c>
    </row>
    <row r="9" spans="1:29">
      <c r="A9" s="1046" t="s">
        <v>235</v>
      </c>
      <c r="B9" s="1050"/>
      <c r="C9" s="1050"/>
      <c r="D9" s="1050"/>
      <c r="E9" s="1050"/>
      <c r="F9" s="1050"/>
      <c r="G9" s="1050"/>
      <c r="H9" s="1050"/>
      <c r="I9" s="1050"/>
      <c r="J9" s="1050"/>
      <c r="K9" s="1050"/>
      <c r="L9" s="1047"/>
    </row>
    <row r="10" spans="1:29">
      <c r="A10" s="1041" t="s">
        <v>1567</v>
      </c>
      <c r="B10" s="1042" t="s">
        <v>1568</v>
      </c>
      <c r="C10" s="1042"/>
      <c r="D10" s="1042" t="s">
        <v>1569</v>
      </c>
      <c r="E10" s="1043">
        <v>3834895</v>
      </c>
      <c r="F10" s="1043">
        <v>0</v>
      </c>
      <c r="G10" s="1043">
        <v>0</v>
      </c>
      <c r="H10" s="1043">
        <v>0</v>
      </c>
      <c r="I10" s="1043">
        <v>3834895</v>
      </c>
      <c r="J10" s="1043">
        <v>0</v>
      </c>
      <c r="K10" s="1043">
        <v>0</v>
      </c>
      <c r="L10" s="1043">
        <v>0</v>
      </c>
      <c r="AC10"/>
    </row>
    <row r="11" spans="1:29">
      <c r="A11" s="1041" t="s">
        <v>1570</v>
      </c>
      <c r="B11" s="1042" t="s">
        <v>1602</v>
      </c>
      <c r="C11" s="1042"/>
      <c r="D11" s="1042" t="s">
        <v>1603</v>
      </c>
      <c r="E11" s="1043">
        <v>50000000</v>
      </c>
      <c r="F11" s="1043">
        <v>0</v>
      </c>
      <c r="G11" s="1043">
        <v>0</v>
      </c>
      <c r="H11" s="1043">
        <v>0</v>
      </c>
      <c r="I11" s="1043">
        <v>50000000</v>
      </c>
      <c r="J11" s="1043">
        <v>0</v>
      </c>
      <c r="K11" s="1043">
        <v>0</v>
      </c>
      <c r="L11" s="1043">
        <v>0</v>
      </c>
      <c r="AC11"/>
    </row>
    <row r="12" spans="1:29">
      <c r="A12" s="1041" t="s">
        <v>1570</v>
      </c>
      <c r="B12" s="1042" t="s">
        <v>1571</v>
      </c>
      <c r="C12" s="1042"/>
      <c r="D12" s="1042" t="s">
        <v>1572</v>
      </c>
      <c r="E12" s="1043">
        <v>4934845</v>
      </c>
      <c r="F12" s="1043">
        <v>0</v>
      </c>
      <c r="G12" s="1043">
        <v>0</v>
      </c>
      <c r="H12" s="1043">
        <v>0</v>
      </c>
      <c r="I12" s="1043">
        <v>4934845</v>
      </c>
      <c r="J12" s="1043">
        <v>0</v>
      </c>
      <c r="K12" s="1043">
        <v>0</v>
      </c>
      <c r="L12" s="1043">
        <v>0</v>
      </c>
      <c r="AC12"/>
    </row>
    <row r="13" spans="1:29">
      <c r="A13" s="1041" t="s">
        <v>1570</v>
      </c>
      <c r="B13" s="1042" t="s">
        <v>1604</v>
      </c>
      <c r="C13" s="1042"/>
      <c r="D13" s="1042" t="s">
        <v>1605</v>
      </c>
      <c r="E13" s="1043">
        <v>8699600</v>
      </c>
      <c r="F13" s="1043">
        <v>0</v>
      </c>
      <c r="G13" s="1043">
        <v>0</v>
      </c>
      <c r="H13" s="1043">
        <v>0</v>
      </c>
      <c r="I13" s="1043">
        <v>8699600</v>
      </c>
      <c r="J13" s="1043">
        <v>0</v>
      </c>
      <c r="K13" s="1043">
        <v>0</v>
      </c>
      <c r="L13" s="1043">
        <v>0</v>
      </c>
      <c r="AC13"/>
    </row>
    <row r="14" spans="1:29">
      <c r="A14" s="1041" t="s">
        <v>1570</v>
      </c>
      <c r="B14" s="1042" t="s">
        <v>1606</v>
      </c>
      <c r="C14" s="1042"/>
      <c r="D14" s="1042" t="s">
        <v>1607</v>
      </c>
      <c r="E14" s="1043">
        <v>4270000</v>
      </c>
      <c r="F14" s="1043">
        <v>0</v>
      </c>
      <c r="G14" s="1043">
        <v>0</v>
      </c>
      <c r="H14" s="1043">
        <v>0</v>
      </c>
      <c r="I14" s="1043">
        <v>4270000</v>
      </c>
      <c r="J14" s="1043">
        <v>0</v>
      </c>
      <c r="K14" s="1043">
        <v>0</v>
      </c>
      <c r="L14" s="1043">
        <v>0</v>
      </c>
      <c r="AC14"/>
    </row>
    <row r="15" spans="1:29">
      <c r="A15" s="1041" t="s">
        <v>1570</v>
      </c>
      <c r="B15" s="1042" t="s">
        <v>1608</v>
      </c>
      <c r="C15" s="1042"/>
      <c r="D15" s="1042" t="s">
        <v>1609</v>
      </c>
      <c r="E15" s="1043">
        <v>3711900</v>
      </c>
      <c r="F15" s="1043">
        <v>0</v>
      </c>
      <c r="G15" s="1043">
        <v>0</v>
      </c>
      <c r="H15" s="1043">
        <v>0</v>
      </c>
      <c r="I15" s="1043">
        <v>3711900</v>
      </c>
      <c r="J15" s="1043">
        <v>0</v>
      </c>
      <c r="K15" s="1043">
        <v>0</v>
      </c>
      <c r="L15" s="1043">
        <v>0</v>
      </c>
      <c r="AC15"/>
    </row>
    <row r="16" spans="1:29">
      <c r="A16" s="1041" t="s">
        <v>1570</v>
      </c>
      <c r="B16" s="1042" t="s">
        <v>1610</v>
      </c>
      <c r="C16" s="1042"/>
      <c r="D16" s="1042" t="s">
        <v>1611</v>
      </c>
      <c r="E16" s="1043">
        <v>205000</v>
      </c>
      <c r="F16" s="1043">
        <v>0</v>
      </c>
      <c r="G16" s="1043">
        <v>0</v>
      </c>
      <c r="H16" s="1043">
        <v>0</v>
      </c>
      <c r="I16" s="1043">
        <v>205000</v>
      </c>
      <c r="J16" s="1043">
        <v>0</v>
      </c>
      <c r="K16" s="1043">
        <v>0</v>
      </c>
      <c r="L16" s="1043">
        <v>0</v>
      </c>
      <c r="AC16"/>
    </row>
    <row r="17" spans="1:29">
      <c r="A17" s="1041" t="s">
        <v>1612</v>
      </c>
      <c r="B17" s="1042" t="s">
        <v>1613</v>
      </c>
      <c r="C17" s="1042"/>
      <c r="D17" s="1042" t="s">
        <v>1614</v>
      </c>
      <c r="E17" s="1043">
        <v>5323650</v>
      </c>
      <c r="F17" s="1043">
        <v>0</v>
      </c>
      <c r="G17" s="1043">
        <v>0</v>
      </c>
      <c r="H17" s="1043">
        <v>0</v>
      </c>
      <c r="I17" s="1043">
        <v>5323650</v>
      </c>
      <c r="J17" s="1043">
        <v>0</v>
      </c>
      <c r="K17" s="1043">
        <v>0</v>
      </c>
      <c r="L17" s="1043">
        <v>0</v>
      </c>
      <c r="AC17"/>
    </row>
    <row r="18" spans="1:29">
      <c r="A18" s="1041" t="s">
        <v>1612</v>
      </c>
      <c r="B18" s="1042" t="s">
        <v>1615</v>
      </c>
      <c r="C18" s="1042"/>
      <c r="D18" s="1042" t="s">
        <v>1616</v>
      </c>
      <c r="E18" s="1043">
        <v>132000</v>
      </c>
      <c r="F18" s="1043">
        <v>0</v>
      </c>
      <c r="G18" s="1043">
        <v>0</v>
      </c>
      <c r="H18" s="1043">
        <v>0</v>
      </c>
      <c r="I18" s="1043">
        <v>132000</v>
      </c>
      <c r="J18" s="1043">
        <v>0</v>
      </c>
      <c r="K18" s="1043">
        <v>0</v>
      </c>
      <c r="L18" s="1043">
        <v>0</v>
      </c>
      <c r="AC18"/>
    </row>
    <row r="19" spans="1:29">
      <c r="A19" s="1041" t="s">
        <v>1612</v>
      </c>
      <c r="B19" s="1042" t="s">
        <v>1617</v>
      </c>
      <c r="C19" s="1042"/>
      <c r="D19" s="1042" t="s">
        <v>1618</v>
      </c>
      <c r="E19" s="1043">
        <v>1765000</v>
      </c>
      <c r="F19" s="1043">
        <v>0</v>
      </c>
      <c r="G19" s="1043">
        <v>0</v>
      </c>
      <c r="H19" s="1043">
        <v>0</v>
      </c>
      <c r="I19" s="1043">
        <v>1765000</v>
      </c>
      <c r="J19" s="1043">
        <v>0</v>
      </c>
      <c r="K19" s="1043">
        <v>0</v>
      </c>
      <c r="L19" s="1043">
        <v>0</v>
      </c>
      <c r="AC19"/>
    </row>
    <row r="20" spans="1:29">
      <c r="A20" s="1041" t="s">
        <v>1612</v>
      </c>
      <c r="B20" s="1042" t="s">
        <v>1619</v>
      </c>
      <c r="C20" s="1042"/>
      <c r="D20" s="1042" t="s">
        <v>1620</v>
      </c>
      <c r="E20" s="1043">
        <v>1835000</v>
      </c>
      <c r="F20" s="1043">
        <v>0</v>
      </c>
      <c r="G20" s="1043">
        <v>0</v>
      </c>
      <c r="H20" s="1043">
        <v>0</v>
      </c>
      <c r="I20" s="1043">
        <v>1835000</v>
      </c>
      <c r="J20" s="1043">
        <v>0</v>
      </c>
      <c r="K20" s="1043">
        <v>0</v>
      </c>
      <c r="L20" s="1043">
        <v>0</v>
      </c>
      <c r="AC20"/>
    </row>
    <row r="21" spans="1:29">
      <c r="A21" s="1041" t="s">
        <v>1612</v>
      </c>
      <c r="B21" s="1042" t="s">
        <v>1621</v>
      </c>
      <c r="C21" s="1042"/>
      <c r="D21" s="1042" t="s">
        <v>1622</v>
      </c>
      <c r="E21" s="1043">
        <v>240000</v>
      </c>
      <c r="F21" s="1043">
        <v>0</v>
      </c>
      <c r="G21" s="1043">
        <v>0</v>
      </c>
      <c r="H21" s="1043">
        <v>0</v>
      </c>
      <c r="I21" s="1043">
        <v>240000</v>
      </c>
      <c r="J21" s="1043">
        <v>0</v>
      </c>
      <c r="K21" s="1043">
        <v>0</v>
      </c>
      <c r="L21" s="1043">
        <v>0</v>
      </c>
      <c r="AC21"/>
    </row>
    <row r="22" spans="1:29">
      <c r="A22" s="1041" t="s">
        <v>1573</v>
      </c>
      <c r="B22" s="1042" t="s">
        <v>1574</v>
      </c>
      <c r="C22" s="1042"/>
      <c r="D22" s="1042" t="s">
        <v>1575</v>
      </c>
      <c r="E22" s="1043">
        <v>1487200</v>
      </c>
      <c r="F22" s="1043">
        <v>0</v>
      </c>
      <c r="G22" s="1043">
        <v>0</v>
      </c>
      <c r="H22" s="1043">
        <v>0</v>
      </c>
      <c r="I22" s="1043">
        <v>1487200</v>
      </c>
      <c r="J22" s="1043">
        <v>0</v>
      </c>
      <c r="K22" s="1043">
        <v>0</v>
      </c>
      <c r="L22" s="1043">
        <v>0</v>
      </c>
      <c r="AC22"/>
    </row>
    <row r="23" spans="1:29">
      <c r="A23" s="1041" t="s">
        <v>1573</v>
      </c>
      <c r="B23" s="1042" t="s">
        <v>1576</v>
      </c>
      <c r="C23" s="1042"/>
      <c r="D23" s="1042" t="s">
        <v>1577</v>
      </c>
      <c r="E23" s="1043">
        <v>1802200</v>
      </c>
      <c r="F23" s="1043">
        <v>0</v>
      </c>
      <c r="G23" s="1043">
        <v>0</v>
      </c>
      <c r="H23" s="1043">
        <v>0</v>
      </c>
      <c r="I23" s="1043">
        <v>1802200</v>
      </c>
      <c r="J23" s="1043">
        <v>0</v>
      </c>
      <c r="K23" s="1043">
        <v>0</v>
      </c>
      <c r="L23" s="1043">
        <v>0</v>
      </c>
      <c r="AC23"/>
    </row>
    <row r="24" spans="1:29">
      <c r="A24" s="1041" t="s">
        <v>1578</v>
      </c>
      <c r="B24" s="1042" t="s">
        <v>1623</v>
      </c>
      <c r="C24" s="1042"/>
      <c r="D24" s="1042" t="s">
        <v>1624</v>
      </c>
      <c r="E24" s="1043">
        <v>2138000</v>
      </c>
      <c r="F24" s="1043">
        <v>0</v>
      </c>
      <c r="G24" s="1043">
        <v>0</v>
      </c>
      <c r="H24" s="1043">
        <v>0</v>
      </c>
      <c r="I24" s="1043">
        <v>2138000</v>
      </c>
      <c r="J24" s="1043">
        <v>0</v>
      </c>
      <c r="K24" s="1043">
        <v>0</v>
      </c>
      <c r="L24" s="1043">
        <v>0</v>
      </c>
      <c r="AC24"/>
    </row>
    <row r="25" spans="1:29">
      <c r="A25" s="1041" t="s">
        <v>1578</v>
      </c>
      <c r="B25" s="1042" t="s">
        <v>1579</v>
      </c>
      <c r="C25" s="1042"/>
      <c r="D25" s="1042" t="s">
        <v>1580</v>
      </c>
      <c r="E25" s="1043">
        <v>5924300</v>
      </c>
      <c r="F25" s="1043">
        <v>0</v>
      </c>
      <c r="G25" s="1043">
        <v>0</v>
      </c>
      <c r="H25" s="1043">
        <v>0</v>
      </c>
      <c r="I25" s="1043">
        <v>5924300</v>
      </c>
      <c r="J25" s="1043">
        <v>0</v>
      </c>
      <c r="K25" s="1043">
        <v>0</v>
      </c>
      <c r="L25" s="1043">
        <v>0</v>
      </c>
      <c r="AC25"/>
    </row>
    <row r="26" spans="1:29">
      <c r="A26" s="1041" t="s">
        <v>1578</v>
      </c>
      <c r="B26" s="1042" t="s">
        <v>1625</v>
      </c>
      <c r="C26" s="1042"/>
      <c r="D26" s="1042" t="s">
        <v>1626</v>
      </c>
      <c r="E26" s="1043">
        <v>9934691</v>
      </c>
      <c r="F26" s="1043">
        <v>0</v>
      </c>
      <c r="G26" s="1043">
        <v>0</v>
      </c>
      <c r="H26" s="1043">
        <v>0</v>
      </c>
      <c r="I26" s="1043">
        <v>9934691</v>
      </c>
      <c r="J26" s="1043">
        <v>0</v>
      </c>
      <c r="K26" s="1043">
        <v>0</v>
      </c>
      <c r="L26" s="1043">
        <v>0</v>
      </c>
      <c r="AC26"/>
    </row>
    <row r="27" spans="1:29">
      <c r="A27" s="1041" t="s">
        <v>1578</v>
      </c>
      <c r="B27" s="1042" t="s">
        <v>1627</v>
      </c>
      <c r="C27" s="1042"/>
      <c r="D27" s="1042" t="s">
        <v>1628</v>
      </c>
      <c r="E27" s="1043">
        <v>3570655</v>
      </c>
      <c r="F27" s="1043">
        <v>0</v>
      </c>
      <c r="G27" s="1043">
        <v>0</v>
      </c>
      <c r="H27" s="1043">
        <v>0</v>
      </c>
      <c r="I27" s="1043">
        <v>3570655</v>
      </c>
      <c r="J27" s="1043">
        <v>0</v>
      </c>
      <c r="K27" s="1043">
        <v>0</v>
      </c>
      <c r="L27" s="1043">
        <v>0</v>
      </c>
      <c r="AC27"/>
    </row>
    <row r="28" spans="1:29">
      <c r="A28" s="1041" t="s">
        <v>1578</v>
      </c>
      <c r="B28" s="1042" t="s">
        <v>1629</v>
      </c>
      <c r="C28" s="1042"/>
      <c r="D28" s="1042" t="s">
        <v>1630</v>
      </c>
      <c r="E28" s="1043">
        <v>12257306</v>
      </c>
      <c r="F28" s="1043">
        <v>0</v>
      </c>
      <c r="G28" s="1043">
        <v>0</v>
      </c>
      <c r="H28" s="1043">
        <v>0</v>
      </c>
      <c r="I28" s="1043">
        <v>12257306</v>
      </c>
      <c r="J28" s="1043">
        <v>0</v>
      </c>
      <c r="K28" s="1043">
        <v>0</v>
      </c>
      <c r="L28" s="1043">
        <v>0</v>
      </c>
      <c r="AC28"/>
    </row>
    <row r="29" spans="1:29">
      <c r="A29" s="1041" t="s">
        <v>1578</v>
      </c>
      <c r="B29" s="1042" t="s">
        <v>1581</v>
      </c>
      <c r="C29" s="1042"/>
      <c r="D29" s="1042" t="s">
        <v>1582</v>
      </c>
      <c r="E29" s="1043">
        <v>6464745</v>
      </c>
      <c r="F29" s="1043">
        <v>0</v>
      </c>
      <c r="G29" s="1043">
        <v>0</v>
      </c>
      <c r="H29" s="1043">
        <v>0</v>
      </c>
      <c r="I29" s="1043">
        <v>6464745</v>
      </c>
      <c r="J29" s="1043">
        <v>0</v>
      </c>
      <c r="K29" s="1043">
        <v>0</v>
      </c>
      <c r="L29" s="1043">
        <v>0</v>
      </c>
      <c r="AC29"/>
    </row>
    <row r="30" spans="1:29">
      <c r="A30" s="1041" t="s">
        <v>1578</v>
      </c>
      <c r="B30" s="1042" t="s">
        <v>1583</v>
      </c>
      <c r="C30" s="1042"/>
      <c r="D30" s="1042" t="s">
        <v>1584</v>
      </c>
      <c r="E30" s="1043">
        <v>1170000</v>
      </c>
      <c r="F30" s="1043">
        <v>0</v>
      </c>
      <c r="G30" s="1043">
        <v>0</v>
      </c>
      <c r="H30" s="1043">
        <v>0</v>
      </c>
      <c r="I30" s="1043">
        <v>1170000</v>
      </c>
      <c r="J30" s="1043">
        <v>0</v>
      </c>
      <c r="K30" s="1043">
        <v>0</v>
      </c>
      <c r="L30" s="1043">
        <v>0</v>
      </c>
      <c r="AC30"/>
    </row>
    <row r="31" spans="1:29">
      <c r="A31" s="1041" t="s">
        <v>1585</v>
      </c>
      <c r="B31" s="1042" t="s">
        <v>1631</v>
      </c>
      <c r="C31" s="1042"/>
      <c r="D31" s="1042" t="s">
        <v>1632</v>
      </c>
      <c r="E31" s="1043">
        <v>2962500</v>
      </c>
      <c r="F31" s="1043">
        <v>0</v>
      </c>
      <c r="G31" s="1043">
        <v>0</v>
      </c>
      <c r="H31" s="1043">
        <v>0</v>
      </c>
      <c r="I31" s="1043">
        <v>2962500</v>
      </c>
      <c r="J31" s="1043">
        <v>0</v>
      </c>
      <c r="K31" s="1043">
        <v>0</v>
      </c>
      <c r="L31" s="1043">
        <v>0</v>
      </c>
      <c r="AC31"/>
    </row>
    <row r="32" spans="1:29">
      <c r="A32" s="1041" t="s">
        <v>1585</v>
      </c>
      <c r="B32" s="1042" t="s">
        <v>1633</v>
      </c>
      <c r="C32" s="1042"/>
      <c r="D32" s="1042" t="s">
        <v>1634</v>
      </c>
      <c r="E32" s="1043">
        <v>164000</v>
      </c>
      <c r="F32" s="1043">
        <v>0</v>
      </c>
      <c r="G32" s="1043">
        <v>0</v>
      </c>
      <c r="H32" s="1043">
        <v>0</v>
      </c>
      <c r="I32" s="1043">
        <v>164000</v>
      </c>
      <c r="J32" s="1043">
        <v>0</v>
      </c>
      <c r="K32" s="1043">
        <v>0</v>
      </c>
      <c r="L32" s="1043">
        <v>0</v>
      </c>
      <c r="AC32"/>
    </row>
    <row r="33" spans="1:30">
      <c r="A33" s="1041" t="s">
        <v>1585</v>
      </c>
      <c r="B33" s="1042" t="s">
        <v>1635</v>
      </c>
      <c r="C33" s="1042"/>
      <c r="D33" s="1042" t="s">
        <v>1636</v>
      </c>
      <c r="E33" s="1043">
        <v>3780000</v>
      </c>
      <c r="F33" s="1043">
        <v>0</v>
      </c>
      <c r="G33" s="1043">
        <v>0</v>
      </c>
      <c r="H33" s="1043">
        <v>0</v>
      </c>
      <c r="I33" s="1043">
        <v>3780000</v>
      </c>
      <c r="J33" s="1043">
        <v>0</v>
      </c>
      <c r="K33" s="1043">
        <v>0</v>
      </c>
      <c r="L33" s="1043">
        <v>0</v>
      </c>
      <c r="AC33"/>
    </row>
    <row r="34" spans="1:30">
      <c r="A34" s="1041" t="s">
        <v>1585</v>
      </c>
      <c r="B34" s="1042" t="s">
        <v>1586</v>
      </c>
      <c r="C34" s="1042"/>
      <c r="D34" s="1042" t="s">
        <v>1587</v>
      </c>
      <c r="E34" s="1043">
        <v>3000000</v>
      </c>
      <c r="F34" s="1043">
        <v>0</v>
      </c>
      <c r="G34" s="1043">
        <v>0</v>
      </c>
      <c r="H34" s="1043">
        <v>0</v>
      </c>
      <c r="I34" s="1043">
        <v>3000000</v>
      </c>
      <c r="J34" s="1043">
        <v>0</v>
      </c>
      <c r="K34" s="1043">
        <v>0</v>
      </c>
      <c r="L34" s="1043">
        <v>0</v>
      </c>
      <c r="AC34"/>
    </row>
    <row r="35" spans="1:30">
      <c r="A35" s="1041" t="s">
        <v>1585</v>
      </c>
      <c r="B35" s="1042" t="s">
        <v>1588</v>
      </c>
      <c r="C35" s="1042"/>
      <c r="D35" s="1042" t="s">
        <v>1589</v>
      </c>
      <c r="E35" s="1043">
        <v>930600</v>
      </c>
      <c r="F35" s="1043">
        <v>0</v>
      </c>
      <c r="G35" s="1043">
        <v>0</v>
      </c>
      <c r="H35" s="1043">
        <v>0</v>
      </c>
      <c r="I35" s="1043">
        <v>930600</v>
      </c>
      <c r="J35" s="1043">
        <v>0</v>
      </c>
      <c r="K35" s="1043">
        <v>0</v>
      </c>
      <c r="L35" s="1043">
        <v>0</v>
      </c>
      <c r="AC35"/>
    </row>
    <row r="36" spans="1:30">
      <c r="A36" s="1041" t="s">
        <v>1585</v>
      </c>
      <c r="B36" s="1042" t="s">
        <v>1590</v>
      </c>
      <c r="C36" s="1042"/>
      <c r="D36" s="1042" t="s">
        <v>1591</v>
      </c>
      <c r="E36" s="1043">
        <v>1505200</v>
      </c>
      <c r="F36" s="1043">
        <v>0</v>
      </c>
      <c r="G36" s="1043">
        <v>0</v>
      </c>
      <c r="H36" s="1043">
        <v>0</v>
      </c>
      <c r="I36" s="1043">
        <v>1505200</v>
      </c>
      <c r="J36" s="1043">
        <v>0</v>
      </c>
      <c r="K36" s="1043">
        <v>0</v>
      </c>
      <c r="L36" s="1043">
        <v>0</v>
      </c>
      <c r="AC36"/>
    </row>
    <row r="37" spans="1:30">
      <c r="A37" s="1041" t="s">
        <v>1585</v>
      </c>
      <c r="B37" s="1042" t="s">
        <v>1592</v>
      </c>
      <c r="C37" s="1042"/>
      <c r="D37" s="1042" t="s">
        <v>1593</v>
      </c>
      <c r="E37" s="1043">
        <v>7337618</v>
      </c>
      <c r="F37" s="1043">
        <v>0</v>
      </c>
      <c r="G37" s="1043">
        <v>0</v>
      </c>
      <c r="H37" s="1043">
        <v>0</v>
      </c>
      <c r="I37" s="1043">
        <v>7337618</v>
      </c>
      <c r="J37" s="1043">
        <v>0</v>
      </c>
      <c r="K37" s="1043">
        <v>0</v>
      </c>
      <c r="L37" s="1043">
        <v>0</v>
      </c>
      <c r="AC37"/>
    </row>
    <row r="38" spans="1:30">
      <c r="A38" s="1041" t="s">
        <v>1585</v>
      </c>
      <c r="B38" s="1042" t="s">
        <v>1594</v>
      </c>
      <c r="C38" s="1042"/>
      <c r="D38" s="1042" t="s">
        <v>1595</v>
      </c>
      <c r="E38" s="1043">
        <v>2250000</v>
      </c>
      <c r="F38" s="1043">
        <v>0</v>
      </c>
      <c r="G38" s="1043">
        <v>0</v>
      </c>
      <c r="H38" s="1043">
        <v>0</v>
      </c>
      <c r="I38" s="1043">
        <v>2250000</v>
      </c>
      <c r="J38" s="1043">
        <v>0</v>
      </c>
      <c r="K38" s="1043">
        <v>0</v>
      </c>
      <c r="L38" s="1043">
        <v>0</v>
      </c>
      <c r="AC38"/>
    </row>
    <row r="39" spans="1:30">
      <c r="A39" s="1041" t="s">
        <v>1585</v>
      </c>
      <c r="B39" s="1042" t="s">
        <v>1596</v>
      </c>
      <c r="C39" s="1042"/>
      <c r="D39" s="1042" t="s">
        <v>1597</v>
      </c>
      <c r="E39" s="1043">
        <v>2103600</v>
      </c>
      <c r="F39" s="1043">
        <v>0</v>
      </c>
      <c r="G39" s="1043">
        <v>0</v>
      </c>
      <c r="H39" s="1043">
        <v>0</v>
      </c>
      <c r="I39" s="1043">
        <v>2103600</v>
      </c>
      <c r="J39" s="1043">
        <v>0</v>
      </c>
      <c r="K39" s="1043">
        <v>0</v>
      </c>
      <c r="L39" s="1043">
        <v>0</v>
      </c>
      <c r="AC39"/>
    </row>
    <row r="40" spans="1:30">
      <c r="A40" s="1041" t="s">
        <v>1585</v>
      </c>
      <c r="B40" s="1042" t="s">
        <v>1598</v>
      </c>
      <c r="C40" s="1042"/>
      <c r="D40" s="1042" t="s">
        <v>1599</v>
      </c>
      <c r="E40" s="1043">
        <v>504109</v>
      </c>
      <c r="F40" s="1043">
        <v>0</v>
      </c>
      <c r="G40" s="1043">
        <v>0</v>
      </c>
      <c r="H40" s="1043">
        <v>0</v>
      </c>
      <c r="I40" s="1043">
        <v>504109</v>
      </c>
      <c r="J40" s="1043">
        <v>0</v>
      </c>
      <c r="K40" s="1043">
        <v>0</v>
      </c>
      <c r="L40" s="1043">
        <v>0</v>
      </c>
      <c r="AC40"/>
    </row>
    <row r="41" spans="1:30">
      <c r="A41" s="1041" t="s">
        <v>1585</v>
      </c>
      <c r="B41" s="1042" t="s">
        <v>1600</v>
      </c>
      <c r="C41" s="1042"/>
      <c r="D41" s="1042" t="s">
        <v>1601</v>
      </c>
      <c r="E41" s="1043">
        <v>1692700</v>
      </c>
      <c r="F41" s="1043">
        <v>0</v>
      </c>
      <c r="G41" s="1043">
        <v>0</v>
      </c>
      <c r="H41" s="1043">
        <v>0</v>
      </c>
      <c r="I41" s="1043">
        <v>1692700</v>
      </c>
      <c r="J41" s="1043">
        <v>0</v>
      </c>
      <c r="K41" s="1043">
        <v>0</v>
      </c>
      <c r="L41" s="1043">
        <v>0</v>
      </c>
      <c r="AC41"/>
    </row>
    <row r="42" spans="1:30">
      <c r="A42" s="1041" t="s">
        <v>1637</v>
      </c>
      <c r="B42" s="1042" t="s">
        <v>1638</v>
      </c>
      <c r="C42" s="1042"/>
      <c r="D42" s="1042" t="s">
        <v>1639</v>
      </c>
      <c r="E42" s="1043">
        <v>260000</v>
      </c>
      <c r="F42" s="1043">
        <v>0</v>
      </c>
      <c r="G42" s="1043">
        <v>0</v>
      </c>
      <c r="H42" s="1043">
        <v>0</v>
      </c>
      <c r="I42" s="1043">
        <v>260000</v>
      </c>
      <c r="J42" s="1043">
        <v>0</v>
      </c>
      <c r="K42" s="1043">
        <v>0</v>
      </c>
      <c r="L42" s="1043">
        <v>0</v>
      </c>
      <c r="AC42"/>
    </row>
    <row r="43" spans="1:30">
      <c r="A43" s="1041" t="s">
        <v>1637</v>
      </c>
      <c r="B43" s="1042" t="s">
        <v>1640</v>
      </c>
      <c r="C43" s="1042"/>
      <c r="D43" s="1042" t="s">
        <v>1641</v>
      </c>
      <c r="E43" s="1043">
        <v>2680000</v>
      </c>
      <c r="F43" s="1043">
        <v>0</v>
      </c>
      <c r="G43" s="1043">
        <v>0</v>
      </c>
      <c r="H43" s="1043">
        <v>0</v>
      </c>
      <c r="I43" s="1043">
        <v>2680000</v>
      </c>
      <c r="J43" s="1043">
        <v>0</v>
      </c>
      <c r="K43" s="1043">
        <v>0</v>
      </c>
      <c r="L43" s="1043">
        <v>0</v>
      </c>
      <c r="AC43"/>
    </row>
    <row r="44" spans="1:30">
      <c r="A44" s="1041" t="s">
        <v>1637</v>
      </c>
      <c r="B44" s="1042" t="s">
        <v>1642</v>
      </c>
      <c r="C44" s="1042"/>
      <c r="D44" s="1042" t="s">
        <v>1643</v>
      </c>
      <c r="E44" s="1043">
        <v>51000</v>
      </c>
      <c r="F44" s="1043">
        <v>0</v>
      </c>
      <c r="G44" s="1043">
        <v>0</v>
      </c>
      <c r="H44" s="1043">
        <v>0</v>
      </c>
      <c r="I44" s="1043">
        <v>51000</v>
      </c>
      <c r="J44" s="1043">
        <v>0</v>
      </c>
      <c r="K44" s="1043">
        <v>0</v>
      </c>
      <c r="L44" s="1043">
        <v>0</v>
      </c>
      <c r="AC44"/>
    </row>
    <row r="45" spans="1:30" s="68" customFormat="1">
      <c r="A45" s="1066" t="s">
        <v>1661</v>
      </c>
      <c r="B45" s="1067" t="s">
        <v>1686</v>
      </c>
      <c r="C45" s="1067"/>
      <c r="D45" s="1067" t="s">
        <v>1687</v>
      </c>
      <c r="E45" s="1043">
        <v>0</v>
      </c>
      <c r="F45" s="1043">
        <v>0</v>
      </c>
      <c r="G45" s="1043">
        <v>3252500</v>
      </c>
      <c r="H45" s="1043">
        <v>0</v>
      </c>
      <c r="I45" s="1043">
        <v>0</v>
      </c>
      <c r="J45" s="1043">
        <v>0</v>
      </c>
      <c r="K45" s="1068">
        <v>3252500</v>
      </c>
      <c r="L45" s="1043">
        <v>0</v>
      </c>
    </row>
    <row r="46" spans="1:30" s="68" customFormat="1">
      <c r="A46" s="1066" t="s">
        <v>1661</v>
      </c>
      <c r="B46" s="1067" t="s">
        <v>1688</v>
      </c>
      <c r="C46" s="1067"/>
      <c r="D46" s="1067" t="s">
        <v>1689</v>
      </c>
      <c r="E46" s="1043">
        <v>0</v>
      </c>
      <c r="F46" s="1043">
        <v>0</v>
      </c>
      <c r="G46" s="1043">
        <v>276000</v>
      </c>
      <c r="H46" s="1043">
        <v>0</v>
      </c>
      <c r="I46" s="1043">
        <v>0</v>
      </c>
      <c r="J46" s="1043">
        <v>0</v>
      </c>
      <c r="K46" s="1068">
        <v>276000</v>
      </c>
      <c r="L46" s="1043">
        <v>0</v>
      </c>
    </row>
    <row r="47" spans="1:30">
      <c r="A47" s="1041" t="s">
        <v>1661</v>
      </c>
      <c r="B47" s="1042" t="s">
        <v>1690</v>
      </c>
      <c r="C47" s="1124" t="s">
        <v>92</v>
      </c>
      <c r="D47" s="1042" t="s">
        <v>1691</v>
      </c>
      <c r="E47" s="1043">
        <v>0</v>
      </c>
      <c r="F47" s="1043">
        <v>0</v>
      </c>
      <c r="G47" s="1043">
        <v>1182600</v>
      </c>
      <c r="H47" s="1043">
        <v>0</v>
      </c>
      <c r="I47" s="1043">
        <v>0</v>
      </c>
      <c r="J47" s="1043">
        <v>0</v>
      </c>
      <c r="K47" s="1043">
        <v>1182600</v>
      </c>
      <c r="L47" s="1043">
        <v>0</v>
      </c>
      <c r="M47" s="561"/>
      <c r="N47" s="561"/>
      <c r="O47" s="561"/>
      <c r="P47" s="561"/>
      <c r="Q47" s="561"/>
      <c r="R47" s="561"/>
      <c r="S47" s="561"/>
      <c r="T47" s="561"/>
      <c r="U47" s="561"/>
      <c r="V47" s="561"/>
      <c r="W47" s="561"/>
      <c r="X47" s="561">
        <v>1182600</v>
      </c>
      <c r="Y47" s="561"/>
      <c r="Z47" s="561"/>
      <c r="AA47" s="561"/>
      <c r="AB47" s="561"/>
      <c r="AC47" s="64">
        <f>N47+O47+P47+Q47+R47+S47+T47+U47+V47+W47+X47+Y47+AA47+AB47+Z47</f>
        <v>1182600</v>
      </c>
      <c r="AD47" s="561">
        <f>SUM(O47:AB47)</f>
        <v>1182600</v>
      </c>
    </row>
    <row r="48" spans="1:30">
      <c r="A48" s="1041" t="s">
        <v>1661</v>
      </c>
      <c r="B48" s="1042" t="s">
        <v>1662</v>
      </c>
      <c r="C48" s="1124" t="s">
        <v>92</v>
      </c>
      <c r="D48" s="1042" t="s">
        <v>1663</v>
      </c>
      <c r="E48" s="1043">
        <v>0</v>
      </c>
      <c r="F48" s="1043">
        <v>0</v>
      </c>
      <c r="G48" s="1043">
        <v>10756145</v>
      </c>
      <c r="H48" s="1043">
        <v>0</v>
      </c>
      <c r="I48" s="1043">
        <v>0</v>
      </c>
      <c r="J48" s="1043">
        <v>0</v>
      </c>
      <c r="K48" s="1043">
        <v>10756145</v>
      </c>
      <c r="L48" s="1043">
        <v>0</v>
      </c>
      <c r="M48" s="561"/>
      <c r="N48" s="561">
        <v>3540720</v>
      </c>
      <c r="O48" s="561">
        <v>234545</v>
      </c>
      <c r="P48" s="561"/>
      <c r="Q48" s="561"/>
      <c r="R48" s="561">
        <v>7000000</v>
      </c>
      <c r="S48" s="561"/>
      <c r="T48" s="561"/>
      <c r="U48" s="561">
        <v>2650000</v>
      </c>
      <c r="V48" s="561"/>
      <c r="W48" s="561"/>
      <c r="X48" s="561"/>
      <c r="Y48" s="561"/>
      <c r="Z48" s="561"/>
      <c r="AA48" s="561"/>
      <c r="AB48" s="561">
        <v>871600</v>
      </c>
      <c r="AC48" s="64">
        <f>N48+O48+P48+Q48+R48+S48+T48+U48+V48+W48+X48+Y48+AA48+AB48+Z48</f>
        <v>14296865</v>
      </c>
      <c r="AD48" s="561">
        <f>SUM(O48:AB48)</f>
        <v>10756145</v>
      </c>
    </row>
    <row r="49" spans="1:30" s="68" customFormat="1">
      <c r="A49" s="1066" t="s">
        <v>1664</v>
      </c>
      <c r="B49" s="1067" t="s">
        <v>1692</v>
      </c>
      <c r="C49" s="1067"/>
      <c r="D49" s="1067" t="s">
        <v>1693</v>
      </c>
      <c r="E49" s="1043">
        <v>0</v>
      </c>
      <c r="F49" s="1043">
        <v>0</v>
      </c>
      <c r="G49" s="1043">
        <v>1780000</v>
      </c>
      <c r="H49" s="1043">
        <v>0</v>
      </c>
      <c r="I49" s="1043">
        <v>0</v>
      </c>
      <c r="J49" s="1043">
        <v>0</v>
      </c>
      <c r="K49" s="1068">
        <v>1780000</v>
      </c>
      <c r="L49" s="1043">
        <v>0</v>
      </c>
    </row>
    <row r="50" spans="1:30" s="68" customFormat="1">
      <c r="A50" s="1066" t="s">
        <v>1664</v>
      </c>
      <c r="B50" s="1067" t="s">
        <v>1694</v>
      </c>
      <c r="C50" s="1067"/>
      <c r="D50" s="1067" t="s">
        <v>1695</v>
      </c>
      <c r="E50" s="1043">
        <v>0</v>
      </c>
      <c r="F50" s="1043">
        <v>0</v>
      </c>
      <c r="G50" s="1043">
        <v>1500000</v>
      </c>
      <c r="H50" s="1043">
        <v>0</v>
      </c>
      <c r="I50" s="1043">
        <v>0</v>
      </c>
      <c r="J50" s="1043">
        <v>0</v>
      </c>
      <c r="K50" s="1068">
        <v>1500000</v>
      </c>
      <c r="L50" s="1043">
        <v>0</v>
      </c>
      <c r="N50" s="926">
        <f>K49+K50+M51</f>
        <v>3950000</v>
      </c>
    </row>
    <row r="51" spans="1:30" s="68" customFormat="1">
      <c r="A51" s="1066" t="s">
        <v>1664</v>
      </c>
      <c r="B51" s="1067" t="s">
        <v>1696</v>
      </c>
      <c r="C51" s="1067"/>
      <c r="D51" s="1067" t="s">
        <v>1697</v>
      </c>
      <c r="E51" s="1043">
        <v>0</v>
      </c>
      <c r="F51" s="1043">
        <v>0</v>
      </c>
      <c r="G51" s="1043">
        <v>730000</v>
      </c>
      <c r="H51" s="1043">
        <v>0</v>
      </c>
      <c r="I51" s="1043">
        <v>0</v>
      </c>
      <c r="J51" s="1043">
        <v>0</v>
      </c>
      <c r="K51" s="1068">
        <v>730000</v>
      </c>
      <c r="L51" s="1043">
        <v>0</v>
      </c>
      <c r="M51" s="68">
        <v>670000</v>
      </c>
    </row>
    <row r="52" spans="1:30">
      <c r="A52" s="1041" t="s">
        <v>1664</v>
      </c>
      <c r="B52" s="1042" t="s">
        <v>1665</v>
      </c>
      <c r="C52" s="1124" t="s">
        <v>42</v>
      </c>
      <c r="D52" s="1042" t="s">
        <v>1666</v>
      </c>
      <c r="E52" s="1043">
        <v>0</v>
      </c>
      <c r="F52" s="1043">
        <v>0</v>
      </c>
      <c r="G52" s="1043">
        <v>24504900</v>
      </c>
      <c r="H52" s="1043">
        <v>0</v>
      </c>
      <c r="I52" s="1043">
        <v>0</v>
      </c>
      <c r="J52" s="1043">
        <v>0</v>
      </c>
      <c r="K52" s="1043">
        <v>24504900</v>
      </c>
      <c r="L52" s="1043">
        <v>0</v>
      </c>
      <c r="M52" s="561"/>
      <c r="N52" s="561">
        <f>13574400+16256320</f>
        <v>29830720</v>
      </c>
      <c r="O52" s="561">
        <f>81818+398182</f>
        <v>480000</v>
      </c>
      <c r="P52" s="561">
        <v>1430000</v>
      </c>
      <c r="Q52" s="561"/>
      <c r="R52" s="561">
        <f>8500000+5500000</f>
        <v>14000000</v>
      </c>
      <c r="S52" s="561"/>
      <c r="T52" s="561"/>
      <c r="U52" s="561">
        <f>2443500+3690200</f>
        <v>6133700</v>
      </c>
      <c r="V52" s="561"/>
      <c r="W52" s="561"/>
      <c r="X52" s="561"/>
      <c r="Y52" s="561"/>
      <c r="Z52" s="561"/>
      <c r="AA52" s="561"/>
      <c r="AB52" s="561">
        <f>1638800+822400</f>
        <v>2461200</v>
      </c>
      <c r="AC52" s="64">
        <f>N52+O52+P52+Q52+R52+S52+T52+U52+V52+W52+X52+Y52+AA52+AB52+Z52</f>
        <v>54335620</v>
      </c>
      <c r="AD52" s="561">
        <f>SUM(O52:AB52)</f>
        <v>24504900</v>
      </c>
    </row>
    <row r="53" spans="1:30" s="68" customFormat="1">
      <c r="A53" s="1066" t="s">
        <v>1667</v>
      </c>
      <c r="B53" s="1067" t="s">
        <v>1698</v>
      </c>
      <c r="C53" s="1067"/>
      <c r="D53" s="1067" t="s">
        <v>1699</v>
      </c>
      <c r="E53" s="1043">
        <v>0</v>
      </c>
      <c r="F53" s="1043">
        <v>0</v>
      </c>
      <c r="G53" s="1043">
        <v>3130000</v>
      </c>
      <c r="H53" s="1043">
        <v>0</v>
      </c>
      <c r="I53" s="1043">
        <v>0</v>
      </c>
      <c r="J53" s="1043">
        <v>0</v>
      </c>
      <c r="K53" s="1068">
        <v>3130000</v>
      </c>
      <c r="L53" s="1043">
        <v>0</v>
      </c>
    </row>
    <row r="54" spans="1:30" s="68" customFormat="1">
      <c r="A54" s="1066" t="s">
        <v>1667</v>
      </c>
      <c r="B54" s="1067" t="s">
        <v>1700</v>
      </c>
      <c r="C54" s="1067"/>
      <c r="D54" s="1067" t="s">
        <v>1701</v>
      </c>
      <c r="E54" s="1043">
        <v>0</v>
      </c>
      <c r="F54" s="1043">
        <v>0</v>
      </c>
      <c r="G54" s="1043">
        <v>213000</v>
      </c>
      <c r="H54" s="1043">
        <v>0</v>
      </c>
      <c r="I54" s="1043">
        <v>0</v>
      </c>
      <c r="J54" s="1043">
        <v>0</v>
      </c>
      <c r="K54" s="1068">
        <v>213000</v>
      </c>
      <c r="L54" s="1043">
        <v>0</v>
      </c>
    </row>
    <row r="55" spans="1:30">
      <c r="A55" s="1041" t="s">
        <v>1667</v>
      </c>
      <c r="B55" s="1042" t="s">
        <v>378</v>
      </c>
      <c r="C55" s="1124" t="s">
        <v>70</v>
      </c>
      <c r="D55" s="1042" t="s">
        <v>1668</v>
      </c>
      <c r="E55" s="1043">
        <v>0</v>
      </c>
      <c r="F55" s="1043">
        <v>0</v>
      </c>
      <c r="G55" s="1043">
        <v>2240600</v>
      </c>
      <c r="H55" s="1043">
        <v>0</v>
      </c>
      <c r="I55" s="1043">
        <v>0</v>
      </c>
      <c r="J55" s="1043">
        <v>0</v>
      </c>
      <c r="K55" s="1043">
        <v>2240600</v>
      </c>
      <c r="L55" s="1043">
        <v>0</v>
      </c>
      <c r="M55" s="561"/>
      <c r="N55" s="561">
        <v>12947920</v>
      </c>
      <c r="O55" s="561"/>
      <c r="P55" s="561"/>
      <c r="Q55" s="561"/>
      <c r="R55" s="561"/>
      <c r="S55" s="561"/>
      <c r="T55" s="561"/>
      <c r="U55" s="561">
        <v>764600</v>
      </c>
      <c r="V55" s="561"/>
      <c r="W55" s="561"/>
      <c r="X55" s="561"/>
      <c r="Y55" s="561"/>
      <c r="Z55" s="561">
        <v>960000</v>
      </c>
      <c r="AA55" s="561"/>
      <c r="AB55" s="561">
        <f>336000+180000</f>
        <v>516000</v>
      </c>
      <c r="AC55" s="64">
        <f t="shared" ref="AC55:AC58" si="0">N55+O55+P55+Q55+R55+S55+T55+U55+V55+W55+X55+Y55+AA55+AB55+Z55</f>
        <v>15188520</v>
      </c>
      <c r="AD55" s="561">
        <f t="shared" ref="AD55:AD58" si="1">SUM(O55:AB55)</f>
        <v>2240600</v>
      </c>
    </row>
    <row r="56" spans="1:30">
      <c r="A56" s="1041" t="s">
        <v>1669</v>
      </c>
      <c r="B56" s="1042" t="s">
        <v>1702</v>
      </c>
      <c r="C56" s="1124" t="s">
        <v>87</v>
      </c>
      <c r="D56" s="1042" t="s">
        <v>1703</v>
      </c>
      <c r="E56" s="1043">
        <v>0</v>
      </c>
      <c r="F56" s="1043">
        <v>0</v>
      </c>
      <c r="G56" s="1043">
        <v>2500000</v>
      </c>
      <c r="H56" s="1043">
        <v>0</v>
      </c>
      <c r="I56" s="1043">
        <v>0</v>
      </c>
      <c r="J56" s="1043">
        <v>0</v>
      </c>
      <c r="K56" s="1043">
        <v>2500000</v>
      </c>
      <c r="L56" s="1043">
        <v>0</v>
      </c>
      <c r="M56" s="561"/>
      <c r="N56" s="561"/>
      <c r="O56" s="561"/>
      <c r="P56" s="561"/>
      <c r="Q56" s="561"/>
      <c r="R56" s="561">
        <v>2500000</v>
      </c>
      <c r="S56" s="561"/>
      <c r="T56" s="561"/>
      <c r="U56" s="561"/>
      <c r="V56" s="561"/>
      <c r="W56" s="561"/>
      <c r="X56" s="561"/>
      <c r="Y56" s="561"/>
      <c r="Z56" s="561"/>
      <c r="AA56" s="561"/>
      <c r="AB56" s="561"/>
      <c r="AC56" s="64">
        <f t="shared" si="0"/>
        <v>2500000</v>
      </c>
      <c r="AD56" s="561">
        <f t="shared" si="1"/>
        <v>2500000</v>
      </c>
    </row>
    <row r="57" spans="1:30">
      <c r="A57" s="1041" t="s">
        <v>1669</v>
      </c>
      <c r="B57" s="1042" t="s">
        <v>1670</v>
      </c>
      <c r="C57" s="1124" t="s">
        <v>87</v>
      </c>
      <c r="D57" s="1042" t="s">
        <v>1671</v>
      </c>
      <c r="E57" s="1043">
        <v>0</v>
      </c>
      <c r="F57" s="1043">
        <v>0</v>
      </c>
      <c r="G57" s="1043">
        <v>688700</v>
      </c>
      <c r="H57" s="1043">
        <v>0</v>
      </c>
      <c r="I57" s="1043">
        <v>0</v>
      </c>
      <c r="J57" s="1043">
        <v>0</v>
      </c>
      <c r="K57" s="1043">
        <v>688700</v>
      </c>
      <c r="L57" s="1043">
        <v>0</v>
      </c>
      <c r="M57" s="561"/>
      <c r="N57" s="561">
        <v>501000</v>
      </c>
      <c r="O57" s="561"/>
      <c r="P57" s="561"/>
      <c r="Q57" s="561"/>
      <c r="R57" s="561"/>
      <c r="S57" s="561"/>
      <c r="T57" s="561"/>
      <c r="U57" s="561">
        <v>418700</v>
      </c>
      <c r="V57" s="561"/>
      <c r="W57" s="561"/>
      <c r="X57" s="561"/>
      <c r="Y57" s="561"/>
      <c r="Z57" s="561">
        <v>270000</v>
      </c>
      <c r="AA57" s="561"/>
      <c r="AB57" s="561"/>
      <c r="AC57" s="64">
        <f t="shared" si="0"/>
        <v>1189700</v>
      </c>
      <c r="AD57" s="561">
        <f t="shared" si="1"/>
        <v>688700</v>
      </c>
    </row>
    <row r="58" spans="1:30">
      <c r="A58" s="1041" t="s">
        <v>1669</v>
      </c>
      <c r="B58" s="1042" t="s">
        <v>1672</v>
      </c>
      <c r="C58" s="1124" t="s">
        <v>79</v>
      </c>
      <c r="D58" s="1042" t="s">
        <v>1673</v>
      </c>
      <c r="E58" s="1043">
        <v>0</v>
      </c>
      <c r="F58" s="1043">
        <v>0</v>
      </c>
      <c r="G58" s="1043">
        <v>5341200</v>
      </c>
      <c r="H58" s="1043">
        <v>0</v>
      </c>
      <c r="I58" s="1043">
        <v>0</v>
      </c>
      <c r="J58" s="1043">
        <v>0</v>
      </c>
      <c r="K58" s="1043">
        <v>5341200</v>
      </c>
      <c r="L58" s="1043">
        <v>0</v>
      </c>
      <c r="M58" s="561"/>
      <c r="N58" s="561">
        <f>4459440+220000+150000</f>
        <v>4829440</v>
      </c>
      <c r="O58" s="561"/>
      <c r="P58" s="561"/>
      <c r="Q58" s="561">
        <v>3600000</v>
      </c>
      <c r="R58" s="561"/>
      <c r="S58" s="561"/>
      <c r="T58" s="561"/>
      <c r="U58" s="561">
        <v>90000</v>
      </c>
      <c r="V58" s="561"/>
      <c r="W58" s="561"/>
      <c r="X58" s="561"/>
      <c r="Y58" s="561"/>
      <c r="Z58" s="561"/>
      <c r="AA58" s="561"/>
      <c r="AB58" s="561">
        <v>1651200</v>
      </c>
      <c r="AC58" s="64">
        <f t="shared" si="0"/>
        <v>10170640</v>
      </c>
      <c r="AD58" s="561">
        <f t="shared" si="1"/>
        <v>5341200</v>
      </c>
    </row>
    <row r="59" spans="1:30" s="1107" customFormat="1">
      <c r="A59" s="1104" t="s">
        <v>1669</v>
      </c>
      <c r="B59" s="1105" t="s">
        <v>1704</v>
      </c>
      <c r="C59" s="1105"/>
      <c r="D59" s="1105" t="s">
        <v>1705</v>
      </c>
      <c r="E59" s="1043">
        <v>0</v>
      </c>
      <c r="F59" s="1043">
        <v>0</v>
      </c>
      <c r="G59" s="1043">
        <v>2105000</v>
      </c>
      <c r="H59" s="1043">
        <v>0</v>
      </c>
      <c r="I59" s="1043">
        <v>0</v>
      </c>
      <c r="J59" s="1043">
        <v>0</v>
      </c>
      <c r="K59" s="1106">
        <v>2105000</v>
      </c>
      <c r="L59" s="1043">
        <v>0</v>
      </c>
    </row>
    <row r="60" spans="1:30" s="1107" customFormat="1">
      <c r="A60" s="1104" t="s">
        <v>1669</v>
      </c>
      <c r="B60" s="1105" t="s">
        <v>1706</v>
      </c>
      <c r="C60" s="1105"/>
      <c r="D60" s="1105" t="s">
        <v>1707</v>
      </c>
      <c r="E60" s="1043">
        <v>0</v>
      </c>
      <c r="F60" s="1043">
        <v>0</v>
      </c>
      <c r="G60" s="1043">
        <v>84000</v>
      </c>
      <c r="H60" s="1043">
        <v>0</v>
      </c>
      <c r="I60" s="1043">
        <v>0</v>
      </c>
      <c r="J60" s="1043">
        <v>0</v>
      </c>
      <c r="K60" s="1106">
        <v>84000</v>
      </c>
      <c r="L60" s="1043">
        <v>0</v>
      </c>
    </row>
    <row r="61" spans="1:30" s="68" customFormat="1">
      <c r="A61" s="1066" t="s">
        <v>1669</v>
      </c>
      <c r="B61" s="1067" t="s">
        <v>1708</v>
      </c>
      <c r="C61" s="1067"/>
      <c r="D61" s="1067" t="s">
        <v>1709</v>
      </c>
      <c r="E61" s="1043">
        <v>0</v>
      </c>
      <c r="F61" s="1043">
        <v>0</v>
      </c>
      <c r="G61" s="1043">
        <v>120000</v>
      </c>
      <c r="H61" s="1043">
        <v>0</v>
      </c>
      <c r="I61" s="1043">
        <v>0</v>
      </c>
      <c r="J61" s="1043">
        <v>0</v>
      </c>
      <c r="K61" s="1068">
        <v>120000</v>
      </c>
      <c r="L61" s="1043">
        <v>0</v>
      </c>
    </row>
    <row r="62" spans="1:30" s="68" customFormat="1">
      <c r="A62" s="1066" t="s">
        <v>1669</v>
      </c>
      <c r="B62" s="1067" t="s">
        <v>1710</v>
      </c>
      <c r="C62" s="1067"/>
      <c r="D62" s="1067" t="s">
        <v>1711</v>
      </c>
      <c r="E62" s="1043">
        <v>0</v>
      </c>
      <c r="F62" s="1043">
        <v>0</v>
      </c>
      <c r="G62" s="1043">
        <v>165000</v>
      </c>
      <c r="H62" s="1043">
        <v>0</v>
      </c>
      <c r="I62" s="1043">
        <v>0</v>
      </c>
      <c r="J62" s="1043">
        <v>0</v>
      </c>
      <c r="K62" s="1068">
        <v>165000</v>
      </c>
      <c r="L62" s="1043">
        <v>0</v>
      </c>
    </row>
    <row r="63" spans="1:30" s="68" customFormat="1">
      <c r="A63" s="1066" t="s">
        <v>1669</v>
      </c>
      <c r="B63" s="1067" t="s">
        <v>1712</v>
      </c>
      <c r="C63" s="1067"/>
      <c r="D63" s="1067" t="s">
        <v>1713</v>
      </c>
      <c r="E63" s="1043">
        <v>0</v>
      </c>
      <c r="F63" s="1043">
        <v>0</v>
      </c>
      <c r="G63" s="1043">
        <v>150000</v>
      </c>
      <c r="H63" s="1043">
        <v>0</v>
      </c>
      <c r="I63" s="1043">
        <v>0</v>
      </c>
      <c r="J63" s="1043">
        <v>0</v>
      </c>
      <c r="K63" s="1068">
        <v>150000</v>
      </c>
      <c r="L63" s="1043">
        <v>0</v>
      </c>
    </row>
    <row r="64" spans="1:30">
      <c r="A64" s="1041" t="s">
        <v>1674</v>
      </c>
      <c r="B64" s="1042" t="s">
        <v>328</v>
      </c>
      <c r="C64" s="1124" t="s">
        <v>87</v>
      </c>
      <c r="D64" s="1042" t="s">
        <v>1675</v>
      </c>
      <c r="E64" s="1043">
        <v>0</v>
      </c>
      <c r="F64" s="1043">
        <v>0</v>
      </c>
      <c r="G64" s="1043">
        <v>8301966</v>
      </c>
      <c r="H64" s="1043">
        <v>0</v>
      </c>
      <c r="I64" s="1043">
        <v>0</v>
      </c>
      <c r="J64" s="1043">
        <v>0</v>
      </c>
      <c r="K64" s="1043">
        <v>8301966</v>
      </c>
      <c r="L64" s="1043">
        <v>0</v>
      </c>
      <c r="M64" s="561"/>
      <c r="N64" s="561">
        <f>6926160</f>
        <v>6926160</v>
      </c>
      <c r="O64" s="561">
        <v>736366</v>
      </c>
      <c r="P64" s="561"/>
      <c r="Q64" s="561"/>
      <c r="R64" s="561">
        <v>6500000</v>
      </c>
      <c r="S64" s="561"/>
      <c r="T64" s="561"/>
      <c r="U64" s="561"/>
      <c r="V64" s="561"/>
      <c r="W64" s="561"/>
      <c r="X64" s="561"/>
      <c r="Y64" s="561"/>
      <c r="Z64" s="561"/>
      <c r="AA64" s="561"/>
      <c r="AB64" s="561">
        <v>1065600</v>
      </c>
      <c r="AC64" s="64">
        <f t="shared" ref="AC64:AC73" si="2">N64+O64+P64+Q64+R64+S64+T64+U64+V64+W64+X64+Y64+AA64+AB64+Z64</f>
        <v>15228126</v>
      </c>
      <c r="AD64" s="561">
        <f t="shared" ref="AD64:AD71" si="3">SUM(O64:AB64)</f>
        <v>8301966</v>
      </c>
    </row>
    <row r="65" spans="1:30">
      <c r="A65" s="1041" t="s">
        <v>1674</v>
      </c>
      <c r="B65" s="1042" t="s">
        <v>332</v>
      </c>
      <c r="C65" s="1124" t="s">
        <v>92</v>
      </c>
      <c r="D65" s="1042" t="s">
        <v>1714</v>
      </c>
      <c r="E65" s="1043">
        <v>0</v>
      </c>
      <c r="F65" s="1043">
        <v>0</v>
      </c>
      <c r="G65" s="1043">
        <v>372727</v>
      </c>
      <c r="H65" s="1043">
        <v>0</v>
      </c>
      <c r="I65" s="1043">
        <v>0</v>
      </c>
      <c r="J65" s="1043">
        <v>0</v>
      </c>
      <c r="K65" s="1043">
        <v>372727</v>
      </c>
      <c r="L65" s="1043">
        <v>0</v>
      </c>
      <c r="M65" s="561"/>
      <c r="N65" s="561"/>
      <c r="O65" s="561">
        <v>152727</v>
      </c>
      <c r="P65" s="561">
        <v>220000</v>
      </c>
      <c r="Q65" s="561"/>
      <c r="R65" s="561"/>
      <c r="S65" s="561"/>
      <c r="T65" s="561"/>
      <c r="U65" s="561"/>
      <c r="V65" s="561"/>
      <c r="W65" s="561"/>
      <c r="X65" s="561"/>
      <c r="Y65" s="561"/>
      <c r="Z65" s="561"/>
      <c r="AA65" s="561"/>
      <c r="AB65" s="561"/>
      <c r="AC65" s="64">
        <f t="shared" si="2"/>
        <v>372727</v>
      </c>
      <c r="AD65" s="561">
        <f t="shared" si="3"/>
        <v>372727</v>
      </c>
    </row>
    <row r="66" spans="1:30">
      <c r="A66" s="1041" t="s">
        <v>1674</v>
      </c>
      <c r="B66" s="1042" t="s">
        <v>334</v>
      </c>
      <c r="C66" s="1124" t="s">
        <v>92</v>
      </c>
      <c r="D66" s="1042" t="s">
        <v>1715</v>
      </c>
      <c r="E66" s="1043">
        <v>0</v>
      </c>
      <c r="F66" s="1043">
        <v>0</v>
      </c>
      <c r="G66" s="1043">
        <v>2081818</v>
      </c>
      <c r="H66" s="1043">
        <v>0</v>
      </c>
      <c r="I66" s="1043">
        <v>0</v>
      </c>
      <c r="J66" s="1043">
        <v>0</v>
      </c>
      <c r="K66" s="1043">
        <v>2081818</v>
      </c>
      <c r="L66" s="1043">
        <v>0</v>
      </c>
      <c r="M66" s="561"/>
      <c r="N66" s="561"/>
      <c r="O66" s="561">
        <v>81818</v>
      </c>
      <c r="P66" s="561"/>
      <c r="Q66" s="561"/>
      <c r="R66" s="561">
        <v>2000000</v>
      </c>
      <c r="S66" s="561"/>
      <c r="T66" s="561"/>
      <c r="U66" s="561"/>
      <c r="V66" s="561"/>
      <c r="W66" s="561"/>
      <c r="X66" s="561"/>
      <c r="Y66" s="561"/>
      <c r="Z66" s="561"/>
      <c r="AA66" s="561"/>
      <c r="AB66" s="561"/>
      <c r="AC66" s="64">
        <f t="shared" si="2"/>
        <v>2081818</v>
      </c>
      <c r="AD66" s="561">
        <f t="shared" si="3"/>
        <v>2081818</v>
      </c>
    </row>
    <row r="67" spans="1:30">
      <c r="A67" s="1041" t="s">
        <v>1674</v>
      </c>
      <c r="B67" s="1042" t="s">
        <v>336</v>
      </c>
      <c r="C67" s="1124" t="s">
        <v>92</v>
      </c>
      <c r="D67" s="1042" t="s">
        <v>1676</v>
      </c>
      <c r="E67" s="1043">
        <v>0</v>
      </c>
      <c r="F67" s="1043">
        <v>0</v>
      </c>
      <c r="G67" s="1043">
        <v>1292400</v>
      </c>
      <c r="H67" s="1043">
        <v>0</v>
      </c>
      <c r="I67" s="1043">
        <v>0</v>
      </c>
      <c r="J67" s="1043">
        <v>0</v>
      </c>
      <c r="K67" s="1043">
        <v>1292400</v>
      </c>
      <c r="L67" s="1043">
        <v>0</v>
      </c>
      <c r="M67" s="561"/>
      <c r="N67" s="561">
        <v>1244800</v>
      </c>
      <c r="O67" s="561"/>
      <c r="P67" s="561"/>
      <c r="Q67" s="561"/>
      <c r="R67" s="561"/>
      <c r="S67" s="561"/>
      <c r="T67" s="561"/>
      <c r="U67" s="561"/>
      <c r="V67" s="561"/>
      <c r="W67" s="561"/>
      <c r="X67" s="561">
        <v>1292400</v>
      </c>
      <c r="Y67" s="561"/>
      <c r="Z67" s="561"/>
      <c r="AA67" s="561"/>
      <c r="AB67" s="561"/>
      <c r="AC67" s="64">
        <f t="shared" si="2"/>
        <v>2537200</v>
      </c>
      <c r="AD67" s="561">
        <f t="shared" si="3"/>
        <v>1292400</v>
      </c>
    </row>
    <row r="68" spans="1:30">
      <c r="A68" s="1041" t="s">
        <v>1674</v>
      </c>
      <c r="B68" s="1042" t="s">
        <v>338</v>
      </c>
      <c r="C68" s="1124" t="s">
        <v>92</v>
      </c>
      <c r="D68" s="1042" t="s">
        <v>1677</v>
      </c>
      <c r="E68" s="1043">
        <v>0</v>
      </c>
      <c r="F68" s="1043">
        <v>0</v>
      </c>
      <c r="G68" s="1043">
        <v>412000</v>
      </c>
      <c r="H68" s="1043">
        <v>0</v>
      </c>
      <c r="I68" s="1043">
        <v>0</v>
      </c>
      <c r="J68" s="1043">
        <v>0</v>
      </c>
      <c r="K68" s="1043">
        <v>412000</v>
      </c>
      <c r="L68" s="1043">
        <v>0</v>
      </c>
      <c r="M68" s="561"/>
      <c r="N68" s="561">
        <v>2253000</v>
      </c>
      <c r="O68" s="561"/>
      <c r="P68" s="561"/>
      <c r="Q68" s="561"/>
      <c r="R68" s="561"/>
      <c r="S68" s="561"/>
      <c r="T68" s="561"/>
      <c r="U68" s="561"/>
      <c r="V68" s="561"/>
      <c r="W68" s="561"/>
      <c r="X68" s="561"/>
      <c r="Y68" s="561"/>
      <c r="Z68" s="561">
        <v>270000</v>
      </c>
      <c r="AA68" s="561"/>
      <c r="AB68" s="561">
        <v>142000</v>
      </c>
      <c r="AC68" s="64">
        <f t="shared" si="2"/>
        <v>2665000</v>
      </c>
      <c r="AD68" s="561">
        <f t="shared" si="3"/>
        <v>412000</v>
      </c>
    </row>
    <row r="69" spans="1:30">
      <c r="A69" s="1041" t="s">
        <v>1678</v>
      </c>
      <c r="B69" s="1042" t="s">
        <v>1679</v>
      </c>
      <c r="C69" s="1124" t="s">
        <v>87</v>
      </c>
      <c r="D69" s="1042" t="s">
        <v>1680</v>
      </c>
      <c r="E69" s="1043">
        <v>0</v>
      </c>
      <c r="F69" s="1043">
        <v>0</v>
      </c>
      <c r="G69" s="1043">
        <v>933809</v>
      </c>
      <c r="H69" s="1043">
        <v>0</v>
      </c>
      <c r="I69" s="1043">
        <v>0</v>
      </c>
      <c r="J69" s="1043">
        <v>0</v>
      </c>
      <c r="K69" s="1043">
        <v>933809</v>
      </c>
      <c r="L69" s="1043">
        <v>0</v>
      </c>
      <c r="M69" s="561"/>
      <c r="N69" s="561">
        <v>1719800</v>
      </c>
      <c r="O69" s="561">
        <v>40909</v>
      </c>
      <c r="P69" s="561"/>
      <c r="Q69" s="561"/>
      <c r="R69" s="561"/>
      <c r="S69" s="561"/>
      <c r="T69" s="561">
        <v>30000</v>
      </c>
      <c r="U69" s="561">
        <v>106700</v>
      </c>
      <c r="V69" s="561">
        <v>110000</v>
      </c>
      <c r="W69" s="561"/>
      <c r="X69" s="561">
        <v>646200</v>
      </c>
      <c r="Y69" s="561"/>
      <c r="Z69" s="561"/>
      <c r="AA69" s="561"/>
      <c r="AB69" s="561"/>
      <c r="AC69" s="64">
        <f t="shared" si="2"/>
        <v>2653609</v>
      </c>
      <c r="AD69" s="561">
        <f t="shared" si="3"/>
        <v>933809</v>
      </c>
    </row>
    <row r="70" spans="1:30">
      <c r="A70" s="1041" t="s">
        <v>1678</v>
      </c>
      <c r="B70" s="1042" t="s">
        <v>1681</v>
      </c>
      <c r="C70" s="1124" t="s">
        <v>42</v>
      </c>
      <c r="D70" s="1042" t="s">
        <v>1682</v>
      </c>
      <c r="E70" s="1043">
        <v>0</v>
      </c>
      <c r="F70" s="1043">
        <v>0</v>
      </c>
      <c r="G70" s="1043">
        <v>4409500</v>
      </c>
      <c r="H70" s="1043">
        <v>0</v>
      </c>
      <c r="I70" s="1043">
        <v>0</v>
      </c>
      <c r="J70" s="1043">
        <v>0</v>
      </c>
      <c r="K70" s="1043">
        <v>4409500</v>
      </c>
      <c r="L70" s="1043">
        <v>0</v>
      </c>
      <c r="M70" s="561"/>
      <c r="N70" s="561">
        <f>220000+6813000</f>
        <v>7033000</v>
      </c>
      <c r="O70" s="561"/>
      <c r="P70" s="561">
        <v>330000</v>
      </c>
      <c r="Q70" s="561"/>
      <c r="R70" s="561">
        <f>1000000+500000</f>
        <v>1500000</v>
      </c>
      <c r="S70" s="561"/>
      <c r="T70" s="561"/>
      <c r="U70" s="561">
        <v>1743500</v>
      </c>
      <c r="V70" s="561"/>
      <c r="W70" s="561"/>
      <c r="X70" s="561"/>
      <c r="Y70" s="561"/>
      <c r="Z70" s="561"/>
      <c r="AA70" s="561"/>
      <c r="AB70" s="561">
        <f>418000+418000</f>
        <v>836000</v>
      </c>
      <c r="AC70" s="64">
        <f t="shared" si="2"/>
        <v>11442500</v>
      </c>
      <c r="AD70" s="561">
        <f t="shared" si="3"/>
        <v>4409500</v>
      </c>
    </row>
    <row r="71" spans="1:30">
      <c r="A71" s="1041" t="s">
        <v>1678</v>
      </c>
      <c r="B71" s="1042" t="s">
        <v>1683</v>
      </c>
      <c r="C71" s="1124" t="s">
        <v>79</v>
      </c>
      <c r="D71" s="1042" t="s">
        <v>1684</v>
      </c>
      <c r="E71" s="1043">
        <v>0</v>
      </c>
      <c r="F71" s="1043">
        <v>0</v>
      </c>
      <c r="G71" s="1043">
        <v>2983600</v>
      </c>
      <c r="H71" s="1043">
        <v>0</v>
      </c>
      <c r="I71" s="1043">
        <v>0</v>
      </c>
      <c r="J71" s="1043">
        <v>0</v>
      </c>
      <c r="K71" s="1043">
        <v>2983600</v>
      </c>
      <c r="L71" s="1043">
        <v>0</v>
      </c>
      <c r="M71" s="561"/>
      <c r="N71" s="561">
        <f>4672800+308000</f>
        <v>4980800</v>
      </c>
      <c r="O71" s="561"/>
      <c r="P71" s="561"/>
      <c r="Q71" s="561">
        <v>2064000</v>
      </c>
      <c r="R71" s="561"/>
      <c r="S71" s="561">
        <v>330000</v>
      </c>
      <c r="T71" s="561"/>
      <c r="U71" s="561">
        <v>334400</v>
      </c>
      <c r="V71" s="561"/>
      <c r="W71" s="561"/>
      <c r="X71" s="561"/>
      <c r="Y71" s="561"/>
      <c r="Z71" s="561"/>
      <c r="AA71" s="561"/>
      <c r="AB71" s="561">
        <v>255200</v>
      </c>
      <c r="AC71" s="64">
        <f t="shared" si="2"/>
        <v>7964400</v>
      </c>
      <c r="AD71" s="561">
        <f t="shared" si="3"/>
        <v>2983600</v>
      </c>
    </row>
    <row r="72" spans="1:30" s="229" customFormat="1">
      <c r="A72" s="1125" t="s">
        <v>404</v>
      </c>
      <c r="B72" s="1126"/>
      <c r="C72" s="1126"/>
      <c r="D72" s="1127"/>
      <c r="E72" s="1043">
        <v>158922314</v>
      </c>
      <c r="F72" s="1043">
        <v>0</v>
      </c>
      <c r="G72" s="668">
        <v>81507465</v>
      </c>
      <c r="H72" s="1043">
        <v>0</v>
      </c>
      <c r="I72" s="1043">
        <v>158922314</v>
      </c>
      <c r="J72" s="1043">
        <v>0</v>
      </c>
      <c r="K72" s="1043">
        <v>81507465</v>
      </c>
      <c r="L72" s="1043">
        <v>0</v>
      </c>
      <c r="N72" s="1128">
        <f>SUM(N47:N71)</f>
        <v>79757360</v>
      </c>
      <c r="O72" s="1128">
        <f t="shared" ref="O72:AB72" si="4">SUM(O47:O71)</f>
        <v>1726365</v>
      </c>
      <c r="P72" s="1128">
        <f t="shared" si="4"/>
        <v>1980000</v>
      </c>
      <c r="Q72" s="1128">
        <f t="shared" si="4"/>
        <v>5664000</v>
      </c>
      <c r="R72" s="1128">
        <f t="shared" si="4"/>
        <v>33500000</v>
      </c>
      <c r="S72" s="1128">
        <f t="shared" si="4"/>
        <v>330000</v>
      </c>
      <c r="T72" s="1128">
        <f t="shared" si="4"/>
        <v>30000</v>
      </c>
      <c r="U72" s="1128">
        <f t="shared" si="4"/>
        <v>12241600</v>
      </c>
      <c r="V72" s="1128">
        <f t="shared" si="4"/>
        <v>110000</v>
      </c>
      <c r="W72" s="1128">
        <f t="shared" si="4"/>
        <v>0</v>
      </c>
      <c r="X72" s="1128">
        <f t="shared" si="4"/>
        <v>3121200</v>
      </c>
      <c r="Y72" s="1128">
        <f t="shared" si="4"/>
        <v>0</v>
      </c>
      <c r="Z72" s="1128">
        <f t="shared" si="4"/>
        <v>1500000</v>
      </c>
      <c r="AA72" s="1128">
        <f t="shared" si="4"/>
        <v>0</v>
      </c>
      <c r="AB72" s="1128">
        <f t="shared" si="4"/>
        <v>7798800</v>
      </c>
      <c r="AC72" s="64">
        <f>SUM(AC47:AC71)</f>
        <v>143809325</v>
      </c>
      <c r="AD72" s="1128">
        <f>AD47+AD48+AD52+AD55+AD56+AD57+AD58+AD64+AD65+AD66+AD67+AD68+AD69+AD70+AD71</f>
        <v>68001965</v>
      </c>
    </row>
    <row r="73" spans="1:30">
      <c r="A73" s="1046" t="s">
        <v>257</v>
      </c>
      <c r="B73" s="1050"/>
      <c r="C73" s="1050"/>
      <c r="D73" s="1047"/>
      <c r="E73" s="1043">
        <v>158922314</v>
      </c>
      <c r="F73" s="1043">
        <v>0</v>
      </c>
      <c r="G73" s="1043">
        <v>81507465</v>
      </c>
      <c r="H73" s="1043">
        <v>0</v>
      </c>
      <c r="I73" s="1043">
        <v>158922314</v>
      </c>
      <c r="J73" s="1043">
        <v>0</v>
      </c>
      <c r="K73" s="1043">
        <v>81507465</v>
      </c>
      <c r="L73" s="1043">
        <v>0</v>
      </c>
      <c r="AC73" s="64">
        <f t="shared" si="2"/>
        <v>0</v>
      </c>
    </row>
    <row r="74" spans="1:30">
      <c r="A74" s="1046" t="s">
        <v>258</v>
      </c>
      <c r="B74" s="1050"/>
      <c r="C74" s="1050"/>
      <c r="D74" s="1047"/>
      <c r="E74" s="1043">
        <v>158922314</v>
      </c>
      <c r="F74" s="1043">
        <v>0</v>
      </c>
      <c r="G74" s="1043">
        <v>81507465</v>
      </c>
      <c r="H74" s="1043">
        <v>0</v>
      </c>
      <c r="I74" s="1043">
        <v>158922314</v>
      </c>
      <c r="J74" s="1043">
        <v>0</v>
      </c>
      <c r="K74" s="1043">
        <v>81507465</v>
      </c>
      <c r="L74" s="1043">
        <v>0</v>
      </c>
      <c r="O74" s="67"/>
    </row>
    <row r="76" spans="1:30">
      <c r="G76" s="67">
        <f>G47+G48+G52+G55+G56+G57+G58+G64+G65+G66+G67+G68+G69+G70+G71</f>
        <v>68001965</v>
      </c>
      <c r="H76" s="67">
        <f>G72-G76</f>
        <v>13505500</v>
      </c>
      <c r="K76" s="1051" t="s">
        <v>1685</v>
      </c>
    </row>
    <row r="77" spans="1:30">
      <c r="D77" s="1044" t="s">
        <v>248</v>
      </c>
      <c r="G77" s="67" t="e">
        <f>#REF!</f>
        <v>#REF!</v>
      </c>
      <c r="K77" s="1044" t="s">
        <v>249</v>
      </c>
    </row>
    <row r="78" spans="1:30">
      <c r="D78" s="1044" t="s">
        <v>250</v>
      </c>
      <c r="G78" s="67" t="e">
        <f>G76+G77</f>
        <v>#REF!</v>
      </c>
      <c r="K78" s="1044" t="s">
        <v>251</v>
      </c>
    </row>
    <row r="83" spans="4:11">
      <c r="D83" s="1044" t="s">
        <v>252</v>
      </c>
      <c r="K83" s="1044" t="s">
        <v>253</v>
      </c>
    </row>
  </sheetData>
  <pageMargins left="0.24" right="0.2" top="0.25" bottom="0.27" header="0.3" footer="0.3"/>
  <pageSetup paperSize="9" orientation="landscape"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3"/>
  <sheetViews>
    <sheetView topLeftCell="B1" workbookViewId="0">
      <selection activeCell="N21" sqref="N21"/>
    </sheetView>
  </sheetViews>
  <sheetFormatPr defaultColWidth="11.42578125" defaultRowHeight="15.75"/>
  <cols>
    <col min="1" max="1" width="14" style="20" hidden="1" customWidth="1"/>
    <col min="2" max="2" width="12.42578125" style="20" customWidth="1"/>
    <col min="3" max="3" width="5.140625" style="20" customWidth="1"/>
    <col min="4" max="4" width="25.42578125" style="20" customWidth="1"/>
    <col min="5" max="7" width="7.140625" style="20" customWidth="1"/>
    <col min="8" max="8" width="13.28515625" style="20" hidden="1" customWidth="1"/>
    <col min="9" max="9" width="14" style="20" hidden="1" customWidth="1"/>
    <col min="10" max="10" width="11.85546875" style="20" hidden="1" customWidth="1"/>
    <col min="11" max="11" width="13.7109375" style="20" hidden="1" customWidth="1"/>
    <col min="12" max="12" width="13.28515625" style="20" hidden="1" customWidth="1"/>
    <col min="13" max="13" width="12.140625" style="20" customWidth="1"/>
    <col min="14" max="14" width="11.42578125" style="20" customWidth="1"/>
    <col min="15" max="15" width="11.28515625" style="20" customWidth="1"/>
    <col min="16" max="16" width="13.28515625" style="20" customWidth="1"/>
    <col min="17" max="17" width="13.5703125" style="20" hidden="1" customWidth="1"/>
    <col min="18" max="18" width="16.140625" style="59" hidden="1" customWidth="1"/>
    <col min="19" max="19" width="11.42578125" style="20" hidden="1" customWidth="1"/>
    <col min="20" max="20" width="13.28515625" style="20" hidden="1" customWidth="1"/>
    <col min="21" max="21" width="16.85546875" style="20" hidden="1" customWidth="1"/>
    <col min="22" max="22" width="17.28515625" style="20" hidden="1" customWidth="1"/>
    <col min="23" max="24" width="11.42578125" style="20" hidden="1" customWidth="1"/>
    <col min="25" max="26" width="13.28515625" style="895" customWidth="1"/>
    <col min="27" max="27" width="11.42578125" style="895" customWidth="1"/>
    <col min="28" max="28" width="11.42578125" style="20" customWidth="1"/>
    <col min="29" max="29" width="14.5703125" style="895" bestFit="1" customWidth="1"/>
    <col min="30" max="16384" width="11.42578125" style="20"/>
  </cols>
  <sheetData>
    <row r="1" spans="1:30">
      <c r="C1" s="1488" t="s">
        <v>111</v>
      </c>
      <c r="D1" s="1488"/>
      <c r="E1" s="1488"/>
      <c r="I1" s="1489" t="s">
        <v>112</v>
      </c>
      <c r="J1" s="1489"/>
      <c r="K1" s="1489"/>
      <c r="L1" s="1489"/>
      <c r="M1" s="1489"/>
      <c r="N1" s="1489"/>
      <c r="O1" s="1489"/>
    </row>
    <row r="2" spans="1:30" ht="16.5">
      <c r="C2" s="1488" t="s">
        <v>113</v>
      </c>
      <c r="D2" s="1488"/>
      <c r="E2" s="1488"/>
      <c r="I2" s="1490" t="s">
        <v>114</v>
      </c>
      <c r="J2" s="1490"/>
      <c r="K2" s="1490"/>
      <c r="L2" s="1490"/>
      <c r="M2" s="1490"/>
      <c r="N2" s="1490"/>
      <c r="O2" s="1490"/>
    </row>
    <row r="3" spans="1:30" ht="16.5">
      <c r="C3" s="1490" t="s">
        <v>115</v>
      </c>
      <c r="D3" s="1490"/>
      <c r="E3" s="1490"/>
    </row>
    <row r="4" spans="1:30" ht="16.5">
      <c r="C4" s="1490" t="s">
        <v>116</v>
      </c>
      <c r="D4" s="1490"/>
      <c r="E4" s="1490"/>
    </row>
    <row r="5" spans="1:30" ht="16.5">
      <c r="C5" s="123"/>
      <c r="D5" s="123"/>
      <c r="E5" s="123"/>
    </row>
    <row r="6" spans="1:30" ht="25.5" customHeight="1">
      <c r="E6" s="1491" t="s">
        <v>117</v>
      </c>
      <c r="F6" s="1491"/>
      <c r="G6" s="1491"/>
      <c r="H6" s="1491"/>
      <c r="I6" s="1491"/>
      <c r="J6" s="1491"/>
      <c r="K6" s="1491"/>
      <c r="L6" s="1491"/>
      <c r="M6" s="1491"/>
      <c r="N6" s="124"/>
    </row>
    <row r="7" spans="1:30" ht="18.75">
      <c r="E7" s="1492" t="s">
        <v>1317</v>
      </c>
      <c r="F7" s="1492"/>
      <c r="G7" s="1492"/>
      <c r="H7" s="1492"/>
      <c r="I7" s="1492"/>
      <c r="J7" s="1492"/>
      <c r="K7" s="1492"/>
      <c r="L7" s="1492"/>
      <c r="M7" s="1492"/>
      <c r="N7" s="125"/>
    </row>
    <row r="9" spans="1:30" ht="31.5">
      <c r="A9" s="829" t="s">
        <v>118</v>
      </c>
      <c r="B9" s="829" t="s">
        <v>119</v>
      </c>
      <c r="C9" s="830" t="s">
        <v>120</v>
      </c>
      <c r="D9" s="830" t="s">
        <v>121</v>
      </c>
      <c r="E9" s="830" t="s">
        <v>122</v>
      </c>
      <c r="F9" s="830" t="s">
        <v>123</v>
      </c>
      <c r="G9" s="42" t="s">
        <v>124</v>
      </c>
      <c r="H9" s="42" t="s">
        <v>125</v>
      </c>
      <c r="I9" s="42" t="s">
        <v>126</v>
      </c>
      <c r="J9" s="42" t="s">
        <v>208</v>
      </c>
      <c r="K9" s="42" t="s">
        <v>127</v>
      </c>
      <c r="L9" s="42" t="s">
        <v>128</v>
      </c>
      <c r="M9" s="42" t="s">
        <v>129</v>
      </c>
      <c r="N9" s="42" t="s">
        <v>130</v>
      </c>
      <c r="O9" s="42" t="s">
        <v>140</v>
      </c>
      <c r="P9" s="42" t="s">
        <v>131</v>
      </c>
      <c r="Q9" s="43" t="s">
        <v>172</v>
      </c>
      <c r="R9" s="60" t="s">
        <v>173</v>
      </c>
      <c r="U9" s="28">
        <f>SUM(U10:U85)</f>
        <v>151994689</v>
      </c>
      <c r="X9" s="20" t="s">
        <v>899</v>
      </c>
      <c r="Y9" s="898" t="s">
        <v>129</v>
      </c>
      <c r="Z9" s="898"/>
      <c r="AA9" s="898" t="s">
        <v>1392</v>
      </c>
      <c r="AB9" s="899"/>
      <c r="AC9" s="898" t="s">
        <v>433</v>
      </c>
      <c r="AD9" s="899"/>
    </row>
    <row r="10" spans="1:30" ht="18" customHeight="1">
      <c r="A10" s="15" t="s">
        <v>174</v>
      </c>
      <c r="B10" s="45" t="s">
        <v>167</v>
      </c>
      <c r="C10" s="46">
        <v>1</v>
      </c>
      <c r="D10" s="900" t="s">
        <v>145</v>
      </c>
      <c r="E10" s="48">
        <v>196</v>
      </c>
      <c r="F10" s="49">
        <v>1</v>
      </c>
      <c r="G10" s="50">
        <v>8.5</v>
      </c>
      <c r="H10" s="16">
        <v>1488928</v>
      </c>
      <c r="I10" s="16">
        <v>0</v>
      </c>
      <c r="J10" s="16">
        <v>0</v>
      </c>
      <c r="K10" s="16">
        <v>1488928</v>
      </c>
      <c r="L10" s="16">
        <v>0</v>
      </c>
      <c r="M10" s="16">
        <v>0</v>
      </c>
      <c r="N10" s="16">
        <v>44512</v>
      </c>
      <c r="O10" s="16">
        <v>0</v>
      </c>
      <c r="P10" s="16">
        <v>1444416</v>
      </c>
      <c r="Q10" s="44">
        <v>4286903</v>
      </c>
      <c r="R10" s="61">
        <v>-2797975</v>
      </c>
      <c r="S10" s="20" t="s">
        <v>167</v>
      </c>
      <c r="T10" s="28">
        <v>3988188</v>
      </c>
      <c r="U10" s="28">
        <v>2499260</v>
      </c>
      <c r="V10" s="20">
        <v>0</v>
      </c>
      <c r="W10" s="20" t="s">
        <v>167</v>
      </c>
      <c r="X10" s="20" t="s">
        <v>900</v>
      </c>
      <c r="Y10" s="895">
        <f>IFERROR(VLOOKUP(B10,'DSOAT-T1.2025'!$B$11:$AQ$81,54,0),0)</f>
        <v>0</v>
      </c>
      <c r="Z10" s="895">
        <f>Y10-M10</f>
        <v>0</v>
      </c>
      <c r="AA10" s="895">
        <f>IFERROR(VLOOKUP(B10,'DSOAT-T1.2025'!$B$11:$AR$81,55,0),0)</f>
        <v>0</v>
      </c>
      <c r="AB10" s="896">
        <f>AA10-N10</f>
        <v>-44512</v>
      </c>
      <c r="AC10" s="895">
        <f>IFERROR(VLOOKUP(B10,'DSOAT-T1.2025'!$B$11:$AS$81,56,0),0)</f>
        <v>0</v>
      </c>
      <c r="AD10" s="896">
        <f>AC10-O10</f>
        <v>0</v>
      </c>
    </row>
    <row r="11" spans="1:30" ht="18" customHeight="1">
      <c r="A11" s="15" t="s">
        <v>175</v>
      </c>
      <c r="B11" s="45" t="s">
        <v>13</v>
      </c>
      <c r="C11" s="46">
        <v>2</v>
      </c>
      <c r="D11" s="47" t="s">
        <v>14</v>
      </c>
      <c r="E11" s="48">
        <v>489</v>
      </c>
      <c r="F11" s="49">
        <v>0.95</v>
      </c>
      <c r="G11" s="50">
        <v>24.5</v>
      </c>
      <c r="H11" s="16">
        <v>10171787</v>
      </c>
      <c r="I11" s="16">
        <v>0</v>
      </c>
      <c r="J11" s="16">
        <v>0</v>
      </c>
      <c r="K11" s="16">
        <v>10171787</v>
      </c>
      <c r="L11" s="16">
        <v>2000000</v>
      </c>
      <c r="M11" s="16">
        <v>467376</v>
      </c>
      <c r="N11" s="16">
        <v>44512</v>
      </c>
      <c r="O11" s="16">
        <v>0</v>
      </c>
      <c r="P11" s="16">
        <v>7659899</v>
      </c>
      <c r="Q11" s="44">
        <v>10160617</v>
      </c>
      <c r="R11" s="61">
        <v>11170</v>
      </c>
      <c r="S11" s="20" t="s">
        <v>13</v>
      </c>
      <c r="T11" s="28">
        <v>8372993</v>
      </c>
      <c r="U11" s="28">
        <v>-1798794</v>
      </c>
      <c r="V11" s="20" t="s">
        <v>13</v>
      </c>
      <c r="W11" s="20" t="s">
        <v>13</v>
      </c>
      <c r="X11" s="20" t="s">
        <v>900</v>
      </c>
      <c r="Y11" s="895">
        <f>IFERROR(VLOOKUP(B11,'DSOAT-T1.2025'!$B$11:$AQ$81,54,0),0)</f>
        <v>0</v>
      </c>
      <c r="Z11" s="895">
        <f t="shared" ref="Z11:Z74" si="0">Y11-M11</f>
        <v>-467376</v>
      </c>
      <c r="AA11" s="895">
        <f>IFERROR(VLOOKUP(B11,'DSOAT-T1.2025'!$B$11:$AR$81,55,0),0)</f>
        <v>0</v>
      </c>
      <c r="AB11" s="896">
        <f t="shared" ref="AB11:AB74" si="1">AA11-N11</f>
        <v>-44512</v>
      </c>
      <c r="AC11" s="895">
        <f>IFERROR(VLOOKUP(B11,'DSOAT-T1.2025'!$B$11:$AS$81,56,0),0)</f>
        <v>0</v>
      </c>
      <c r="AD11" s="896">
        <f t="shared" ref="AD11:AD74" si="2">AC11-O11</f>
        <v>0</v>
      </c>
    </row>
    <row r="12" spans="1:30" ht="18" customHeight="1">
      <c r="A12" s="15" t="s">
        <v>183</v>
      </c>
      <c r="B12" s="45" t="s">
        <v>103</v>
      </c>
      <c r="C12" s="46">
        <v>3</v>
      </c>
      <c r="D12" s="47" t="s">
        <v>104</v>
      </c>
      <c r="E12" s="48">
        <v>570</v>
      </c>
      <c r="F12" s="49">
        <v>0.97</v>
      </c>
      <c r="G12" s="50">
        <v>24.5</v>
      </c>
      <c r="H12" s="16">
        <v>12120702</v>
      </c>
      <c r="I12" s="16">
        <v>87782</v>
      </c>
      <c r="J12" s="16">
        <v>0</v>
      </c>
      <c r="K12" s="16">
        <v>12208484</v>
      </c>
      <c r="L12" s="16">
        <v>2000000</v>
      </c>
      <c r="M12" s="16">
        <v>467376</v>
      </c>
      <c r="N12" s="16">
        <v>44512</v>
      </c>
      <c r="O12" s="16">
        <v>38555</v>
      </c>
      <c r="P12" s="16">
        <v>9658041</v>
      </c>
      <c r="Q12" s="44">
        <v>12625956</v>
      </c>
      <c r="R12" s="61">
        <v>-417472</v>
      </c>
      <c r="S12" s="20" t="s">
        <v>103</v>
      </c>
      <c r="T12" s="28">
        <v>9056502</v>
      </c>
      <c r="U12" s="28">
        <v>-3151982</v>
      </c>
      <c r="V12" s="20" t="s">
        <v>103</v>
      </c>
      <c r="W12" s="20" t="s">
        <v>103</v>
      </c>
      <c r="X12" s="20" t="s">
        <v>900</v>
      </c>
      <c r="Y12" s="895">
        <f>IFERROR(VLOOKUP(B12,'DSOAT-T1.2025'!$B$11:$AQ$81,54,0),0)</f>
        <v>0</v>
      </c>
      <c r="Z12" s="895">
        <f t="shared" si="0"/>
        <v>-467376</v>
      </c>
      <c r="AA12" s="895">
        <f>IFERROR(VLOOKUP(B12,'DSOAT-T1.2025'!$B$11:$AR$81,55,0),0)</f>
        <v>0</v>
      </c>
      <c r="AB12" s="896">
        <f t="shared" si="1"/>
        <v>-44512</v>
      </c>
      <c r="AC12" s="895">
        <f>IFERROR(VLOOKUP(B12,'DSOAT-T1.2025'!$B$11:$AS$81,56,0),0)</f>
        <v>0</v>
      </c>
      <c r="AD12" s="896">
        <f t="shared" si="2"/>
        <v>-38555</v>
      </c>
    </row>
    <row r="13" spans="1:30" ht="18" customHeight="1">
      <c r="A13" s="15" t="s">
        <v>175</v>
      </c>
      <c r="B13" s="45" t="s">
        <v>21</v>
      </c>
      <c r="C13" s="46">
        <v>4</v>
      </c>
      <c r="D13" s="47" t="s">
        <v>22</v>
      </c>
      <c r="E13" s="48">
        <v>290</v>
      </c>
      <c r="F13" s="49">
        <v>0.98</v>
      </c>
      <c r="G13" s="50">
        <v>24.5</v>
      </c>
      <c r="H13" s="16">
        <v>6222843</v>
      </c>
      <c r="I13" s="16">
        <v>0</v>
      </c>
      <c r="J13" s="16">
        <v>0</v>
      </c>
      <c r="K13" s="16">
        <v>6222843</v>
      </c>
      <c r="L13" s="16">
        <v>2000000</v>
      </c>
      <c r="M13" s="16">
        <v>467376</v>
      </c>
      <c r="N13" s="16">
        <v>44512</v>
      </c>
      <c r="O13" s="16">
        <v>0</v>
      </c>
      <c r="P13" s="16">
        <v>3710955</v>
      </c>
      <c r="Q13" s="44">
        <v>6849068</v>
      </c>
      <c r="R13" s="61">
        <v>-626225</v>
      </c>
      <c r="S13" s="20" t="s">
        <v>21</v>
      </c>
      <c r="T13" s="28">
        <v>5370932</v>
      </c>
      <c r="U13" s="28">
        <v>-851911</v>
      </c>
      <c r="V13" s="20">
        <v>0</v>
      </c>
      <c r="W13" s="20" t="s">
        <v>21</v>
      </c>
      <c r="X13" s="20" t="s">
        <v>900</v>
      </c>
      <c r="Y13" s="895">
        <f>IFERROR(VLOOKUP(B13,'DSOAT-T1.2025'!$B$11:$AQ$81,54,0),0)</f>
        <v>0</v>
      </c>
      <c r="Z13" s="895">
        <f t="shared" si="0"/>
        <v>-467376</v>
      </c>
      <c r="AA13" s="895">
        <f>IFERROR(VLOOKUP(B13,'DSOAT-T1.2025'!$B$11:$AR$81,55,0),0)</f>
        <v>0</v>
      </c>
      <c r="AB13" s="896">
        <f t="shared" si="1"/>
        <v>-44512</v>
      </c>
      <c r="AC13" s="895">
        <f>IFERROR(VLOOKUP(B13,'DSOAT-T1.2025'!$B$11:$AS$81,56,0),0)</f>
        <v>0</v>
      </c>
      <c r="AD13" s="896">
        <f t="shared" si="2"/>
        <v>0</v>
      </c>
    </row>
    <row r="14" spans="1:30" ht="18" customHeight="1">
      <c r="A14" s="15" t="s">
        <v>175</v>
      </c>
      <c r="B14" s="45" t="s">
        <v>1310</v>
      </c>
      <c r="C14" s="46">
        <v>5</v>
      </c>
      <c r="D14" s="900" t="s">
        <v>1313</v>
      </c>
      <c r="E14" s="48">
        <v>415</v>
      </c>
      <c r="F14" s="49">
        <v>1</v>
      </c>
      <c r="G14" s="50">
        <v>13</v>
      </c>
      <c r="H14" s="16">
        <v>4821589</v>
      </c>
      <c r="I14" s="16">
        <v>0</v>
      </c>
      <c r="J14" s="16">
        <v>0</v>
      </c>
      <c r="K14" s="16">
        <v>4821589</v>
      </c>
      <c r="L14" s="16">
        <v>0</v>
      </c>
      <c r="M14" s="16">
        <v>467376</v>
      </c>
      <c r="N14" s="16">
        <v>44512</v>
      </c>
      <c r="O14" s="16">
        <v>0</v>
      </c>
      <c r="P14" s="16">
        <v>4309701</v>
      </c>
      <c r="Q14" s="44">
        <v>0</v>
      </c>
      <c r="R14" s="61">
        <v>4821589</v>
      </c>
      <c r="S14" s="20" t="s">
        <v>1310</v>
      </c>
      <c r="T14" s="28">
        <v>5370932</v>
      </c>
      <c r="U14" s="28">
        <v>549343</v>
      </c>
      <c r="V14" s="20">
        <v>0</v>
      </c>
      <c r="W14" s="20" t="s">
        <v>1310</v>
      </c>
      <c r="X14" s="20" t="s">
        <v>900</v>
      </c>
      <c r="Y14" s="895">
        <f>IFERROR(VLOOKUP(B14,'DSOAT-T1.2025'!$B$11:$AQ$81,54,0),0)</f>
        <v>0</v>
      </c>
      <c r="Z14" s="895">
        <f t="shared" si="0"/>
        <v>-467376</v>
      </c>
      <c r="AA14" s="895">
        <f>IFERROR(VLOOKUP(B14,'DSOAT-T1.2025'!$B$11:$AR$81,55,0),0)</f>
        <v>0</v>
      </c>
      <c r="AB14" s="896">
        <f t="shared" si="1"/>
        <v>-44512</v>
      </c>
      <c r="AC14" s="895">
        <f>IFERROR(VLOOKUP(B14,'DSOAT-T1.2025'!$B$11:$AS$81,56,0),0)</f>
        <v>0</v>
      </c>
      <c r="AD14" s="896">
        <f t="shared" si="2"/>
        <v>0</v>
      </c>
    </row>
    <row r="15" spans="1:30" ht="18" customHeight="1">
      <c r="A15" s="15" t="s">
        <v>176</v>
      </c>
      <c r="B15" s="45" t="s">
        <v>16</v>
      </c>
      <c r="C15" s="46">
        <v>6</v>
      </c>
      <c r="D15" s="47" t="s">
        <v>17</v>
      </c>
      <c r="E15" s="48">
        <v>379</v>
      </c>
      <c r="F15" s="49">
        <v>1.17</v>
      </c>
      <c r="G15" s="50">
        <v>24.5</v>
      </c>
      <c r="H15" s="16">
        <v>9709344</v>
      </c>
      <c r="I15" s="16">
        <v>89575</v>
      </c>
      <c r="J15" s="16">
        <v>0</v>
      </c>
      <c r="K15" s="16">
        <v>9798919</v>
      </c>
      <c r="L15" s="16">
        <v>2000000</v>
      </c>
      <c r="M15" s="16">
        <v>467376</v>
      </c>
      <c r="N15" s="16">
        <v>44512</v>
      </c>
      <c r="O15" s="16">
        <v>0</v>
      </c>
      <c r="P15" s="16">
        <v>7287031</v>
      </c>
      <c r="Q15" s="44">
        <v>10057734</v>
      </c>
      <c r="R15" s="61">
        <v>-258815</v>
      </c>
      <c r="S15" s="20" t="s">
        <v>16</v>
      </c>
      <c r="T15" s="28">
        <v>5957995</v>
      </c>
      <c r="U15" s="28">
        <v>-3840924</v>
      </c>
      <c r="V15" s="20" t="s">
        <v>16</v>
      </c>
      <c r="W15" s="20" t="s">
        <v>16</v>
      </c>
      <c r="X15" s="20" t="s">
        <v>900</v>
      </c>
      <c r="Y15" s="895">
        <f>IFERROR(VLOOKUP(B15,'DSOAT-T1.2025'!$B$11:$AQ$81,54,0),0)</f>
        <v>0</v>
      </c>
      <c r="Z15" s="895">
        <f t="shared" si="0"/>
        <v>-467376</v>
      </c>
      <c r="AA15" s="895">
        <f>IFERROR(VLOOKUP(B15,'DSOAT-T1.2025'!$B$11:$AR$81,55,0),0)</f>
        <v>0</v>
      </c>
      <c r="AB15" s="896">
        <f t="shared" si="1"/>
        <v>-44512</v>
      </c>
      <c r="AC15" s="895">
        <f>IFERROR(VLOOKUP(B15,'DSOAT-T1.2025'!$B$11:$AS$81,56,0),0)</f>
        <v>0</v>
      </c>
      <c r="AD15" s="896">
        <f t="shared" si="2"/>
        <v>0</v>
      </c>
    </row>
    <row r="16" spans="1:30" ht="18" customHeight="1">
      <c r="A16" s="15" t="s">
        <v>176</v>
      </c>
      <c r="B16" s="45" t="s">
        <v>157</v>
      </c>
      <c r="C16" s="46">
        <v>7</v>
      </c>
      <c r="D16" s="47" t="s">
        <v>144</v>
      </c>
      <c r="E16" s="48">
        <v>379</v>
      </c>
      <c r="F16" s="49">
        <v>1.39</v>
      </c>
      <c r="G16" s="50">
        <v>24.5</v>
      </c>
      <c r="H16" s="16">
        <v>11535032</v>
      </c>
      <c r="I16" s="16">
        <v>162727</v>
      </c>
      <c r="J16" s="16">
        <v>0</v>
      </c>
      <c r="K16" s="16">
        <v>11697759</v>
      </c>
      <c r="L16" s="16">
        <v>2000000</v>
      </c>
      <c r="M16" s="16">
        <v>467376</v>
      </c>
      <c r="N16" s="16">
        <v>44512</v>
      </c>
      <c r="O16" s="16">
        <v>28519</v>
      </c>
      <c r="P16" s="16">
        <v>9157352</v>
      </c>
      <c r="Q16" s="44">
        <v>11707899</v>
      </c>
      <c r="R16" s="61">
        <v>-10140</v>
      </c>
      <c r="S16" s="20" t="s">
        <v>157</v>
      </c>
      <c r="T16" s="28">
        <v>8981838</v>
      </c>
      <c r="U16" s="28">
        <v>-2715921</v>
      </c>
      <c r="V16" s="20" t="s">
        <v>157</v>
      </c>
      <c r="W16" s="20" t="s">
        <v>157</v>
      </c>
      <c r="X16" s="20" t="s">
        <v>900</v>
      </c>
      <c r="Y16" s="895">
        <f>IFERROR(VLOOKUP(B16,'DSOAT-T1.2025'!$B$11:$AQ$81,54,0),0)</f>
        <v>0</v>
      </c>
      <c r="Z16" s="895">
        <f t="shared" si="0"/>
        <v>-467376</v>
      </c>
      <c r="AA16" s="895">
        <f>IFERROR(VLOOKUP(B16,'DSOAT-T1.2025'!$B$11:$AR$81,55,0),0)</f>
        <v>0</v>
      </c>
      <c r="AB16" s="896">
        <f t="shared" si="1"/>
        <v>-44512</v>
      </c>
      <c r="AC16" s="895">
        <f>IFERROR(VLOOKUP(B16,'DSOAT-T1.2025'!$B$11:$AS$81,56,0),0)</f>
        <v>0</v>
      </c>
      <c r="AD16" s="896">
        <f t="shared" si="2"/>
        <v>-28519</v>
      </c>
    </row>
    <row r="17" spans="1:30" ht="18" customHeight="1">
      <c r="A17" s="15" t="s">
        <v>177</v>
      </c>
      <c r="B17" s="45" t="s">
        <v>107</v>
      </c>
      <c r="C17" s="46">
        <v>8</v>
      </c>
      <c r="D17" s="47" t="s">
        <v>108</v>
      </c>
      <c r="E17" s="48">
        <v>543</v>
      </c>
      <c r="F17" s="49">
        <v>0.93</v>
      </c>
      <c r="G17" s="50">
        <v>24</v>
      </c>
      <c r="H17" s="16">
        <v>10869691</v>
      </c>
      <c r="I17" s="16">
        <v>0</v>
      </c>
      <c r="J17" s="16">
        <v>0</v>
      </c>
      <c r="K17" s="16">
        <v>10869691</v>
      </c>
      <c r="L17" s="16">
        <v>2000000</v>
      </c>
      <c r="M17" s="16">
        <v>467376</v>
      </c>
      <c r="N17" s="16">
        <v>44512</v>
      </c>
      <c r="O17" s="16">
        <v>0</v>
      </c>
      <c r="P17" s="16">
        <v>8357803</v>
      </c>
      <c r="Q17" s="44">
        <v>10392331</v>
      </c>
      <c r="R17" s="61">
        <v>477360</v>
      </c>
      <c r="S17" s="20" t="s">
        <v>107</v>
      </c>
      <c r="T17" s="28">
        <v>9297618</v>
      </c>
      <c r="U17" s="28">
        <v>-1572073</v>
      </c>
      <c r="V17" s="20" t="s">
        <v>107</v>
      </c>
      <c r="W17" s="20" t="s">
        <v>107</v>
      </c>
      <c r="Y17" s="895">
        <f>IFERROR(VLOOKUP(B17,'DSOAT-T1.2025'!$B$11:$AQ$81,54,0),0)</f>
        <v>0</v>
      </c>
      <c r="Z17" s="895">
        <f t="shared" si="0"/>
        <v>-467376</v>
      </c>
      <c r="AA17" s="895">
        <f>IFERROR(VLOOKUP(B17,'DSOAT-T1.2025'!$B$11:$AR$81,55,0),0)</f>
        <v>0</v>
      </c>
      <c r="AB17" s="896">
        <f t="shared" si="1"/>
        <v>-44512</v>
      </c>
      <c r="AC17" s="895">
        <f>IFERROR(VLOOKUP(B17,'DSOAT-T1.2025'!$B$11:$AS$81,56,0),0)</f>
        <v>0</v>
      </c>
      <c r="AD17" s="896">
        <f t="shared" si="2"/>
        <v>0</v>
      </c>
    </row>
    <row r="18" spans="1:30" ht="18" customHeight="1">
      <c r="A18" s="15" t="s">
        <v>178</v>
      </c>
      <c r="B18" s="45" t="s">
        <v>36</v>
      </c>
      <c r="C18" s="46">
        <v>9</v>
      </c>
      <c r="D18" s="47" t="s">
        <v>37</v>
      </c>
      <c r="E18" s="48">
        <v>489</v>
      </c>
      <c r="F18" s="49">
        <v>1</v>
      </c>
      <c r="G18" s="50">
        <v>24.5</v>
      </c>
      <c r="H18" s="16">
        <v>10680975</v>
      </c>
      <c r="I18" s="16">
        <v>0</v>
      </c>
      <c r="J18" s="16">
        <v>0</v>
      </c>
      <c r="K18" s="16">
        <v>10680975</v>
      </c>
      <c r="L18" s="16">
        <v>2000000</v>
      </c>
      <c r="M18" s="16">
        <v>467376</v>
      </c>
      <c r="N18" s="16">
        <v>44512</v>
      </c>
      <c r="O18" s="16">
        <v>0</v>
      </c>
      <c r="P18" s="16">
        <v>8169087</v>
      </c>
      <c r="Q18" s="44">
        <v>10658175</v>
      </c>
      <c r="R18" s="61">
        <v>22800</v>
      </c>
      <c r="S18" s="20" t="s">
        <v>36</v>
      </c>
      <c r="T18" s="28">
        <v>8297924</v>
      </c>
      <c r="U18" s="28">
        <v>-2383051</v>
      </c>
      <c r="V18" s="20" t="s">
        <v>36</v>
      </c>
      <c r="W18" s="20" t="s">
        <v>36</v>
      </c>
      <c r="X18" s="20" t="s">
        <v>900</v>
      </c>
      <c r="Y18" s="895">
        <f>IFERROR(VLOOKUP(B18,'DSOAT-T1.2025'!$B$11:$AQ$81,54,0),0)</f>
        <v>0</v>
      </c>
      <c r="Z18" s="895">
        <f t="shared" si="0"/>
        <v>-467376</v>
      </c>
      <c r="AA18" s="895">
        <f>IFERROR(VLOOKUP(B18,'DSOAT-T1.2025'!$B$11:$AR$81,55,0),0)</f>
        <v>0</v>
      </c>
      <c r="AB18" s="896">
        <f t="shared" si="1"/>
        <v>-44512</v>
      </c>
      <c r="AC18" s="895">
        <f>IFERROR(VLOOKUP(B18,'DSOAT-T1.2025'!$B$11:$AS$81,56,0),0)</f>
        <v>0</v>
      </c>
      <c r="AD18" s="896">
        <f t="shared" si="2"/>
        <v>0</v>
      </c>
    </row>
    <row r="19" spans="1:30" ht="18" customHeight="1">
      <c r="A19" s="15" t="s">
        <v>189</v>
      </c>
      <c r="B19" s="45" t="s">
        <v>156</v>
      </c>
      <c r="C19" s="46">
        <v>10</v>
      </c>
      <c r="D19" s="47" t="s">
        <v>143</v>
      </c>
      <c r="E19" s="48">
        <v>355</v>
      </c>
      <c r="F19" s="49">
        <v>1.07</v>
      </c>
      <c r="G19" s="50">
        <v>24.5</v>
      </c>
      <c r="H19" s="16">
        <v>3115168</v>
      </c>
      <c r="I19" s="16">
        <v>8259337</v>
      </c>
      <c r="J19" s="16">
        <v>0</v>
      </c>
      <c r="K19" s="16">
        <v>11374505</v>
      </c>
      <c r="L19" s="16">
        <v>2000000</v>
      </c>
      <c r="M19" s="16">
        <v>467376</v>
      </c>
      <c r="N19" s="16">
        <v>44512</v>
      </c>
      <c r="O19" s="16">
        <v>0</v>
      </c>
      <c r="P19" s="16">
        <v>8862617</v>
      </c>
      <c r="Q19" s="44">
        <v>9933337</v>
      </c>
      <c r="R19" s="61">
        <v>1441168</v>
      </c>
      <c r="S19" s="20" t="s">
        <v>156</v>
      </c>
      <c r="T19" s="28">
        <v>7738386</v>
      </c>
      <c r="U19" s="28">
        <v>-3636119</v>
      </c>
      <c r="V19" s="20" t="s">
        <v>156</v>
      </c>
      <c r="W19" s="20" t="s">
        <v>156</v>
      </c>
      <c r="Y19" s="895">
        <f>IFERROR(VLOOKUP(B19,'DSOAT-T1.2025'!$B$11:$AQ$81,54,0),0)</f>
        <v>0</v>
      </c>
      <c r="Z19" s="895">
        <f t="shared" si="0"/>
        <v>-467376</v>
      </c>
      <c r="AA19" s="895">
        <f>IFERROR(VLOOKUP(B19,'DSOAT-T1.2025'!$B$11:$AR$81,55,0),0)</f>
        <v>0</v>
      </c>
      <c r="AB19" s="896">
        <f t="shared" si="1"/>
        <v>-44512</v>
      </c>
      <c r="AC19" s="895">
        <f>IFERROR(VLOOKUP(B19,'DSOAT-T1.2025'!$B$11:$AS$81,56,0),0)</f>
        <v>0</v>
      </c>
      <c r="AD19" s="896">
        <f t="shared" si="2"/>
        <v>0</v>
      </c>
    </row>
    <row r="20" spans="1:30" ht="18" customHeight="1">
      <c r="A20" s="15" t="s">
        <v>189</v>
      </c>
      <c r="B20" s="45" t="s">
        <v>155</v>
      </c>
      <c r="C20" s="46">
        <v>11</v>
      </c>
      <c r="D20" s="47" t="s">
        <v>142</v>
      </c>
      <c r="E20" s="48">
        <v>355</v>
      </c>
      <c r="F20" s="49">
        <v>1.21</v>
      </c>
      <c r="G20" s="50">
        <v>24.5</v>
      </c>
      <c r="H20" s="16">
        <v>3522760</v>
      </c>
      <c r="I20" s="16">
        <v>7481842</v>
      </c>
      <c r="J20" s="16">
        <v>0</v>
      </c>
      <c r="K20" s="16">
        <v>11004602</v>
      </c>
      <c r="L20" s="16">
        <v>2000000</v>
      </c>
      <c r="M20" s="16">
        <v>467376</v>
      </c>
      <c r="N20" s="16">
        <v>44512</v>
      </c>
      <c r="O20" s="16">
        <v>0</v>
      </c>
      <c r="P20" s="16">
        <v>8492714</v>
      </c>
      <c r="Q20" s="44">
        <v>9831394</v>
      </c>
      <c r="R20" s="61">
        <v>1173208</v>
      </c>
      <c r="S20" s="20" t="s">
        <v>155</v>
      </c>
      <c r="T20" s="28">
        <v>7538592</v>
      </c>
      <c r="U20" s="28">
        <v>-3466010</v>
      </c>
      <c r="V20" s="20" t="s">
        <v>155</v>
      </c>
      <c r="W20" s="20" t="s">
        <v>155</v>
      </c>
      <c r="Y20" s="895">
        <f>IFERROR(VLOOKUP(B20,'DSOAT-T1.2025'!$B$11:$AQ$81,54,0),0)</f>
        <v>0</v>
      </c>
      <c r="Z20" s="895">
        <f t="shared" si="0"/>
        <v>-467376</v>
      </c>
      <c r="AA20" s="895">
        <f>IFERROR(VLOOKUP(B20,'DSOAT-T1.2025'!$B$11:$AR$81,55,0),0)</f>
        <v>0</v>
      </c>
      <c r="AB20" s="896">
        <f t="shared" si="1"/>
        <v>-44512</v>
      </c>
      <c r="AC20" s="895">
        <f>IFERROR(VLOOKUP(B20,'DSOAT-T1.2025'!$B$11:$AS$81,56,0),0)</f>
        <v>0</v>
      </c>
      <c r="AD20" s="896">
        <f t="shared" si="2"/>
        <v>0</v>
      </c>
    </row>
    <row r="21" spans="1:30" ht="18" customHeight="1">
      <c r="A21" s="15" t="s">
        <v>178</v>
      </c>
      <c r="B21" s="45" t="s">
        <v>34</v>
      </c>
      <c r="C21" s="46">
        <v>12</v>
      </c>
      <c r="D21" s="47" t="s">
        <v>35</v>
      </c>
      <c r="E21" s="48">
        <v>438</v>
      </c>
      <c r="F21" s="49">
        <v>1.08</v>
      </c>
      <c r="G21" s="50">
        <v>24.5</v>
      </c>
      <c r="H21" s="16">
        <v>10332369</v>
      </c>
      <c r="I21" s="16">
        <v>1758501</v>
      </c>
      <c r="J21" s="16">
        <v>0</v>
      </c>
      <c r="K21" s="16">
        <v>12090870</v>
      </c>
      <c r="L21" s="16">
        <v>2000000</v>
      </c>
      <c r="M21" s="16">
        <v>467376</v>
      </c>
      <c r="N21" s="16">
        <v>44512</v>
      </c>
      <c r="O21" s="16">
        <v>31175</v>
      </c>
      <c r="P21" s="16">
        <v>9547807</v>
      </c>
      <c r="Q21" s="44">
        <v>13375544</v>
      </c>
      <c r="R21" s="61">
        <v>-1284674</v>
      </c>
      <c r="S21" s="20" t="s">
        <v>34</v>
      </c>
      <c r="T21" s="28">
        <v>7399021</v>
      </c>
      <c r="U21" s="28">
        <v>-4691849</v>
      </c>
      <c r="V21" s="20" t="s">
        <v>34</v>
      </c>
      <c r="W21" s="20" t="s">
        <v>34</v>
      </c>
      <c r="X21" s="20" t="s">
        <v>900</v>
      </c>
      <c r="Y21" s="895">
        <f>IFERROR(VLOOKUP(B21,'DSOAT-T1.2025'!$B$11:$AQ$81,54,0),0)</f>
        <v>0</v>
      </c>
      <c r="Z21" s="895">
        <f t="shared" si="0"/>
        <v>-467376</v>
      </c>
      <c r="AA21" s="895">
        <f>IFERROR(VLOOKUP(B21,'DSOAT-T1.2025'!$B$11:$AR$81,55,0),0)</f>
        <v>0</v>
      </c>
      <c r="AB21" s="896">
        <f t="shared" si="1"/>
        <v>-44512</v>
      </c>
      <c r="AC21" s="895">
        <f>IFERROR(VLOOKUP(B21,'DSOAT-T1.2025'!$B$11:$AS$81,56,0),0)</f>
        <v>0</v>
      </c>
      <c r="AD21" s="896">
        <f t="shared" si="2"/>
        <v>-31175</v>
      </c>
    </row>
    <row r="22" spans="1:30" ht="18" customHeight="1">
      <c r="A22" s="15" t="s">
        <v>178</v>
      </c>
      <c r="B22" s="45" t="s">
        <v>38</v>
      </c>
      <c r="C22" s="46">
        <v>13</v>
      </c>
      <c r="D22" s="47" t="s">
        <v>39</v>
      </c>
      <c r="E22" s="48">
        <v>418</v>
      </c>
      <c r="F22" s="49">
        <v>1.42</v>
      </c>
      <c r="G22" s="50">
        <v>26</v>
      </c>
      <c r="H22" s="16">
        <v>4855917</v>
      </c>
      <c r="I22" s="16">
        <v>12248800</v>
      </c>
      <c r="J22" s="16">
        <v>0</v>
      </c>
      <c r="K22" s="16">
        <v>17104717</v>
      </c>
      <c r="L22" s="16">
        <v>2000000</v>
      </c>
      <c r="M22" s="16">
        <v>467376</v>
      </c>
      <c r="N22" s="16">
        <v>44512</v>
      </c>
      <c r="O22" s="16">
        <v>578734</v>
      </c>
      <c r="P22" s="16">
        <v>14014095</v>
      </c>
      <c r="Q22" s="44">
        <v>14946952</v>
      </c>
      <c r="R22" s="61">
        <v>2157765</v>
      </c>
      <c r="S22" s="20" t="s">
        <v>38</v>
      </c>
      <c r="T22" s="28">
        <v>15180519</v>
      </c>
      <c r="U22" s="28">
        <v>-1924198</v>
      </c>
      <c r="V22" s="20" t="s">
        <v>38</v>
      </c>
      <c r="W22" s="20" t="s">
        <v>38</v>
      </c>
      <c r="Y22" s="895">
        <f>IFERROR(VLOOKUP(B22,'DSOAT-T1.2025'!$B$11:$AQ$81,54,0),0)</f>
        <v>0</v>
      </c>
      <c r="Z22" s="895">
        <f t="shared" si="0"/>
        <v>-467376</v>
      </c>
      <c r="AA22" s="895">
        <f>IFERROR(VLOOKUP(B22,'DSOAT-T1.2025'!$B$11:$AR$81,55,0),0)</f>
        <v>0</v>
      </c>
      <c r="AB22" s="896">
        <f t="shared" si="1"/>
        <v>-44512</v>
      </c>
      <c r="AC22" s="895">
        <f>IFERROR(VLOOKUP(B22,'DSOAT-T1.2025'!$B$11:$AS$81,56,0),0)</f>
        <v>0</v>
      </c>
      <c r="AD22" s="896">
        <f t="shared" si="2"/>
        <v>-578734</v>
      </c>
    </row>
    <row r="23" spans="1:30" ht="18" customHeight="1">
      <c r="A23" s="15" t="s">
        <v>178</v>
      </c>
      <c r="B23" s="45" t="s">
        <v>24</v>
      </c>
      <c r="C23" s="46">
        <v>14</v>
      </c>
      <c r="D23" s="47" t="s">
        <v>25</v>
      </c>
      <c r="E23" s="48">
        <v>394</v>
      </c>
      <c r="F23" s="49">
        <v>1.08</v>
      </c>
      <c r="G23" s="50">
        <v>25.5</v>
      </c>
      <c r="H23" s="16">
        <v>9294414</v>
      </c>
      <c r="I23" s="16">
        <v>848295</v>
      </c>
      <c r="J23" s="16">
        <v>0</v>
      </c>
      <c r="K23" s="16">
        <v>10142709</v>
      </c>
      <c r="L23" s="16">
        <v>2000000</v>
      </c>
      <c r="M23" s="16">
        <v>467376</v>
      </c>
      <c r="N23" s="16">
        <v>44512</v>
      </c>
      <c r="O23" s="16">
        <v>0</v>
      </c>
      <c r="P23" s="16">
        <v>7630821</v>
      </c>
      <c r="Q23" s="44">
        <v>10929130</v>
      </c>
      <c r="R23" s="61">
        <v>-786421</v>
      </c>
      <c r="S23" s="20" t="s">
        <v>24</v>
      </c>
      <c r="T23" s="28">
        <v>9266667</v>
      </c>
      <c r="U23" s="28">
        <v>-876042</v>
      </c>
      <c r="V23" s="20" t="s">
        <v>24</v>
      </c>
      <c r="W23" s="20" t="s">
        <v>24</v>
      </c>
      <c r="X23" s="20" t="s">
        <v>900</v>
      </c>
      <c r="Y23" s="895">
        <f>IFERROR(VLOOKUP(B23,'DSOAT-T1.2025'!$B$11:$AQ$81,54,0),0)</f>
        <v>0</v>
      </c>
      <c r="Z23" s="895">
        <f t="shared" si="0"/>
        <v>-467376</v>
      </c>
      <c r="AA23" s="895">
        <f>IFERROR(VLOOKUP(B23,'DSOAT-T1.2025'!$B$11:$AR$81,55,0),0)</f>
        <v>0</v>
      </c>
      <c r="AB23" s="896">
        <f t="shared" si="1"/>
        <v>-44512</v>
      </c>
      <c r="AC23" s="895">
        <f>IFERROR(VLOOKUP(B23,'DSOAT-T1.2025'!$B$11:$AS$81,56,0),0)</f>
        <v>0</v>
      </c>
      <c r="AD23" s="896">
        <f t="shared" si="2"/>
        <v>0</v>
      </c>
    </row>
    <row r="24" spans="1:30" ht="18" customHeight="1">
      <c r="A24" s="15" t="s">
        <v>183</v>
      </c>
      <c r="B24" s="45" t="s">
        <v>26</v>
      </c>
      <c r="C24" s="46">
        <v>15</v>
      </c>
      <c r="D24" s="47" t="s">
        <v>27</v>
      </c>
      <c r="E24" s="48">
        <v>418</v>
      </c>
      <c r="F24" s="49">
        <v>1.41</v>
      </c>
      <c r="G24" s="50">
        <v>27.5</v>
      </c>
      <c r="H24" s="16">
        <v>4839284</v>
      </c>
      <c r="I24" s="16">
        <v>2942836</v>
      </c>
      <c r="J24" s="16">
        <v>0</v>
      </c>
      <c r="K24" s="16">
        <v>7782120</v>
      </c>
      <c r="L24" s="16">
        <v>2000000</v>
      </c>
      <c r="M24" s="16">
        <v>467376</v>
      </c>
      <c r="N24" s="16">
        <v>44512</v>
      </c>
      <c r="O24" s="16">
        <v>0</v>
      </c>
      <c r="P24" s="16">
        <v>5270232</v>
      </c>
      <c r="Q24" s="44">
        <v>8067899</v>
      </c>
      <c r="R24" s="61">
        <v>-285779</v>
      </c>
      <c r="S24" s="20" t="s">
        <v>26</v>
      </c>
      <c r="T24" s="28">
        <v>9882752</v>
      </c>
      <c r="U24" s="28">
        <v>2100632</v>
      </c>
      <c r="V24" s="20" t="s">
        <v>26</v>
      </c>
      <c r="W24" s="20" t="s">
        <v>26</v>
      </c>
      <c r="Y24" s="895">
        <f>IFERROR(VLOOKUP(B24,'DSOAT-T1.2025'!$B$11:$AQ$81,54,0),0)</f>
        <v>0</v>
      </c>
      <c r="Z24" s="895">
        <f t="shared" si="0"/>
        <v>-467376</v>
      </c>
      <c r="AA24" s="895">
        <f>IFERROR(VLOOKUP(B24,'DSOAT-T1.2025'!$B$11:$AR$81,55,0),0)</f>
        <v>0</v>
      </c>
      <c r="AB24" s="896">
        <f t="shared" si="1"/>
        <v>-44512</v>
      </c>
      <c r="AC24" s="895">
        <f>IFERROR(VLOOKUP(B24,'DSOAT-T1.2025'!$B$11:$AS$81,56,0),0)</f>
        <v>0</v>
      </c>
      <c r="AD24" s="896">
        <f t="shared" si="2"/>
        <v>0</v>
      </c>
    </row>
    <row r="25" spans="1:30" ht="18" customHeight="1">
      <c r="A25" s="15" t="s">
        <v>178</v>
      </c>
      <c r="B25" s="45" t="s">
        <v>28</v>
      </c>
      <c r="C25" s="46">
        <v>16</v>
      </c>
      <c r="D25" s="47" t="s">
        <v>29</v>
      </c>
      <c r="E25" s="48">
        <v>418</v>
      </c>
      <c r="F25" s="49">
        <v>1.42</v>
      </c>
      <c r="G25" s="50">
        <v>25</v>
      </c>
      <c r="H25" s="16">
        <v>4855917</v>
      </c>
      <c r="I25" s="16">
        <v>4180389</v>
      </c>
      <c r="J25" s="16">
        <v>0</v>
      </c>
      <c r="K25" s="16">
        <v>9036306</v>
      </c>
      <c r="L25" s="16">
        <v>2000000</v>
      </c>
      <c r="M25" s="16">
        <v>467376</v>
      </c>
      <c r="N25" s="16">
        <v>44512</v>
      </c>
      <c r="O25" s="16">
        <v>0</v>
      </c>
      <c r="P25" s="16">
        <v>6524418</v>
      </c>
      <c r="Q25" s="44">
        <v>8401943</v>
      </c>
      <c r="R25" s="61">
        <v>634363</v>
      </c>
      <c r="S25" s="20" t="s">
        <v>28</v>
      </c>
      <c r="T25" s="28">
        <v>8410936</v>
      </c>
      <c r="U25" s="28">
        <v>-625370</v>
      </c>
      <c r="V25" s="20" t="s">
        <v>28</v>
      </c>
      <c r="W25" s="20" t="s">
        <v>28</v>
      </c>
      <c r="Y25" s="895">
        <f>IFERROR(VLOOKUP(B25,'DSOAT-T1.2025'!$B$11:$AQ$81,54,0),0)</f>
        <v>0</v>
      </c>
      <c r="Z25" s="895">
        <f t="shared" si="0"/>
        <v>-467376</v>
      </c>
      <c r="AA25" s="895">
        <f>IFERROR(VLOOKUP(B25,'DSOAT-T1.2025'!$B$11:$AR$81,55,0),0)</f>
        <v>0</v>
      </c>
      <c r="AB25" s="896">
        <f t="shared" si="1"/>
        <v>-44512</v>
      </c>
      <c r="AC25" s="895">
        <f>IFERROR(VLOOKUP(B25,'DSOAT-T1.2025'!$B$11:$AS$81,56,0),0)</f>
        <v>0</v>
      </c>
      <c r="AD25" s="896">
        <f t="shared" si="2"/>
        <v>0</v>
      </c>
    </row>
    <row r="26" spans="1:30" ht="18" customHeight="1">
      <c r="A26" s="15" t="s">
        <v>178</v>
      </c>
      <c r="B26" s="45" t="s">
        <v>30</v>
      </c>
      <c r="C26" s="46">
        <v>17</v>
      </c>
      <c r="D26" s="47" t="s">
        <v>31</v>
      </c>
      <c r="E26" s="48">
        <v>418</v>
      </c>
      <c r="F26" s="49">
        <v>1.33</v>
      </c>
      <c r="G26" s="50">
        <v>26</v>
      </c>
      <c r="H26" s="16">
        <v>4548147</v>
      </c>
      <c r="I26" s="16">
        <v>4259287</v>
      </c>
      <c r="J26" s="16">
        <v>0</v>
      </c>
      <c r="K26" s="16">
        <v>8807434</v>
      </c>
      <c r="L26" s="16">
        <v>2000000</v>
      </c>
      <c r="M26" s="16">
        <v>467376</v>
      </c>
      <c r="N26" s="16">
        <v>44512</v>
      </c>
      <c r="O26" s="16">
        <v>0</v>
      </c>
      <c r="P26" s="16">
        <v>6295546</v>
      </c>
      <c r="Q26" s="44">
        <v>6904282</v>
      </c>
      <c r="R26" s="61">
        <v>1903152</v>
      </c>
      <c r="S26" s="20" t="s">
        <v>30</v>
      </c>
      <c r="T26" s="28">
        <v>9560145</v>
      </c>
      <c r="U26" s="28">
        <v>752711</v>
      </c>
      <c r="V26" s="20" t="s">
        <v>30</v>
      </c>
      <c r="W26" s="20" t="s">
        <v>30</v>
      </c>
      <c r="Y26" s="895">
        <f>IFERROR(VLOOKUP(B26,'DSOAT-T1.2025'!$B$11:$AQ$81,54,0),0)</f>
        <v>0</v>
      </c>
      <c r="Z26" s="895">
        <f t="shared" si="0"/>
        <v>-467376</v>
      </c>
      <c r="AA26" s="895">
        <f>IFERROR(VLOOKUP(B26,'DSOAT-T1.2025'!$B$11:$AR$81,55,0),0)</f>
        <v>0</v>
      </c>
      <c r="AB26" s="896">
        <f t="shared" si="1"/>
        <v>-44512</v>
      </c>
      <c r="AC26" s="895">
        <f>IFERROR(VLOOKUP(B26,'DSOAT-T1.2025'!$B$11:$AS$81,56,0),0)</f>
        <v>0</v>
      </c>
      <c r="AD26" s="896">
        <f t="shared" si="2"/>
        <v>0</v>
      </c>
    </row>
    <row r="27" spans="1:30" ht="18" customHeight="1">
      <c r="A27" s="15" t="s">
        <v>176</v>
      </c>
      <c r="B27" s="45" t="s">
        <v>32</v>
      </c>
      <c r="C27" s="46">
        <v>18</v>
      </c>
      <c r="D27" s="47" t="s">
        <v>33</v>
      </c>
      <c r="E27" s="48">
        <v>379</v>
      </c>
      <c r="F27" s="49">
        <v>0</v>
      </c>
      <c r="G27" s="50">
        <v>0</v>
      </c>
      <c r="H27" s="16">
        <v>0</v>
      </c>
      <c r="I27" s="16">
        <v>0</v>
      </c>
      <c r="J27" s="16">
        <v>0</v>
      </c>
      <c r="K27" s="16">
        <v>0</v>
      </c>
      <c r="L27" s="16">
        <v>0</v>
      </c>
      <c r="M27" s="16">
        <v>0</v>
      </c>
      <c r="N27" s="16">
        <v>0</v>
      </c>
      <c r="O27" s="16">
        <v>0</v>
      </c>
      <c r="P27" s="16">
        <v>0</v>
      </c>
      <c r="Q27" s="44">
        <v>2628369</v>
      </c>
      <c r="R27" s="61">
        <v>-2628369</v>
      </c>
      <c r="S27" s="20" t="s">
        <v>32</v>
      </c>
      <c r="T27" s="28">
        <v>7026621</v>
      </c>
      <c r="U27" s="28">
        <v>7026621</v>
      </c>
      <c r="V27" s="20" t="s">
        <v>32</v>
      </c>
      <c r="W27" s="20" t="s">
        <v>32</v>
      </c>
      <c r="X27" s="20" t="s">
        <v>900</v>
      </c>
      <c r="Y27" s="895">
        <f>IFERROR(VLOOKUP(B27,'DSOAT-T1.2025'!$B$11:$AQ$81,54,0),0)</f>
        <v>0</v>
      </c>
      <c r="Z27" s="895">
        <f t="shared" si="0"/>
        <v>0</v>
      </c>
      <c r="AA27" s="895">
        <f>IFERROR(VLOOKUP(B27,'DSOAT-T1.2025'!$B$11:$AR$81,55,0),0)</f>
        <v>0</v>
      </c>
      <c r="AB27" s="896">
        <f t="shared" si="1"/>
        <v>0</v>
      </c>
      <c r="AC27" s="895">
        <f>IFERROR(VLOOKUP(B27,'DSOAT-T1.2025'!$B$11:$AS$81,56,0),0)</f>
        <v>0</v>
      </c>
      <c r="AD27" s="896">
        <f t="shared" si="2"/>
        <v>0</v>
      </c>
    </row>
    <row r="28" spans="1:30" ht="18" customHeight="1">
      <c r="A28" s="15" t="s">
        <v>178</v>
      </c>
      <c r="B28" s="45" t="s">
        <v>272</v>
      </c>
      <c r="C28" s="46">
        <v>19</v>
      </c>
      <c r="D28" s="47" t="s">
        <v>273</v>
      </c>
      <c r="E28" s="48">
        <v>478</v>
      </c>
      <c r="F28" s="49">
        <v>0.79</v>
      </c>
      <c r="G28" s="50">
        <v>25.5</v>
      </c>
      <c r="H28" s="16">
        <v>3089311</v>
      </c>
      <c r="I28" s="16">
        <v>7646000</v>
      </c>
      <c r="J28" s="16">
        <v>0</v>
      </c>
      <c r="K28" s="16">
        <v>10735311</v>
      </c>
      <c r="L28" s="16">
        <v>2000000</v>
      </c>
      <c r="M28" s="16">
        <v>467376</v>
      </c>
      <c r="N28" s="16">
        <v>44512</v>
      </c>
      <c r="O28" s="16">
        <v>27797</v>
      </c>
      <c r="P28" s="16">
        <v>8195626</v>
      </c>
      <c r="Q28" s="44">
        <v>8767512</v>
      </c>
      <c r="R28" s="61">
        <v>1967799</v>
      </c>
      <c r="S28" s="20" t="s">
        <v>272</v>
      </c>
      <c r="T28" s="28">
        <v>7026621</v>
      </c>
      <c r="U28" s="28">
        <v>-3708690</v>
      </c>
      <c r="V28" s="20" t="s">
        <v>272</v>
      </c>
      <c r="W28" s="20" t="s">
        <v>272</v>
      </c>
      <c r="Y28" s="895">
        <f>IFERROR(VLOOKUP(B28,'DSOAT-T1.2025'!$B$11:$AQ$81,54,0),0)</f>
        <v>0</v>
      </c>
      <c r="Z28" s="895">
        <f t="shared" si="0"/>
        <v>-467376</v>
      </c>
      <c r="AA28" s="895">
        <f>IFERROR(VLOOKUP(B28,'DSOAT-T1.2025'!$B$11:$AR$81,55,0),0)</f>
        <v>0</v>
      </c>
      <c r="AB28" s="896">
        <f t="shared" si="1"/>
        <v>-44512</v>
      </c>
      <c r="AC28" s="895">
        <f>IFERROR(VLOOKUP(B28,'DSOAT-T1.2025'!$B$11:$AS$81,56,0),0)</f>
        <v>0</v>
      </c>
      <c r="AD28" s="896">
        <f t="shared" si="2"/>
        <v>-27797</v>
      </c>
    </row>
    <row r="29" spans="1:30" ht="18" customHeight="1">
      <c r="A29" s="15" t="s">
        <v>184</v>
      </c>
      <c r="B29" s="45" t="s">
        <v>271</v>
      </c>
      <c r="C29" s="46">
        <v>20</v>
      </c>
      <c r="D29" s="47" t="s">
        <v>269</v>
      </c>
      <c r="E29" s="48">
        <v>431</v>
      </c>
      <c r="F29" s="49">
        <v>0.8</v>
      </c>
      <c r="G29" s="50">
        <v>24.5</v>
      </c>
      <c r="H29" s="16">
        <v>2744269</v>
      </c>
      <c r="I29" s="16">
        <v>6792240</v>
      </c>
      <c r="J29" s="16">
        <v>0</v>
      </c>
      <c r="K29" s="16">
        <v>9536509</v>
      </c>
      <c r="L29" s="16">
        <v>2000000</v>
      </c>
      <c r="M29" s="16">
        <v>365138</v>
      </c>
      <c r="N29" s="16">
        <v>34775</v>
      </c>
      <c r="O29" s="16">
        <v>0</v>
      </c>
      <c r="P29" s="16">
        <v>7136596</v>
      </c>
      <c r="Q29" s="44">
        <v>12303690</v>
      </c>
      <c r="R29" s="61">
        <v>-2767181</v>
      </c>
      <c r="S29" s="20" t="s">
        <v>271</v>
      </c>
      <c r="T29" s="28">
        <v>7026621</v>
      </c>
      <c r="U29" s="28">
        <v>-2509888</v>
      </c>
      <c r="V29" s="20" t="s">
        <v>271</v>
      </c>
      <c r="W29" s="20" t="s">
        <v>271</v>
      </c>
      <c r="Y29" s="895">
        <f>IFERROR(VLOOKUP(B29,'DSOAT-T1.2025'!$B$11:$AQ$81,54,0),0)</f>
        <v>0</v>
      </c>
      <c r="Z29" s="895">
        <f t="shared" si="0"/>
        <v>-365138</v>
      </c>
      <c r="AA29" s="895">
        <f>IFERROR(VLOOKUP(B29,'DSOAT-T1.2025'!$B$11:$AR$81,55,0),0)</f>
        <v>0</v>
      </c>
      <c r="AB29" s="896">
        <f t="shared" si="1"/>
        <v>-34775</v>
      </c>
      <c r="AC29" s="895">
        <f>IFERROR(VLOOKUP(B29,'DSOAT-T1.2025'!$B$11:$AS$81,56,0),0)</f>
        <v>0</v>
      </c>
      <c r="AD29" s="896">
        <f t="shared" si="2"/>
        <v>0</v>
      </c>
    </row>
    <row r="30" spans="1:30" ht="18" customHeight="1">
      <c r="A30" s="15" t="s">
        <v>178</v>
      </c>
      <c r="B30" s="45" t="s">
        <v>212</v>
      </c>
      <c r="C30" s="46">
        <v>21</v>
      </c>
      <c r="D30" s="47" t="s">
        <v>213</v>
      </c>
      <c r="E30" s="48">
        <v>418</v>
      </c>
      <c r="F30" s="49">
        <v>1.37</v>
      </c>
      <c r="G30" s="50">
        <v>26</v>
      </c>
      <c r="H30" s="16">
        <v>4684934</v>
      </c>
      <c r="I30" s="16">
        <v>4093010</v>
      </c>
      <c r="J30" s="16">
        <v>0</v>
      </c>
      <c r="K30" s="16">
        <v>8777944</v>
      </c>
      <c r="L30" s="16">
        <v>2000000</v>
      </c>
      <c r="M30" s="16">
        <v>467376</v>
      </c>
      <c r="N30" s="16">
        <v>44512</v>
      </c>
      <c r="O30" s="16">
        <v>0</v>
      </c>
      <c r="P30" s="16">
        <v>6266056</v>
      </c>
      <c r="Q30" s="44">
        <v>8118622</v>
      </c>
      <c r="R30" s="61">
        <v>659322</v>
      </c>
      <c r="S30" s="20" t="s">
        <v>212</v>
      </c>
      <c r="T30" s="28">
        <v>17662404</v>
      </c>
      <c r="U30" s="28">
        <v>8884460</v>
      </c>
      <c r="V30" s="20" t="s">
        <v>212</v>
      </c>
      <c r="W30" s="20" t="s">
        <v>212</v>
      </c>
      <c r="Y30" s="895">
        <f>IFERROR(VLOOKUP(B30,'DSOAT-T1.2025'!$B$11:$AQ$81,54,0),0)</f>
        <v>0</v>
      </c>
      <c r="Z30" s="895">
        <f t="shared" si="0"/>
        <v>-467376</v>
      </c>
      <c r="AA30" s="895">
        <f>IFERROR(VLOOKUP(B30,'DSOAT-T1.2025'!$B$11:$AR$81,55,0),0)</f>
        <v>0</v>
      </c>
      <c r="AB30" s="896">
        <f t="shared" si="1"/>
        <v>-44512</v>
      </c>
      <c r="AC30" s="895">
        <f>IFERROR(VLOOKUP(B30,'DSOAT-T1.2025'!$B$11:$AS$81,56,0),0)</f>
        <v>0</v>
      </c>
      <c r="AD30" s="896">
        <f t="shared" si="2"/>
        <v>0</v>
      </c>
    </row>
    <row r="31" spans="1:30" ht="18" customHeight="1">
      <c r="A31" s="15" t="s">
        <v>178</v>
      </c>
      <c r="B31" s="45" t="s">
        <v>217</v>
      </c>
      <c r="C31" s="46">
        <v>22</v>
      </c>
      <c r="D31" s="47" t="s">
        <v>216</v>
      </c>
      <c r="E31" s="48">
        <v>415</v>
      </c>
      <c r="F31" s="49">
        <v>1</v>
      </c>
      <c r="G31" s="50">
        <v>24.5</v>
      </c>
      <c r="H31" s="16">
        <v>9064631</v>
      </c>
      <c r="I31" s="16">
        <v>0</v>
      </c>
      <c r="J31" s="16">
        <v>0</v>
      </c>
      <c r="K31" s="16">
        <v>9064631</v>
      </c>
      <c r="L31" s="16">
        <v>2000000</v>
      </c>
      <c r="M31" s="16">
        <v>467376</v>
      </c>
      <c r="N31" s="16">
        <v>44512</v>
      </c>
      <c r="O31" s="16">
        <v>0</v>
      </c>
      <c r="P31" s="16">
        <v>6552743</v>
      </c>
      <c r="Q31" s="44">
        <v>9026974</v>
      </c>
      <c r="R31" s="61">
        <v>37657</v>
      </c>
      <c r="S31" s="20" t="s">
        <v>217</v>
      </c>
      <c r="T31" s="28">
        <v>17662404</v>
      </c>
      <c r="U31" s="28">
        <v>8597773</v>
      </c>
      <c r="V31" s="20" t="s">
        <v>217</v>
      </c>
      <c r="W31" s="20" t="s">
        <v>217</v>
      </c>
      <c r="X31" s="20" t="s">
        <v>900</v>
      </c>
      <c r="Y31" s="895">
        <f>IFERROR(VLOOKUP(B31,'DSOAT-T1.2025'!$B$11:$AQ$81,54,0),0)</f>
        <v>0</v>
      </c>
      <c r="Z31" s="895">
        <f t="shared" si="0"/>
        <v>-467376</v>
      </c>
      <c r="AA31" s="895">
        <f>IFERROR(VLOOKUP(B31,'DSOAT-T1.2025'!$B$11:$AR$81,55,0),0)</f>
        <v>0</v>
      </c>
      <c r="AB31" s="896">
        <f t="shared" si="1"/>
        <v>-44512</v>
      </c>
      <c r="AC31" s="895">
        <f>IFERROR(VLOOKUP(B31,'DSOAT-T1.2025'!$B$11:$AS$81,56,0),0)</f>
        <v>0</v>
      </c>
      <c r="AD31" s="896">
        <f t="shared" si="2"/>
        <v>0</v>
      </c>
    </row>
    <row r="32" spans="1:30" ht="18" customHeight="1">
      <c r="A32" s="15" t="s">
        <v>178</v>
      </c>
      <c r="B32" s="45" t="s">
        <v>263</v>
      </c>
      <c r="C32" s="46">
        <v>23</v>
      </c>
      <c r="D32" s="47" t="s">
        <v>262</v>
      </c>
      <c r="E32" s="48">
        <v>418</v>
      </c>
      <c r="F32" s="49">
        <v>1.33</v>
      </c>
      <c r="G32" s="50">
        <v>26.5</v>
      </c>
      <c r="H32" s="16">
        <v>4548147</v>
      </c>
      <c r="I32" s="16">
        <v>4133894</v>
      </c>
      <c r="J32" s="16">
        <v>0</v>
      </c>
      <c r="K32" s="16">
        <v>8682041</v>
      </c>
      <c r="L32" s="16">
        <v>2000000</v>
      </c>
      <c r="M32" s="16">
        <v>467376</v>
      </c>
      <c r="N32" s="16">
        <v>44512</v>
      </c>
      <c r="O32" s="16">
        <v>0</v>
      </c>
      <c r="P32" s="16">
        <v>6170153</v>
      </c>
      <c r="Q32" s="44">
        <v>9457281</v>
      </c>
      <c r="R32" s="61">
        <v>-775240</v>
      </c>
      <c r="S32" s="20" t="s">
        <v>263</v>
      </c>
      <c r="T32" s="28">
        <v>17662404</v>
      </c>
      <c r="U32" s="28">
        <v>8980363</v>
      </c>
      <c r="V32" s="20" t="s">
        <v>263</v>
      </c>
      <c r="W32" s="20" t="s">
        <v>263</v>
      </c>
      <c r="Y32" s="895">
        <f>IFERROR(VLOOKUP(B32,'DSOAT-T1.2025'!$B$11:$AQ$81,54,0),0)</f>
        <v>0</v>
      </c>
      <c r="Z32" s="895">
        <f t="shared" si="0"/>
        <v>-467376</v>
      </c>
      <c r="AA32" s="895">
        <f>IFERROR(VLOOKUP(B32,'DSOAT-T1.2025'!$B$11:$AR$81,55,0),0)</f>
        <v>0</v>
      </c>
      <c r="AB32" s="896">
        <f t="shared" si="1"/>
        <v>-44512</v>
      </c>
      <c r="AC32" s="895">
        <f>IFERROR(VLOOKUP(B32,'DSOAT-T1.2025'!$B$11:$AS$81,56,0),0)</f>
        <v>0</v>
      </c>
      <c r="AD32" s="896">
        <f t="shared" si="2"/>
        <v>0</v>
      </c>
    </row>
    <row r="33" spans="1:30" ht="18" customHeight="1">
      <c r="A33" s="15" t="s">
        <v>178</v>
      </c>
      <c r="B33" s="45" t="s">
        <v>294</v>
      </c>
      <c r="C33" s="46">
        <v>24</v>
      </c>
      <c r="D33" s="47" t="s">
        <v>295</v>
      </c>
      <c r="E33" s="48">
        <v>418</v>
      </c>
      <c r="F33" s="49">
        <v>1.31</v>
      </c>
      <c r="G33" s="50">
        <v>25</v>
      </c>
      <c r="H33" s="16">
        <v>4479754</v>
      </c>
      <c r="I33" s="16">
        <v>3509372</v>
      </c>
      <c r="J33" s="16">
        <v>0</v>
      </c>
      <c r="K33" s="16">
        <v>7989126</v>
      </c>
      <c r="L33" s="16">
        <v>2000000</v>
      </c>
      <c r="M33" s="16">
        <v>467376</v>
      </c>
      <c r="N33" s="16">
        <v>44512</v>
      </c>
      <c r="O33" s="16">
        <v>0</v>
      </c>
      <c r="P33" s="16">
        <v>5477238</v>
      </c>
      <c r="Q33" s="44">
        <v>7623674</v>
      </c>
      <c r="R33" s="61">
        <v>365452</v>
      </c>
      <c r="S33" s="20" t="s">
        <v>294</v>
      </c>
      <c r="T33" s="28"/>
      <c r="U33" s="28">
        <v>-7989126</v>
      </c>
      <c r="V33" s="20" t="s">
        <v>294</v>
      </c>
      <c r="W33" s="20" t="s">
        <v>294</v>
      </c>
      <c r="Y33" s="895">
        <f>IFERROR(VLOOKUP(B33,'DSOAT-T1.2025'!$B$11:$AQ$81,54,0),0)</f>
        <v>0</v>
      </c>
      <c r="Z33" s="895">
        <f t="shared" si="0"/>
        <v>-467376</v>
      </c>
      <c r="AA33" s="895">
        <f>IFERROR(VLOOKUP(B33,'DSOAT-T1.2025'!$B$11:$AR$81,55,0),0)</f>
        <v>0</v>
      </c>
      <c r="AB33" s="896">
        <f t="shared" si="1"/>
        <v>-44512</v>
      </c>
      <c r="AC33" s="895">
        <f>IFERROR(VLOOKUP(B33,'DSOAT-T1.2025'!$B$11:$AS$81,56,0),0)</f>
        <v>0</v>
      </c>
      <c r="AD33" s="896">
        <f t="shared" si="2"/>
        <v>0</v>
      </c>
    </row>
    <row r="34" spans="1:30" ht="18" customHeight="1">
      <c r="A34" s="15" t="s">
        <v>178</v>
      </c>
      <c r="B34" s="45" t="s">
        <v>434</v>
      </c>
      <c r="C34" s="46">
        <v>25</v>
      </c>
      <c r="D34" s="47" t="s">
        <v>435</v>
      </c>
      <c r="E34" s="48">
        <v>355</v>
      </c>
      <c r="F34" s="49">
        <v>1.28</v>
      </c>
      <c r="G34" s="50">
        <v>25</v>
      </c>
      <c r="H34" s="16">
        <v>3717448</v>
      </c>
      <c r="I34" s="16">
        <v>4529490</v>
      </c>
      <c r="J34" s="16">
        <v>0</v>
      </c>
      <c r="K34" s="16">
        <v>8246938</v>
      </c>
      <c r="L34" s="16">
        <v>2000000</v>
      </c>
      <c r="M34" s="16">
        <v>467376</v>
      </c>
      <c r="N34" s="16">
        <v>44512</v>
      </c>
      <c r="O34" s="16">
        <v>0</v>
      </c>
      <c r="P34" s="16">
        <v>5735050</v>
      </c>
      <c r="Q34" s="44">
        <v>7168294</v>
      </c>
      <c r="R34" s="61">
        <v>1078644</v>
      </c>
      <c r="S34" s="20" t="s">
        <v>434</v>
      </c>
      <c r="T34" s="28"/>
      <c r="U34" s="28"/>
      <c r="W34" s="20" t="s">
        <v>434</v>
      </c>
      <c r="Y34" s="895">
        <f>IFERROR(VLOOKUP(B34,'DSOAT-T1.2025'!$B$11:$AQ$81,54,0),0)</f>
        <v>0</v>
      </c>
      <c r="Z34" s="895">
        <f t="shared" si="0"/>
        <v>-467376</v>
      </c>
      <c r="AA34" s="895">
        <f>IFERROR(VLOOKUP(B34,'DSOAT-T1.2025'!$B$11:$AR$81,55,0),0)</f>
        <v>0</v>
      </c>
      <c r="AB34" s="896">
        <f t="shared" si="1"/>
        <v>-44512</v>
      </c>
      <c r="AC34" s="895">
        <f>IFERROR(VLOOKUP(B34,'DSOAT-T1.2025'!$B$11:$AS$81,56,0),0)</f>
        <v>0</v>
      </c>
      <c r="AD34" s="896">
        <f t="shared" si="2"/>
        <v>0</v>
      </c>
    </row>
    <row r="35" spans="1:30" ht="18" customHeight="1">
      <c r="A35" s="15" t="s">
        <v>178</v>
      </c>
      <c r="B35" s="45" t="s">
        <v>1311</v>
      </c>
      <c r="C35" s="46">
        <v>26</v>
      </c>
      <c r="D35" s="47" t="s">
        <v>1316</v>
      </c>
      <c r="E35" s="48">
        <v>355</v>
      </c>
      <c r="F35" s="49">
        <v>1.1399999999999999</v>
      </c>
      <c r="G35" s="50">
        <v>27.5</v>
      </c>
      <c r="H35" s="16">
        <v>3310852</v>
      </c>
      <c r="I35" s="16">
        <v>2374540</v>
      </c>
      <c r="J35" s="16">
        <v>0</v>
      </c>
      <c r="K35" s="16">
        <v>5685392</v>
      </c>
      <c r="L35" s="16">
        <v>2000000</v>
      </c>
      <c r="M35" s="16">
        <v>467376</v>
      </c>
      <c r="N35" s="16">
        <v>44512</v>
      </c>
      <c r="O35" s="16">
        <v>0</v>
      </c>
      <c r="P35" s="16">
        <v>3173504</v>
      </c>
      <c r="Q35" s="44">
        <v>0</v>
      </c>
      <c r="R35" s="61">
        <v>5685392</v>
      </c>
      <c r="S35" s="20" t="s">
        <v>1311</v>
      </c>
      <c r="T35" s="28"/>
      <c r="U35" s="28"/>
      <c r="Y35" s="895">
        <f>IFERROR(VLOOKUP(B35,'DSOAT-T1.2025'!$B$11:$AQ$81,54,0),0)</f>
        <v>0</v>
      </c>
      <c r="Z35" s="895">
        <f t="shared" si="0"/>
        <v>-467376</v>
      </c>
      <c r="AA35" s="895">
        <f>IFERROR(VLOOKUP(B35,'DSOAT-T1.2025'!$B$11:$AR$81,55,0),0)</f>
        <v>0</v>
      </c>
      <c r="AB35" s="896">
        <f t="shared" si="1"/>
        <v>-44512</v>
      </c>
      <c r="AC35" s="895">
        <f>IFERROR(VLOOKUP(B35,'DSOAT-T1.2025'!$B$11:$AS$81,56,0),0)</f>
        <v>0</v>
      </c>
      <c r="AD35" s="896">
        <f t="shared" si="2"/>
        <v>0</v>
      </c>
    </row>
    <row r="36" spans="1:30" ht="18" customHeight="1">
      <c r="A36" s="15" t="s">
        <v>179</v>
      </c>
      <c r="B36" s="45" t="s">
        <v>59</v>
      </c>
      <c r="C36" s="46">
        <v>27</v>
      </c>
      <c r="D36" s="47" t="s">
        <v>60</v>
      </c>
      <c r="E36" s="48">
        <v>478</v>
      </c>
      <c r="F36" s="49">
        <v>1.03</v>
      </c>
      <c r="G36" s="50">
        <v>24.5</v>
      </c>
      <c r="H36" s="16">
        <v>4035786</v>
      </c>
      <c r="I36" s="16">
        <v>7439898</v>
      </c>
      <c r="J36" s="16">
        <v>0</v>
      </c>
      <c r="K36" s="16">
        <v>11475684</v>
      </c>
      <c r="L36" s="16">
        <v>2000000</v>
      </c>
      <c r="M36" s="16">
        <v>408954</v>
      </c>
      <c r="N36" s="16">
        <v>38948</v>
      </c>
      <c r="O36" s="16">
        <v>0</v>
      </c>
      <c r="P36" s="16">
        <v>9027782</v>
      </c>
      <c r="Q36" s="44">
        <v>12605568</v>
      </c>
      <c r="R36" s="61">
        <v>-1129884</v>
      </c>
      <c r="S36" s="20" t="s">
        <v>59</v>
      </c>
      <c r="T36" s="28">
        <v>13008787</v>
      </c>
      <c r="U36" s="28">
        <v>1533103</v>
      </c>
      <c r="V36" s="20" t="s">
        <v>59</v>
      </c>
      <c r="W36" s="20" t="s">
        <v>59</v>
      </c>
      <c r="Y36" s="895">
        <f>IFERROR(VLOOKUP(B36,'DSOAT-T1.2025'!$B$11:$AQ$81,54,0),0)</f>
        <v>0</v>
      </c>
      <c r="Z36" s="895">
        <f t="shared" si="0"/>
        <v>-408954</v>
      </c>
      <c r="AA36" s="895">
        <f>IFERROR(VLOOKUP(B36,'DSOAT-T1.2025'!$B$11:$AR$81,55,0),0)</f>
        <v>0</v>
      </c>
      <c r="AB36" s="896">
        <f t="shared" si="1"/>
        <v>-38948</v>
      </c>
      <c r="AC36" s="895">
        <f>IFERROR(VLOOKUP(B36,'DSOAT-T1.2025'!$B$11:$AS$81,56,0),0)</f>
        <v>0</v>
      </c>
      <c r="AD36" s="896">
        <f t="shared" si="2"/>
        <v>0</v>
      </c>
    </row>
    <row r="37" spans="1:30" ht="18" customHeight="1">
      <c r="A37" s="15" t="s">
        <v>179</v>
      </c>
      <c r="B37" s="45" t="s">
        <v>40</v>
      </c>
      <c r="C37" s="46">
        <v>28</v>
      </c>
      <c r="D37" s="47" t="s">
        <v>41</v>
      </c>
      <c r="E37" s="48">
        <v>543</v>
      </c>
      <c r="F37" s="49">
        <v>0.97</v>
      </c>
      <c r="G37" s="50">
        <v>24.5</v>
      </c>
      <c r="H37" s="16">
        <v>11550903</v>
      </c>
      <c r="I37" s="16">
        <v>972907</v>
      </c>
      <c r="J37" s="16">
        <v>0</v>
      </c>
      <c r="K37" s="16">
        <v>12523810</v>
      </c>
      <c r="L37" s="16">
        <v>2000000</v>
      </c>
      <c r="M37" s="16">
        <v>408954</v>
      </c>
      <c r="N37" s="16">
        <v>38948</v>
      </c>
      <c r="O37" s="16">
        <v>55743</v>
      </c>
      <c r="P37" s="16">
        <v>10020165</v>
      </c>
      <c r="Q37" s="44">
        <v>13453926</v>
      </c>
      <c r="R37" s="61">
        <v>-930116</v>
      </c>
      <c r="S37" s="20" t="s">
        <v>40</v>
      </c>
      <c r="T37" s="28">
        <v>8458432</v>
      </c>
      <c r="U37" s="28">
        <v>-4065378</v>
      </c>
      <c r="V37" s="20" t="s">
        <v>40</v>
      </c>
      <c r="W37" s="20" t="s">
        <v>40</v>
      </c>
      <c r="X37" s="20" t="s">
        <v>900</v>
      </c>
      <c r="Y37" s="895">
        <f>IFERROR(VLOOKUP(B37,'DSOAT-T1.2025'!$B$11:$AQ$81,54,0),0)</f>
        <v>0</v>
      </c>
      <c r="Z37" s="895">
        <f t="shared" si="0"/>
        <v>-408954</v>
      </c>
      <c r="AA37" s="895">
        <f>IFERROR(VLOOKUP(B37,'DSOAT-T1.2025'!$B$11:$AR$81,55,0),0)</f>
        <v>0</v>
      </c>
      <c r="AB37" s="896">
        <f t="shared" si="1"/>
        <v>-38948</v>
      </c>
      <c r="AC37" s="895">
        <f>IFERROR(VLOOKUP(B37,'DSOAT-T1.2025'!$B$11:$AS$81,56,0),0)</f>
        <v>0</v>
      </c>
      <c r="AD37" s="896">
        <f t="shared" si="2"/>
        <v>-55743</v>
      </c>
    </row>
    <row r="38" spans="1:30" ht="18" customHeight="1">
      <c r="A38" s="15" t="s">
        <v>179</v>
      </c>
      <c r="B38" s="45" t="s">
        <v>53</v>
      </c>
      <c r="C38" s="46">
        <v>29</v>
      </c>
      <c r="D38" s="47" t="s">
        <v>138</v>
      </c>
      <c r="E38" s="48">
        <v>418</v>
      </c>
      <c r="F38" s="49">
        <v>1.33</v>
      </c>
      <c r="G38" s="50">
        <v>24.5</v>
      </c>
      <c r="H38" s="16">
        <v>12191925</v>
      </c>
      <c r="I38" s="16">
        <v>5331033</v>
      </c>
      <c r="J38" s="16">
        <v>0</v>
      </c>
      <c r="K38" s="16">
        <v>17522958</v>
      </c>
      <c r="L38" s="16">
        <v>2000000</v>
      </c>
      <c r="M38" s="16">
        <v>408954</v>
      </c>
      <c r="N38" s="16">
        <v>38948</v>
      </c>
      <c r="O38" s="16">
        <v>378200</v>
      </c>
      <c r="P38" s="16">
        <v>14696856</v>
      </c>
      <c r="Q38" s="44">
        <v>18091123</v>
      </c>
      <c r="R38" s="61">
        <v>-568165</v>
      </c>
      <c r="S38" s="20" t="s">
        <v>53</v>
      </c>
      <c r="T38" s="28">
        <v>6381832</v>
      </c>
      <c r="U38" s="28">
        <v>-11141126</v>
      </c>
      <c r="V38" s="20" t="s">
        <v>53</v>
      </c>
      <c r="W38" s="20" t="s">
        <v>53</v>
      </c>
      <c r="Y38" s="895">
        <f>IFERROR(VLOOKUP(B38,'DSOAT-T1.2025'!$B$11:$AQ$81,54,0),0)</f>
        <v>0</v>
      </c>
      <c r="Z38" s="895">
        <f t="shared" si="0"/>
        <v>-408954</v>
      </c>
      <c r="AA38" s="895">
        <f>IFERROR(VLOOKUP(B38,'DSOAT-T1.2025'!$B$11:$AR$81,55,0),0)</f>
        <v>0</v>
      </c>
      <c r="AB38" s="896">
        <f t="shared" si="1"/>
        <v>-38948</v>
      </c>
      <c r="AC38" s="895">
        <f>IFERROR(VLOOKUP(B38,'DSOAT-T1.2025'!$B$11:$AS$81,56,0),0)</f>
        <v>0</v>
      </c>
      <c r="AD38" s="896">
        <f t="shared" si="2"/>
        <v>-378200</v>
      </c>
    </row>
    <row r="39" spans="1:30" ht="18" customHeight="1">
      <c r="A39" s="15" t="s">
        <v>179</v>
      </c>
      <c r="B39" s="45" t="s">
        <v>43</v>
      </c>
      <c r="C39" s="46">
        <v>30</v>
      </c>
      <c r="D39" s="47" t="s">
        <v>44</v>
      </c>
      <c r="E39" s="48">
        <v>394</v>
      </c>
      <c r="F39" s="49">
        <v>1.01</v>
      </c>
      <c r="G39" s="50">
        <v>24.5</v>
      </c>
      <c r="H39" s="16">
        <v>8726939</v>
      </c>
      <c r="I39" s="16">
        <v>2302269</v>
      </c>
      <c r="J39" s="16">
        <v>0</v>
      </c>
      <c r="K39" s="16">
        <v>11029208</v>
      </c>
      <c r="L39" s="16">
        <v>2000000</v>
      </c>
      <c r="M39" s="16">
        <v>408954</v>
      </c>
      <c r="N39" s="16">
        <v>38948</v>
      </c>
      <c r="O39" s="16">
        <v>0</v>
      </c>
      <c r="P39" s="16">
        <v>8581306</v>
      </c>
      <c r="Q39" s="44">
        <v>11677039</v>
      </c>
      <c r="R39" s="61">
        <v>-647831</v>
      </c>
      <c r="S39" s="20" t="s">
        <v>43</v>
      </c>
      <c r="T39" s="28">
        <v>6498925</v>
      </c>
      <c r="U39" s="28">
        <v>-4530283</v>
      </c>
      <c r="V39" s="20" t="s">
        <v>43</v>
      </c>
      <c r="W39" s="20" t="s">
        <v>43</v>
      </c>
      <c r="X39" s="20" t="s">
        <v>900</v>
      </c>
      <c r="Y39" s="895">
        <f>IFERROR(VLOOKUP(B39,'DSOAT-T1.2025'!$B$11:$AQ$81,54,0),0)</f>
        <v>0</v>
      </c>
      <c r="Z39" s="895">
        <f t="shared" si="0"/>
        <v>-408954</v>
      </c>
      <c r="AA39" s="895">
        <f>IFERROR(VLOOKUP(B39,'DSOAT-T1.2025'!$B$11:$AR$81,55,0),0)</f>
        <v>0</v>
      </c>
      <c r="AB39" s="896">
        <f t="shared" si="1"/>
        <v>-38948</v>
      </c>
      <c r="AC39" s="895">
        <f>IFERROR(VLOOKUP(B39,'DSOAT-T1.2025'!$B$11:$AS$81,56,0),0)</f>
        <v>0</v>
      </c>
      <c r="AD39" s="896">
        <f t="shared" si="2"/>
        <v>0</v>
      </c>
    </row>
    <row r="40" spans="1:30" ht="18" customHeight="1">
      <c r="A40" s="15" t="s">
        <v>179</v>
      </c>
      <c r="B40" s="45" t="s">
        <v>45</v>
      </c>
      <c r="C40" s="46">
        <v>31</v>
      </c>
      <c r="D40" s="47" t="s">
        <v>46</v>
      </c>
      <c r="E40" s="48">
        <v>418</v>
      </c>
      <c r="F40" s="49">
        <v>1.28</v>
      </c>
      <c r="G40" s="50">
        <v>24.5</v>
      </c>
      <c r="H40" s="16">
        <v>4394760</v>
      </c>
      <c r="I40" s="16">
        <v>2628845</v>
      </c>
      <c r="J40" s="16">
        <v>0</v>
      </c>
      <c r="K40" s="16">
        <v>7023605</v>
      </c>
      <c r="L40" s="16">
        <v>2000000</v>
      </c>
      <c r="M40" s="16">
        <v>408954</v>
      </c>
      <c r="N40" s="16">
        <v>38948</v>
      </c>
      <c r="O40" s="16">
        <v>0</v>
      </c>
      <c r="P40" s="16">
        <v>4575703</v>
      </c>
      <c r="Q40" s="44">
        <v>7441931</v>
      </c>
      <c r="R40" s="61">
        <v>-418326</v>
      </c>
      <c r="S40" s="20" t="s">
        <v>45</v>
      </c>
      <c r="T40" s="28">
        <v>3226397</v>
      </c>
      <c r="U40" s="28">
        <v>-3797208</v>
      </c>
      <c r="V40" s="20" t="s">
        <v>45</v>
      </c>
      <c r="W40" s="20" t="s">
        <v>45</v>
      </c>
      <c r="Y40" s="895">
        <f>IFERROR(VLOOKUP(B40,'DSOAT-T1.2025'!$B$11:$AQ$81,54,0),0)</f>
        <v>0</v>
      </c>
      <c r="Z40" s="895">
        <f t="shared" si="0"/>
        <v>-408954</v>
      </c>
      <c r="AA40" s="895">
        <f>IFERROR(VLOOKUP(B40,'DSOAT-T1.2025'!$B$11:$AR$81,55,0),0)</f>
        <v>0</v>
      </c>
      <c r="AB40" s="896">
        <f t="shared" si="1"/>
        <v>-38948</v>
      </c>
      <c r="AC40" s="895">
        <f>IFERROR(VLOOKUP(B40,'DSOAT-T1.2025'!$B$11:$AS$81,56,0),0)</f>
        <v>0</v>
      </c>
      <c r="AD40" s="896">
        <f t="shared" si="2"/>
        <v>0</v>
      </c>
    </row>
    <row r="41" spans="1:30" ht="18" customHeight="1">
      <c r="A41" s="15" t="s">
        <v>179</v>
      </c>
      <c r="B41" s="45" t="s">
        <v>47</v>
      </c>
      <c r="C41" s="46">
        <v>32</v>
      </c>
      <c r="D41" s="47" t="s">
        <v>48</v>
      </c>
      <c r="E41" s="48">
        <v>431</v>
      </c>
      <c r="F41" s="49">
        <v>1.33</v>
      </c>
      <c r="G41" s="50">
        <v>24.5</v>
      </c>
      <c r="H41" s="16">
        <v>4708448</v>
      </c>
      <c r="I41" s="16">
        <v>4076289</v>
      </c>
      <c r="J41" s="16">
        <v>0</v>
      </c>
      <c r="K41" s="16">
        <v>8784737</v>
      </c>
      <c r="L41" s="16">
        <v>2000000</v>
      </c>
      <c r="M41" s="16">
        <v>408954</v>
      </c>
      <c r="N41" s="16">
        <v>38948</v>
      </c>
      <c r="O41" s="16">
        <v>0</v>
      </c>
      <c r="P41" s="16">
        <v>6336835</v>
      </c>
      <c r="Q41" s="44">
        <v>10330098</v>
      </c>
      <c r="R41" s="61">
        <v>-1545361</v>
      </c>
      <c r="S41" s="20" t="s">
        <v>47</v>
      </c>
      <c r="T41" s="28">
        <v>9531308</v>
      </c>
      <c r="U41" s="28">
        <v>746571</v>
      </c>
      <c r="V41" s="20" t="s">
        <v>47</v>
      </c>
      <c r="W41" s="20" t="s">
        <v>47</v>
      </c>
      <c r="Y41" s="895">
        <f>IFERROR(VLOOKUP(B41,'DSOAT-T1.2025'!$B$11:$AQ$81,54,0),0)</f>
        <v>0</v>
      </c>
      <c r="Z41" s="895">
        <f t="shared" si="0"/>
        <v>-408954</v>
      </c>
      <c r="AA41" s="895">
        <f>IFERROR(VLOOKUP(B41,'DSOAT-T1.2025'!$B$11:$AR$81,55,0),0)</f>
        <v>0</v>
      </c>
      <c r="AB41" s="896">
        <f t="shared" si="1"/>
        <v>-38948</v>
      </c>
      <c r="AC41" s="895">
        <f>IFERROR(VLOOKUP(B41,'DSOAT-T1.2025'!$B$11:$AS$81,56,0),0)</f>
        <v>0</v>
      </c>
      <c r="AD41" s="896">
        <f t="shared" si="2"/>
        <v>0</v>
      </c>
    </row>
    <row r="42" spans="1:30" ht="18" customHeight="1">
      <c r="A42" s="15" t="s">
        <v>179</v>
      </c>
      <c r="B42" s="45" t="s">
        <v>55</v>
      </c>
      <c r="C42" s="46">
        <v>33</v>
      </c>
      <c r="D42" s="47" t="s">
        <v>56</v>
      </c>
      <c r="E42" s="48">
        <v>478</v>
      </c>
      <c r="F42" s="49">
        <v>1.1100000000000001</v>
      </c>
      <c r="G42" s="50">
        <v>24.5</v>
      </c>
      <c r="H42" s="16">
        <v>4358126</v>
      </c>
      <c r="I42" s="16">
        <v>7755360</v>
      </c>
      <c r="J42" s="16">
        <v>0</v>
      </c>
      <c r="K42" s="16">
        <v>12113486</v>
      </c>
      <c r="L42" s="16">
        <v>2000000</v>
      </c>
      <c r="M42" s="16">
        <v>408954</v>
      </c>
      <c r="N42" s="16">
        <v>38948</v>
      </c>
      <c r="O42" s="16">
        <v>0</v>
      </c>
      <c r="P42" s="16">
        <v>9665584</v>
      </c>
      <c r="Q42" s="44">
        <v>7717800</v>
      </c>
      <c r="R42" s="61">
        <v>4395686</v>
      </c>
      <c r="S42" s="20" t="s">
        <v>55</v>
      </c>
      <c r="T42" s="28">
        <v>9212350</v>
      </c>
      <c r="U42" s="28">
        <v>-2901136</v>
      </c>
      <c r="V42" s="20" t="s">
        <v>55</v>
      </c>
      <c r="W42" s="20" t="s">
        <v>55</v>
      </c>
      <c r="Y42" s="895">
        <f>IFERROR(VLOOKUP(B42,'DSOAT-T1.2025'!$B$11:$AQ$81,54,0),0)</f>
        <v>0</v>
      </c>
      <c r="Z42" s="895">
        <f t="shared" si="0"/>
        <v>-408954</v>
      </c>
      <c r="AA42" s="895">
        <f>IFERROR(VLOOKUP(B42,'DSOAT-T1.2025'!$B$11:$AR$81,55,0),0)</f>
        <v>0</v>
      </c>
      <c r="AB42" s="896">
        <f t="shared" si="1"/>
        <v>-38948</v>
      </c>
      <c r="AC42" s="895">
        <f>IFERROR(VLOOKUP(B42,'DSOAT-T1.2025'!$B$11:$AS$81,56,0),0)</f>
        <v>0</v>
      </c>
      <c r="AD42" s="896">
        <f t="shared" si="2"/>
        <v>0</v>
      </c>
    </row>
    <row r="43" spans="1:30" ht="18" customHeight="1">
      <c r="A43" s="15" t="s">
        <v>179</v>
      </c>
      <c r="B43" s="45" t="s">
        <v>49</v>
      </c>
      <c r="C43" s="46">
        <v>34</v>
      </c>
      <c r="D43" s="47" t="s">
        <v>50</v>
      </c>
      <c r="E43" s="48">
        <v>478</v>
      </c>
      <c r="F43" s="49">
        <v>0.92</v>
      </c>
      <c r="G43" s="50">
        <v>24.5</v>
      </c>
      <c r="H43" s="16">
        <v>3612140</v>
      </c>
      <c r="I43" s="16">
        <v>5773661</v>
      </c>
      <c r="J43" s="16">
        <v>0</v>
      </c>
      <c r="K43" s="16">
        <v>9385801</v>
      </c>
      <c r="L43" s="16">
        <v>2000000</v>
      </c>
      <c r="M43" s="16">
        <v>408954</v>
      </c>
      <c r="N43" s="16">
        <v>38948</v>
      </c>
      <c r="O43" s="16">
        <v>0</v>
      </c>
      <c r="P43" s="16">
        <v>6937899</v>
      </c>
      <c r="Q43" s="44">
        <v>9271219</v>
      </c>
      <c r="R43" s="61">
        <v>114582</v>
      </c>
      <c r="S43" s="20" t="s">
        <v>49</v>
      </c>
      <c r="T43" s="28">
        <v>13514883</v>
      </c>
      <c r="U43" s="28">
        <v>4129082</v>
      </c>
      <c r="V43" s="20" t="s">
        <v>49</v>
      </c>
      <c r="W43" s="20" t="s">
        <v>49</v>
      </c>
      <c r="Y43" s="895">
        <f>IFERROR(VLOOKUP(B43,'DSOAT-T1.2025'!$B$11:$AQ$81,54,0),0)</f>
        <v>0</v>
      </c>
      <c r="Z43" s="895">
        <f t="shared" si="0"/>
        <v>-408954</v>
      </c>
      <c r="AA43" s="895">
        <f>IFERROR(VLOOKUP(B43,'DSOAT-T1.2025'!$B$11:$AR$81,55,0),0)</f>
        <v>0</v>
      </c>
      <c r="AB43" s="896">
        <f t="shared" si="1"/>
        <v>-38948</v>
      </c>
      <c r="AC43" s="895">
        <f>IFERROR(VLOOKUP(B43,'DSOAT-T1.2025'!$B$11:$AS$81,56,0),0)</f>
        <v>0</v>
      </c>
      <c r="AD43" s="896">
        <f t="shared" si="2"/>
        <v>0</v>
      </c>
    </row>
    <row r="44" spans="1:30" ht="18" customHeight="1">
      <c r="A44" s="15" t="s">
        <v>179</v>
      </c>
      <c r="B44" s="45" t="s">
        <v>51</v>
      </c>
      <c r="C44" s="46">
        <v>35</v>
      </c>
      <c r="D44" s="47" t="s">
        <v>52</v>
      </c>
      <c r="E44" s="48">
        <v>418</v>
      </c>
      <c r="F44" s="49">
        <v>1.37</v>
      </c>
      <c r="G44" s="50">
        <v>24.5</v>
      </c>
      <c r="H44" s="16">
        <v>4703766</v>
      </c>
      <c r="I44" s="16">
        <v>3852899</v>
      </c>
      <c r="J44" s="16">
        <v>0</v>
      </c>
      <c r="K44" s="16">
        <v>8556665</v>
      </c>
      <c r="L44" s="16">
        <v>2000000</v>
      </c>
      <c r="M44" s="16">
        <v>408954</v>
      </c>
      <c r="N44" s="16">
        <v>38948</v>
      </c>
      <c r="O44" s="16">
        <v>0</v>
      </c>
      <c r="P44" s="16">
        <v>6108763</v>
      </c>
      <c r="Q44" s="44">
        <v>9725129</v>
      </c>
      <c r="R44" s="61">
        <v>-1168464</v>
      </c>
      <c r="S44" s="20" t="s">
        <v>51</v>
      </c>
      <c r="T44" s="28">
        <v>8724927</v>
      </c>
      <c r="U44" s="28">
        <v>168262</v>
      </c>
      <c r="V44" s="20" t="s">
        <v>51</v>
      </c>
      <c r="W44" s="20" t="s">
        <v>51</v>
      </c>
      <c r="Y44" s="895">
        <f>IFERROR(VLOOKUP(B44,'DSOAT-T1.2025'!$B$11:$AQ$81,54,0),0)</f>
        <v>0</v>
      </c>
      <c r="Z44" s="895">
        <f t="shared" si="0"/>
        <v>-408954</v>
      </c>
      <c r="AA44" s="895">
        <f>IFERROR(VLOOKUP(B44,'DSOAT-T1.2025'!$B$11:$AR$81,55,0),0)</f>
        <v>0</v>
      </c>
      <c r="AB44" s="896">
        <f t="shared" si="1"/>
        <v>-38948</v>
      </c>
      <c r="AC44" s="895">
        <f>IFERROR(VLOOKUP(B44,'DSOAT-T1.2025'!$B$11:$AS$81,56,0),0)</f>
        <v>0</v>
      </c>
      <c r="AD44" s="896">
        <f t="shared" si="2"/>
        <v>0</v>
      </c>
    </row>
    <row r="45" spans="1:30" ht="18" customHeight="1">
      <c r="A45" s="15" t="s">
        <v>179</v>
      </c>
      <c r="B45" s="45" t="s">
        <v>158</v>
      </c>
      <c r="C45" s="46">
        <v>36</v>
      </c>
      <c r="D45" s="47" t="s">
        <v>146</v>
      </c>
      <c r="E45" s="48">
        <v>431</v>
      </c>
      <c r="F45" s="49">
        <v>0.67</v>
      </c>
      <c r="G45" s="50">
        <v>24.5</v>
      </c>
      <c r="H45" s="16">
        <v>2368043</v>
      </c>
      <c r="I45" s="16">
        <v>8843476</v>
      </c>
      <c r="J45" s="16">
        <v>0</v>
      </c>
      <c r="K45" s="16">
        <v>11211519</v>
      </c>
      <c r="L45" s="16">
        <v>2000000</v>
      </c>
      <c r="M45" s="16">
        <v>408954</v>
      </c>
      <c r="N45" s="16">
        <v>38948</v>
      </c>
      <c r="O45" s="16">
        <v>39028</v>
      </c>
      <c r="P45" s="16">
        <v>8724589</v>
      </c>
      <c r="Q45" s="44">
        <v>11899951</v>
      </c>
      <c r="R45" s="61">
        <v>-688432</v>
      </c>
      <c r="S45" s="20" t="s">
        <v>158</v>
      </c>
      <c r="T45" s="28">
        <v>14059604</v>
      </c>
      <c r="U45" s="28">
        <v>2848085</v>
      </c>
      <c r="V45" s="20" t="s">
        <v>158</v>
      </c>
      <c r="W45" s="20" t="s">
        <v>158</v>
      </c>
      <c r="Y45" s="895">
        <f>IFERROR(VLOOKUP(B45,'DSOAT-T1.2025'!$B$11:$AQ$81,54,0),0)</f>
        <v>0</v>
      </c>
      <c r="Z45" s="895">
        <f t="shared" si="0"/>
        <v>-408954</v>
      </c>
      <c r="AA45" s="895">
        <f>IFERROR(VLOOKUP(B45,'DSOAT-T1.2025'!$B$11:$AR$81,55,0),0)</f>
        <v>0</v>
      </c>
      <c r="AB45" s="896">
        <f t="shared" si="1"/>
        <v>-38948</v>
      </c>
      <c r="AC45" s="895">
        <f>IFERROR(VLOOKUP(B45,'DSOAT-T1.2025'!$B$11:$AS$81,56,0),0)</f>
        <v>0</v>
      </c>
      <c r="AD45" s="896">
        <f t="shared" si="2"/>
        <v>-39028</v>
      </c>
    </row>
    <row r="46" spans="1:30" ht="18" customHeight="1">
      <c r="A46" s="15" t="s">
        <v>179</v>
      </c>
      <c r="B46" s="45" t="s">
        <v>159</v>
      </c>
      <c r="C46" s="46">
        <v>37</v>
      </c>
      <c r="D46" s="47" t="s">
        <v>147</v>
      </c>
      <c r="E46" s="48">
        <v>431</v>
      </c>
      <c r="F46" s="49">
        <v>1.24</v>
      </c>
      <c r="G46" s="50">
        <v>24.5</v>
      </c>
      <c r="H46" s="16">
        <v>4370317</v>
      </c>
      <c r="I46" s="16">
        <v>8336319</v>
      </c>
      <c r="J46" s="16">
        <v>0</v>
      </c>
      <c r="K46" s="16">
        <v>12706636</v>
      </c>
      <c r="L46" s="16">
        <v>2000000</v>
      </c>
      <c r="M46" s="16">
        <v>408954</v>
      </c>
      <c r="N46" s="16">
        <v>38948</v>
      </c>
      <c r="O46" s="16">
        <v>0</v>
      </c>
      <c r="P46" s="16">
        <v>10258734</v>
      </c>
      <c r="Q46" s="44">
        <v>10529809</v>
      </c>
      <c r="R46" s="61">
        <v>2176827</v>
      </c>
      <c r="S46" s="20" t="s">
        <v>159</v>
      </c>
      <c r="T46" s="28">
        <v>28925404</v>
      </c>
      <c r="U46" s="28">
        <v>16218768</v>
      </c>
      <c r="V46" s="20" t="s">
        <v>159</v>
      </c>
      <c r="W46" s="20" t="s">
        <v>159</v>
      </c>
      <c r="Y46" s="895">
        <f>IFERROR(VLOOKUP(B46,'DSOAT-T1.2025'!$B$11:$AQ$81,54,0),0)</f>
        <v>0</v>
      </c>
      <c r="Z46" s="895">
        <f t="shared" si="0"/>
        <v>-408954</v>
      </c>
      <c r="AA46" s="895">
        <f>IFERROR(VLOOKUP(B46,'DSOAT-T1.2025'!$B$11:$AR$81,55,0),0)</f>
        <v>0</v>
      </c>
      <c r="AB46" s="896">
        <f t="shared" si="1"/>
        <v>-38948</v>
      </c>
      <c r="AC46" s="895">
        <f>IFERROR(VLOOKUP(B46,'DSOAT-T1.2025'!$B$11:$AS$81,56,0),0)</f>
        <v>0</v>
      </c>
      <c r="AD46" s="896">
        <f t="shared" si="2"/>
        <v>0</v>
      </c>
    </row>
    <row r="47" spans="1:30" ht="18" customHeight="1">
      <c r="A47" s="15" t="s">
        <v>179</v>
      </c>
      <c r="B47" s="45" t="s">
        <v>214</v>
      </c>
      <c r="C47" s="46">
        <v>38</v>
      </c>
      <c r="D47" s="47" t="s">
        <v>215</v>
      </c>
      <c r="E47" s="48">
        <v>524</v>
      </c>
      <c r="F47" s="49">
        <v>1.03</v>
      </c>
      <c r="G47" s="50">
        <v>24.5</v>
      </c>
      <c r="H47" s="16">
        <v>4447293</v>
      </c>
      <c r="I47" s="16">
        <v>6267818</v>
      </c>
      <c r="J47" s="16">
        <v>0</v>
      </c>
      <c r="K47" s="16">
        <v>10715111</v>
      </c>
      <c r="L47" s="16">
        <v>2000000</v>
      </c>
      <c r="M47" s="16">
        <v>408954</v>
      </c>
      <c r="N47" s="16">
        <v>38948</v>
      </c>
      <c r="O47" s="16">
        <v>2217359</v>
      </c>
      <c r="P47" s="16">
        <v>6049850</v>
      </c>
      <c r="Q47" s="44">
        <v>12095247</v>
      </c>
      <c r="R47" s="61">
        <v>-1380136</v>
      </c>
      <c r="S47" s="20" t="s">
        <v>214</v>
      </c>
      <c r="T47" s="28">
        <v>28925404</v>
      </c>
      <c r="U47" s="28">
        <v>18210293</v>
      </c>
      <c r="V47" s="20" t="s">
        <v>214</v>
      </c>
      <c r="W47" s="20" t="s">
        <v>214</v>
      </c>
      <c r="Y47" s="895">
        <f>IFERROR(VLOOKUP(B47,'DSOAT-T1.2025'!$B$11:$AQ$81,54,0),0)</f>
        <v>0</v>
      </c>
      <c r="Z47" s="895">
        <f t="shared" si="0"/>
        <v>-408954</v>
      </c>
      <c r="AA47" s="895">
        <f>IFERROR(VLOOKUP(B47,'DSOAT-T1.2025'!$B$11:$AR$81,55,0),0)</f>
        <v>0</v>
      </c>
      <c r="AB47" s="896">
        <f t="shared" si="1"/>
        <v>-38948</v>
      </c>
      <c r="AC47" s="895">
        <f>IFERROR(VLOOKUP(B47,'DSOAT-T1.2025'!$B$11:$AS$81,56,0),0)</f>
        <v>0</v>
      </c>
      <c r="AD47" s="896">
        <f t="shared" si="2"/>
        <v>-2217359</v>
      </c>
    </row>
    <row r="48" spans="1:30" ht="18" customHeight="1">
      <c r="A48" s="15" t="s">
        <v>179</v>
      </c>
      <c r="B48" s="45" t="s">
        <v>283</v>
      </c>
      <c r="C48" s="46">
        <v>39</v>
      </c>
      <c r="D48" s="47" t="s">
        <v>281</v>
      </c>
      <c r="E48" s="48">
        <v>355</v>
      </c>
      <c r="F48" s="49">
        <v>1</v>
      </c>
      <c r="G48" s="50">
        <v>24.5</v>
      </c>
      <c r="H48" s="16">
        <v>7785253</v>
      </c>
      <c r="I48" s="16">
        <v>968920</v>
      </c>
      <c r="J48" s="16">
        <v>0</v>
      </c>
      <c r="K48" s="16">
        <v>8754173</v>
      </c>
      <c r="L48" s="16">
        <v>2000000</v>
      </c>
      <c r="M48" s="16">
        <v>408954</v>
      </c>
      <c r="N48" s="16">
        <v>38948</v>
      </c>
      <c r="O48" s="16">
        <v>0</v>
      </c>
      <c r="P48" s="16">
        <v>6306271</v>
      </c>
      <c r="Q48" s="44">
        <v>8959415</v>
      </c>
      <c r="R48" s="61">
        <v>-205242</v>
      </c>
      <c r="S48" s="20" t="s">
        <v>283</v>
      </c>
      <c r="T48" s="28">
        <v>28925404</v>
      </c>
      <c r="U48" s="28">
        <v>20171231</v>
      </c>
      <c r="V48" s="20" t="s">
        <v>283</v>
      </c>
      <c r="W48" s="20" t="s">
        <v>283</v>
      </c>
      <c r="X48" s="20" t="s">
        <v>900</v>
      </c>
      <c r="Y48" s="895">
        <f>IFERROR(VLOOKUP(B48,'DSOAT-T1.2025'!$B$11:$AQ$81,54,0),0)</f>
        <v>0</v>
      </c>
      <c r="Z48" s="895">
        <f t="shared" si="0"/>
        <v>-408954</v>
      </c>
      <c r="AA48" s="895">
        <f>IFERROR(VLOOKUP(B48,'DSOAT-T1.2025'!$B$11:$AR$81,55,0),0)</f>
        <v>0</v>
      </c>
      <c r="AB48" s="896">
        <f t="shared" si="1"/>
        <v>-38948</v>
      </c>
      <c r="AC48" s="895">
        <f>IFERROR(VLOOKUP(B48,'DSOAT-T1.2025'!$B$11:$AS$81,56,0),0)</f>
        <v>0</v>
      </c>
      <c r="AD48" s="896">
        <f t="shared" si="2"/>
        <v>0</v>
      </c>
    </row>
    <row r="49" spans="1:30" ht="18" customHeight="1">
      <c r="A49" s="15" t="s">
        <v>180</v>
      </c>
      <c r="B49" s="45" t="s">
        <v>66</v>
      </c>
      <c r="C49" s="46">
        <v>40</v>
      </c>
      <c r="D49" s="47" t="s">
        <v>67</v>
      </c>
      <c r="E49" s="48">
        <v>335</v>
      </c>
      <c r="F49" s="49">
        <v>1.05</v>
      </c>
      <c r="G49" s="50">
        <v>24.5</v>
      </c>
      <c r="H49" s="16">
        <v>7713131</v>
      </c>
      <c r="I49" s="16">
        <v>1946473</v>
      </c>
      <c r="J49" s="16">
        <v>0</v>
      </c>
      <c r="K49" s="16">
        <v>9659604</v>
      </c>
      <c r="L49" s="16">
        <v>2000000</v>
      </c>
      <c r="M49" s="16">
        <v>365138</v>
      </c>
      <c r="N49" s="16">
        <v>34775</v>
      </c>
      <c r="O49" s="16">
        <v>0</v>
      </c>
      <c r="P49" s="16">
        <v>7259691</v>
      </c>
      <c r="Q49" s="44">
        <v>8090367</v>
      </c>
      <c r="R49" s="61">
        <v>1569237</v>
      </c>
      <c r="S49" s="20" t="s">
        <v>66</v>
      </c>
      <c r="T49" s="28">
        <v>28925404</v>
      </c>
      <c r="U49" s="28">
        <v>19265800</v>
      </c>
      <c r="V49" s="20" t="s">
        <v>66</v>
      </c>
      <c r="W49" s="20" t="s">
        <v>66</v>
      </c>
      <c r="X49" s="20" t="s">
        <v>900</v>
      </c>
      <c r="Y49" s="895">
        <f>IFERROR(VLOOKUP(B49,'DSOAT-T1.2025'!$B$11:$AQ$81,54,0),0)</f>
        <v>0</v>
      </c>
      <c r="Z49" s="895">
        <f t="shared" si="0"/>
        <v>-365138</v>
      </c>
      <c r="AA49" s="895">
        <f>IFERROR(VLOOKUP(B49,'DSOAT-T1.2025'!$B$11:$AR$81,55,0),0)</f>
        <v>0</v>
      </c>
      <c r="AB49" s="896">
        <f t="shared" si="1"/>
        <v>-34775</v>
      </c>
      <c r="AC49" s="895">
        <f>IFERROR(VLOOKUP(B49,'DSOAT-T1.2025'!$B$11:$AS$81,56,0),0)</f>
        <v>0</v>
      </c>
      <c r="AD49" s="896">
        <f t="shared" si="2"/>
        <v>0</v>
      </c>
    </row>
    <row r="50" spans="1:30" ht="18" customHeight="1">
      <c r="A50" s="15" t="s">
        <v>180</v>
      </c>
      <c r="B50" s="45" t="s">
        <v>171</v>
      </c>
      <c r="C50" s="46">
        <v>41</v>
      </c>
      <c r="D50" s="47" t="s">
        <v>168</v>
      </c>
      <c r="E50" s="48">
        <v>478</v>
      </c>
      <c r="F50" s="49">
        <v>1.1399999999999999</v>
      </c>
      <c r="G50" s="50">
        <v>24.5</v>
      </c>
      <c r="H50" s="16">
        <v>4481610</v>
      </c>
      <c r="I50" s="16">
        <v>11518100</v>
      </c>
      <c r="J50" s="16">
        <v>0</v>
      </c>
      <c r="K50" s="16">
        <v>15999710</v>
      </c>
      <c r="L50" s="16">
        <v>2000000</v>
      </c>
      <c r="M50" s="16">
        <v>365138</v>
      </c>
      <c r="N50" s="16">
        <v>34775</v>
      </c>
      <c r="O50" s="16">
        <v>315657</v>
      </c>
      <c r="P50" s="16">
        <v>13284140</v>
      </c>
      <c r="Q50" s="44">
        <v>15184532</v>
      </c>
      <c r="R50" s="61">
        <v>815178</v>
      </c>
      <c r="S50" s="20" t="s">
        <v>171</v>
      </c>
      <c r="T50" s="28">
        <v>18458037</v>
      </c>
      <c r="U50" s="28">
        <v>2458327</v>
      </c>
      <c r="V50" s="20" t="s">
        <v>171</v>
      </c>
      <c r="W50" s="20" t="s">
        <v>171</v>
      </c>
      <c r="Y50" s="895">
        <f>IFERROR(VLOOKUP(B50,'DSOAT-T1.2025'!$B$11:$AQ$81,54,0),0)</f>
        <v>0</v>
      </c>
      <c r="Z50" s="895">
        <f t="shared" si="0"/>
        <v>-365138</v>
      </c>
      <c r="AA50" s="895">
        <f>IFERROR(VLOOKUP(B50,'DSOAT-T1.2025'!$B$11:$AR$81,55,0),0)</f>
        <v>0</v>
      </c>
      <c r="AB50" s="896">
        <f t="shared" si="1"/>
        <v>-34775</v>
      </c>
      <c r="AC50" s="895">
        <f>IFERROR(VLOOKUP(B50,'DSOAT-T1.2025'!$B$11:$AS$81,56,0),0)</f>
        <v>0</v>
      </c>
      <c r="AD50" s="896">
        <f t="shared" si="2"/>
        <v>-315657</v>
      </c>
    </row>
    <row r="51" spans="1:30" ht="18" customHeight="1">
      <c r="A51" s="15" t="s">
        <v>180</v>
      </c>
      <c r="B51" s="45" t="s">
        <v>64</v>
      </c>
      <c r="C51" s="46">
        <v>42</v>
      </c>
      <c r="D51" s="47" t="s">
        <v>65</v>
      </c>
      <c r="E51" s="48">
        <v>418</v>
      </c>
      <c r="F51" s="49">
        <v>1.03</v>
      </c>
      <c r="G51" s="50">
        <v>26</v>
      </c>
      <c r="H51" s="16">
        <v>3536020</v>
      </c>
      <c r="I51" s="16">
        <v>2672293</v>
      </c>
      <c r="J51" s="16">
        <v>0</v>
      </c>
      <c r="K51" s="16">
        <v>6208313</v>
      </c>
      <c r="L51" s="16">
        <v>2000000</v>
      </c>
      <c r="M51" s="16">
        <v>365138</v>
      </c>
      <c r="N51" s="16">
        <v>34775</v>
      </c>
      <c r="O51" s="16">
        <v>0</v>
      </c>
      <c r="P51" s="16">
        <v>3808400</v>
      </c>
      <c r="Q51" s="44">
        <v>6287337</v>
      </c>
      <c r="R51" s="61">
        <v>-79024</v>
      </c>
      <c r="S51" s="20" t="s">
        <v>64</v>
      </c>
      <c r="T51" s="28">
        <v>6187990</v>
      </c>
      <c r="U51" s="28">
        <v>-20323</v>
      </c>
      <c r="V51" s="20">
        <v>0</v>
      </c>
      <c r="W51" s="20" t="s">
        <v>64</v>
      </c>
      <c r="Y51" s="895">
        <f>IFERROR(VLOOKUP(B51,'DSOAT-T1.2025'!$B$11:$AQ$81,54,0),0)</f>
        <v>0</v>
      </c>
      <c r="Z51" s="895">
        <f t="shared" si="0"/>
        <v>-365138</v>
      </c>
      <c r="AA51" s="895">
        <f>IFERROR(VLOOKUP(B51,'DSOAT-T1.2025'!$B$11:$AR$81,55,0),0)</f>
        <v>0</v>
      </c>
      <c r="AB51" s="896">
        <f t="shared" si="1"/>
        <v>-34775</v>
      </c>
      <c r="AC51" s="895">
        <f>IFERROR(VLOOKUP(B51,'DSOAT-T1.2025'!$B$11:$AS$81,56,0),0)</f>
        <v>0</v>
      </c>
      <c r="AD51" s="896">
        <f t="shared" si="2"/>
        <v>0</v>
      </c>
    </row>
    <row r="52" spans="1:30" ht="18" customHeight="1">
      <c r="A52" s="15" t="s">
        <v>180</v>
      </c>
      <c r="B52" s="45" t="s">
        <v>160</v>
      </c>
      <c r="C52" s="46">
        <v>43</v>
      </c>
      <c r="D52" s="47" t="s">
        <v>148</v>
      </c>
      <c r="E52" s="48">
        <v>431</v>
      </c>
      <c r="F52" s="49">
        <v>0.94</v>
      </c>
      <c r="G52" s="50">
        <v>24.5</v>
      </c>
      <c r="H52" s="16">
        <v>3328005</v>
      </c>
      <c r="I52" s="16">
        <v>15532252</v>
      </c>
      <c r="J52" s="16">
        <v>0</v>
      </c>
      <c r="K52" s="16">
        <v>18860257</v>
      </c>
      <c r="L52" s="16">
        <v>2000000</v>
      </c>
      <c r="M52" s="16">
        <v>365138</v>
      </c>
      <c r="N52" s="16">
        <v>34775</v>
      </c>
      <c r="O52" s="16">
        <v>600012</v>
      </c>
      <c r="P52" s="16">
        <v>15860332</v>
      </c>
      <c r="Q52" s="44">
        <v>17784671</v>
      </c>
      <c r="R52" s="61">
        <v>1075586</v>
      </c>
      <c r="S52" s="20" t="s">
        <v>160</v>
      </c>
      <c r="T52" s="28">
        <v>24005944</v>
      </c>
      <c r="U52" s="28">
        <v>5145687</v>
      </c>
      <c r="V52" s="20" t="s">
        <v>160</v>
      </c>
      <c r="W52" s="20" t="s">
        <v>160</v>
      </c>
      <c r="Y52" s="895">
        <f>IFERROR(VLOOKUP(B52,'DSOAT-T1.2025'!$B$11:$AQ$81,54,0),0)</f>
        <v>0</v>
      </c>
      <c r="Z52" s="895">
        <f t="shared" si="0"/>
        <v>-365138</v>
      </c>
      <c r="AA52" s="895">
        <f>IFERROR(VLOOKUP(B52,'DSOAT-T1.2025'!$B$11:$AR$81,55,0),0)</f>
        <v>0</v>
      </c>
      <c r="AB52" s="896">
        <f t="shared" si="1"/>
        <v>-34775</v>
      </c>
      <c r="AC52" s="895">
        <f>IFERROR(VLOOKUP(B52,'DSOAT-T1.2025'!$B$11:$AS$81,56,0),0)</f>
        <v>0</v>
      </c>
      <c r="AD52" s="896">
        <f t="shared" si="2"/>
        <v>-600012</v>
      </c>
    </row>
    <row r="53" spans="1:30" ht="18" customHeight="1">
      <c r="A53" s="15" t="s">
        <v>180</v>
      </c>
      <c r="B53" s="45" t="s">
        <v>284</v>
      </c>
      <c r="C53" s="46">
        <v>44</v>
      </c>
      <c r="D53" s="47" t="s">
        <v>282</v>
      </c>
      <c r="E53" s="48">
        <v>524</v>
      </c>
      <c r="F53" s="49">
        <v>0.88</v>
      </c>
      <c r="G53" s="50">
        <v>24.5</v>
      </c>
      <c r="H53" s="16">
        <v>3709192</v>
      </c>
      <c r="I53" s="16">
        <v>7385810</v>
      </c>
      <c r="J53" s="16">
        <v>0</v>
      </c>
      <c r="K53" s="16">
        <v>11095002</v>
      </c>
      <c r="L53" s="16">
        <v>2000000</v>
      </c>
      <c r="M53" s="16">
        <v>365138</v>
      </c>
      <c r="N53" s="16">
        <v>34775</v>
      </c>
      <c r="O53" s="16">
        <v>647356</v>
      </c>
      <c r="P53" s="16">
        <v>8047733</v>
      </c>
      <c r="Q53" s="44">
        <v>16050085</v>
      </c>
      <c r="R53" s="61">
        <v>-4955083</v>
      </c>
      <c r="S53" s="20" t="s">
        <v>284</v>
      </c>
      <c r="T53" s="28">
        <v>24005944</v>
      </c>
      <c r="U53" s="28">
        <v>12910942</v>
      </c>
      <c r="V53" s="20" t="s">
        <v>284</v>
      </c>
      <c r="W53" s="20" t="s">
        <v>284</v>
      </c>
      <c r="Y53" s="895">
        <f>IFERROR(VLOOKUP(B53,'DSOAT-T1.2025'!$B$11:$AQ$81,54,0),0)</f>
        <v>0</v>
      </c>
      <c r="Z53" s="895">
        <f t="shared" si="0"/>
        <v>-365138</v>
      </c>
      <c r="AA53" s="895">
        <f>IFERROR(VLOOKUP(B53,'DSOAT-T1.2025'!$B$11:$AR$81,55,0),0)</f>
        <v>0</v>
      </c>
      <c r="AB53" s="896">
        <f t="shared" si="1"/>
        <v>-34775</v>
      </c>
      <c r="AC53" s="895">
        <f>IFERROR(VLOOKUP(B53,'DSOAT-T1.2025'!$B$11:$AS$81,56,0),0)</f>
        <v>0</v>
      </c>
      <c r="AD53" s="896">
        <f t="shared" si="2"/>
        <v>-647356</v>
      </c>
    </row>
    <row r="54" spans="1:30" ht="18" customHeight="1">
      <c r="A54" s="15" t="s">
        <v>180</v>
      </c>
      <c r="B54" s="45" t="s">
        <v>290</v>
      </c>
      <c r="C54" s="46">
        <v>45</v>
      </c>
      <c r="D54" s="47" t="s">
        <v>289</v>
      </c>
      <c r="E54" s="48">
        <v>418</v>
      </c>
      <c r="F54" s="49">
        <v>1.1200000000000001</v>
      </c>
      <c r="G54" s="50">
        <v>24.5</v>
      </c>
      <c r="H54" s="16">
        <v>3827163</v>
      </c>
      <c r="I54" s="16">
        <v>9077315</v>
      </c>
      <c r="J54" s="16">
        <v>0</v>
      </c>
      <c r="K54" s="16">
        <v>12904478</v>
      </c>
      <c r="L54" s="16">
        <v>2000000</v>
      </c>
      <c r="M54" s="16">
        <v>365138</v>
      </c>
      <c r="N54" s="16">
        <v>34775</v>
      </c>
      <c r="O54" s="16">
        <v>130867</v>
      </c>
      <c r="P54" s="16">
        <v>10373698</v>
      </c>
      <c r="Q54" s="44">
        <v>12423554</v>
      </c>
      <c r="R54" s="61">
        <v>480924</v>
      </c>
      <c r="S54" s="20" t="s">
        <v>290</v>
      </c>
      <c r="T54" s="28">
        <v>24005944</v>
      </c>
      <c r="U54" s="28">
        <v>11101466</v>
      </c>
      <c r="V54" s="20" t="s">
        <v>290</v>
      </c>
      <c r="W54" s="20" t="s">
        <v>290</v>
      </c>
      <c r="Y54" s="895">
        <f>IFERROR(VLOOKUP(B54,'DSOAT-T1.2025'!$B$11:$AQ$81,54,0),0)</f>
        <v>0</v>
      </c>
      <c r="Z54" s="895">
        <f t="shared" si="0"/>
        <v>-365138</v>
      </c>
      <c r="AA54" s="895">
        <f>IFERROR(VLOOKUP(B54,'DSOAT-T1.2025'!$B$11:$AR$81,55,0),0)</f>
        <v>0</v>
      </c>
      <c r="AB54" s="896">
        <f t="shared" si="1"/>
        <v>-34775</v>
      </c>
      <c r="AC54" s="895">
        <f>IFERROR(VLOOKUP(B54,'DSOAT-T1.2025'!$B$11:$AS$81,56,0),0)</f>
        <v>0</v>
      </c>
      <c r="AD54" s="896">
        <f t="shared" si="2"/>
        <v>-130867</v>
      </c>
    </row>
    <row r="55" spans="1:30" ht="18" customHeight="1">
      <c r="A55" s="15" t="s">
        <v>180</v>
      </c>
      <c r="B55" s="45" t="s">
        <v>1312</v>
      </c>
      <c r="C55" s="46">
        <v>46</v>
      </c>
      <c r="D55" s="47" t="s">
        <v>1314</v>
      </c>
      <c r="E55" s="48">
        <v>355</v>
      </c>
      <c r="F55" s="49">
        <v>0.94</v>
      </c>
      <c r="G55" s="50">
        <v>26</v>
      </c>
      <c r="H55" s="16">
        <v>2740674</v>
      </c>
      <c r="I55" s="16">
        <v>1338534</v>
      </c>
      <c r="J55" s="16">
        <v>0</v>
      </c>
      <c r="K55" s="16">
        <v>4079208</v>
      </c>
      <c r="L55" s="16">
        <v>2000000</v>
      </c>
      <c r="M55" s="16">
        <v>365138</v>
      </c>
      <c r="N55" s="16">
        <v>34775</v>
      </c>
      <c r="O55" s="16">
        <v>0</v>
      </c>
      <c r="P55" s="16">
        <v>1679295</v>
      </c>
      <c r="Q55" s="44">
        <v>0</v>
      </c>
      <c r="R55" s="61">
        <v>4079208</v>
      </c>
      <c r="S55" s="20" t="s">
        <v>1312</v>
      </c>
      <c r="T55" s="28">
        <v>24005944</v>
      </c>
      <c r="U55" s="28">
        <v>19926736</v>
      </c>
      <c r="V55" s="20">
        <v>0</v>
      </c>
      <c r="W55" s="20">
        <v>0</v>
      </c>
      <c r="Y55" s="895">
        <f>IFERROR(VLOOKUP(B55,'DSOAT-T1.2025'!$B$11:$AQ$81,54,0),0)</f>
        <v>0</v>
      </c>
      <c r="Z55" s="895">
        <f t="shared" si="0"/>
        <v>-365138</v>
      </c>
      <c r="AA55" s="895">
        <f>IFERROR(VLOOKUP(B55,'DSOAT-T1.2025'!$B$11:$AR$81,55,0),0)</f>
        <v>0</v>
      </c>
      <c r="AB55" s="896">
        <f t="shared" si="1"/>
        <v>-34775</v>
      </c>
      <c r="AC55" s="895">
        <f>IFERROR(VLOOKUP(B55,'DSOAT-T1.2025'!$B$11:$AS$81,56,0),0)</f>
        <v>0</v>
      </c>
      <c r="AD55" s="896">
        <f t="shared" si="2"/>
        <v>0</v>
      </c>
    </row>
    <row r="56" spans="1:30" ht="18" customHeight="1">
      <c r="A56" s="15" t="s">
        <v>181</v>
      </c>
      <c r="B56" s="45" t="s">
        <v>68</v>
      </c>
      <c r="C56" s="46">
        <v>46</v>
      </c>
      <c r="D56" s="47" t="s">
        <v>69</v>
      </c>
      <c r="E56" s="48">
        <v>335</v>
      </c>
      <c r="F56" s="49">
        <v>1.02</v>
      </c>
      <c r="G56" s="50">
        <v>24.5</v>
      </c>
      <c r="H56" s="16">
        <v>7483097</v>
      </c>
      <c r="I56" s="16">
        <v>0</v>
      </c>
      <c r="J56" s="16">
        <v>0</v>
      </c>
      <c r="K56" s="16">
        <v>7483097</v>
      </c>
      <c r="L56" s="16">
        <v>2000000</v>
      </c>
      <c r="M56" s="16">
        <v>365138</v>
      </c>
      <c r="N56" s="16">
        <v>34775</v>
      </c>
      <c r="O56" s="16">
        <v>0</v>
      </c>
      <c r="P56" s="16">
        <v>5083184</v>
      </c>
      <c r="Q56" s="44">
        <v>0</v>
      </c>
      <c r="R56" s="61">
        <v>7483097</v>
      </c>
      <c r="S56" s="20" t="s">
        <v>68</v>
      </c>
      <c r="T56" s="28">
        <v>24005944</v>
      </c>
      <c r="U56" s="28">
        <v>16522847</v>
      </c>
      <c r="V56" s="20">
        <v>0</v>
      </c>
      <c r="W56" s="20" t="s">
        <v>68</v>
      </c>
      <c r="X56" s="20" t="s">
        <v>900</v>
      </c>
      <c r="Y56" s="895">
        <f>IFERROR(VLOOKUP(B56,'DSOAT-T1.2025'!$B$11:$AQ$81,54,0),0)</f>
        <v>0</v>
      </c>
      <c r="Z56" s="895">
        <f t="shared" si="0"/>
        <v>-365138</v>
      </c>
      <c r="AA56" s="895">
        <f>IFERROR(VLOOKUP(B56,'DSOAT-T1.2025'!$B$11:$AR$81,55,0),0)</f>
        <v>0</v>
      </c>
      <c r="AB56" s="896">
        <f t="shared" si="1"/>
        <v>-34775</v>
      </c>
      <c r="AC56" s="895">
        <f>IFERROR(VLOOKUP(B56,'DSOAT-T1.2025'!$B$11:$AS$81,56,0),0)</f>
        <v>0</v>
      </c>
      <c r="AD56" s="896">
        <f t="shared" si="2"/>
        <v>0</v>
      </c>
    </row>
    <row r="57" spans="1:30" ht="18" customHeight="1">
      <c r="A57" s="15" t="s">
        <v>181</v>
      </c>
      <c r="B57" s="45" t="s">
        <v>71</v>
      </c>
      <c r="C57" s="46">
        <v>47</v>
      </c>
      <c r="D57" s="47" t="s">
        <v>72</v>
      </c>
      <c r="E57" s="48">
        <v>418</v>
      </c>
      <c r="F57" s="49">
        <v>1.38</v>
      </c>
      <c r="G57" s="50">
        <v>24.5</v>
      </c>
      <c r="H57" s="16">
        <v>4731472</v>
      </c>
      <c r="I57" s="16">
        <v>8329048</v>
      </c>
      <c r="J57" s="16">
        <v>0</v>
      </c>
      <c r="K57" s="16">
        <v>13060520</v>
      </c>
      <c r="L57" s="16">
        <v>2000000</v>
      </c>
      <c r="M57" s="16">
        <v>365138</v>
      </c>
      <c r="N57" s="16">
        <v>34775</v>
      </c>
      <c r="O57" s="16">
        <v>471276</v>
      </c>
      <c r="P57" s="16">
        <v>10189331</v>
      </c>
      <c r="Q57" s="44">
        <v>11887791</v>
      </c>
      <c r="R57" s="61">
        <v>1172729</v>
      </c>
      <c r="S57" s="20" t="s">
        <v>71</v>
      </c>
      <c r="T57" s="28">
        <v>9363634</v>
      </c>
      <c r="U57" s="28">
        <v>-3696886</v>
      </c>
      <c r="V57" s="20">
        <v>0</v>
      </c>
      <c r="W57" s="20" t="s">
        <v>71</v>
      </c>
      <c r="Y57" s="895">
        <f>IFERROR(VLOOKUP(B57,'DSOAT-T1.2025'!$B$11:$AQ$81,54,0),0)</f>
        <v>0</v>
      </c>
      <c r="Z57" s="895">
        <f t="shared" si="0"/>
        <v>-365138</v>
      </c>
      <c r="AA57" s="895">
        <f>IFERROR(VLOOKUP(B57,'DSOAT-T1.2025'!$B$11:$AR$81,55,0),0)</f>
        <v>0</v>
      </c>
      <c r="AB57" s="896">
        <f t="shared" si="1"/>
        <v>-34775</v>
      </c>
      <c r="AC57" s="895">
        <f>IFERROR(VLOOKUP(B57,'DSOAT-T1.2025'!$B$11:$AS$81,56,0),0)</f>
        <v>0</v>
      </c>
      <c r="AD57" s="896">
        <f t="shared" si="2"/>
        <v>-471276</v>
      </c>
    </row>
    <row r="58" spans="1:30" ht="18" customHeight="1">
      <c r="A58" s="15" t="s">
        <v>181</v>
      </c>
      <c r="B58" s="45" t="s">
        <v>73</v>
      </c>
      <c r="C58" s="46">
        <v>48</v>
      </c>
      <c r="D58" s="47" t="s">
        <v>182</v>
      </c>
      <c r="E58" s="48">
        <v>431</v>
      </c>
      <c r="F58" s="49">
        <v>0.81</v>
      </c>
      <c r="G58" s="50">
        <v>24.5</v>
      </c>
      <c r="H58" s="16">
        <v>2850489</v>
      </c>
      <c r="I58" s="16">
        <v>3184432</v>
      </c>
      <c r="J58" s="16">
        <v>0</v>
      </c>
      <c r="K58" s="16">
        <v>6034921</v>
      </c>
      <c r="L58" s="16">
        <v>2000000</v>
      </c>
      <c r="M58" s="16">
        <v>365138</v>
      </c>
      <c r="N58" s="16">
        <v>34775</v>
      </c>
      <c r="O58" s="16">
        <v>0</v>
      </c>
      <c r="P58" s="16">
        <v>3635008</v>
      </c>
      <c r="Q58" s="44">
        <v>8545687</v>
      </c>
      <c r="R58" s="61">
        <v>-2510766</v>
      </c>
      <c r="S58" s="20" t="s">
        <v>73</v>
      </c>
      <c r="T58" s="28">
        <v>9654509</v>
      </c>
      <c r="U58" s="28">
        <v>3619588</v>
      </c>
      <c r="V58" s="20">
        <v>0</v>
      </c>
      <c r="W58" s="20" t="s">
        <v>73</v>
      </c>
      <c r="Y58" s="895">
        <f>IFERROR(VLOOKUP(B58,'DSOAT-T1.2025'!$B$11:$AQ$81,54,0),0)</f>
        <v>0</v>
      </c>
      <c r="Z58" s="895">
        <f t="shared" si="0"/>
        <v>-365138</v>
      </c>
      <c r="AA58" s="895">
        <f>IFERROR(VLOOKUP(B58,'DSOAT-T1.2025'!$B$11:$AR$81,55,0),0)</f>
        <v>0</v>
      </c>
      <c r="AB58" s="896">
        <f t="shared" si="1"/>
        <v>-34775</v>
      </c>
      <c r="AC58" s="895">
        <f>IFERROR(VLOOKUP(B58,'DSOAT-T1.2025'!$B$11:$AS$81,56,0),0)</f>
        <v>0</v>
      </c>
      <c r="AD58" s="896">
        <f t="shared" si="2"/>
        <v>0</v>
      </c>
    </row>
    <row r="59" spans="1:30" ht="18" customHeight="1">
      <c r="A59" s="15" t="s">
        <v>181</v>
      </c>
      <c r="B59" s="45" t="s">
        <v>162</v>
      </c>
      <c r="C59" s="46">
        <v>49</v>
      </c>
      <c r="D59" s="47" t="s">
        <v>150</v>
      </c>
      <c r="E59" s="48">
        <v>431</v>
      </c>
      <c r="F59" s="49">
        <v>0.68</v>
      </c>
      <c r="G59" s="50">
        <v>24.5</v>
      </c>
      <c r="H59" s="16">
        <v>2401697</v>
      </c>
      <c r="I59" s="16">
        <v>6775558</v>
      </c>
      <c r="J59" s="16">
        <v>0</v>
      </c>
      <c r="K59" s="16">
        <v>9177255</v>
      </c>
      <c r="L59" s="16">
        <v>2000000</v>
      </c>
      <c r="M59" s="16">
        <v>365138</v>
      </c>
      <c r="N59" s="16">
        <v>34775</v>
      </c>
      <c r="O59" s="16">
        <v>0</v>
      </c>
      <c r="P59" s="16">
        <v>6777342</v>
      </c>
      <c r="Q59" s="44">
        <v>10425444</v>
      </c>
      <c r="R59" s="61">
        <v>-1248189</v>
      </c>
      <c r="S59" s="20" t="s">
        <v>162</v>
      </c>
      <c r="T59" s="28">
        <v>11229313</v>
      </c>
      <c r="U59" s="28">
        <v>2052058</v>
      </c>
      <c r="V59" s="20" t="s">
        <v>162</v>
      </c>
      <c r="W59" s="20" t="s">
        <v>162</v>
      </c>
      <c r="Y59" s="895">
        <f>IFERROR(VLOOKUP(B59,'DSOAT-T1.2025'!$B$11:$AQ$81,54,0),0)</f>
        <v>0</v>
      </c>
      <c r="Z59" s="895">
        <f t="shared" si="0"/>
        <v>-365138</v>
      </c>
      <c r="AA59" s="895">
        <f>IFERROR(VLOOKUP(B59,'DSOAT-T1.2025'!$B$11:$AR$81,55,0),0)</f>
        <v>0</v>
      </c>
      <c r="AB59" s="896">
        <f t="shared" si="1"/>
        <v>-34775</v>
      </c>
      <c r="AC59" s="895">
        <f>IFERROR(VLOOKUP(B59,'DSOAT-T1.2025'!$B$11:$AS$81,56,0),0)</f>
        <v>0</v>
      </c>
      <c r="AD59" s="896">
        <f t="shared" si="2"/>
        <v>0</v>
      </c>
    </row>
    <row r="60" spans="1:30" ht="18" customHeight="1">
      <c r="A60" s="15" t="s">
        <v>181</v>
      </c>
      <c r="B60" s="45" t="s">
        <v>166</v>
      </c>
      <c r="C60" s="46">
        <v>50</v>
      </c>
      <c r="D60" s="47" t="s">
        <v>149</v>
      </c>
      <c r="E60" s="48">
        <v>431</v>
      </c>
      <c r="F60" s="49">
        <v>0.88</v>
      </c>
      <c r="G60" s="50">
        <v>24.5</v>
      </c>
      <c r="H60" s="16">
        <v>3109016</v>
      </c>
      <c r="I60" s="16">
        <v>6588286</v>
      </c>
      <c r="J60" s="16">
        <v>0</v>
      </c>
      <c r="K60" s="16">
        <v>9697302</v>
      </c>
      <c r="L60" s="16">
        <v>2000000</v>
      </c>
      <c r="M60" s="16">
        <v>365138</v>
      </c>
      <c r="N60" s="16">
        <v>34775</v>
      </c>
      <c r="O60" s="16">
        <v>0</v>
      </c>
      <c r="P60" s="16">
        <v>7297389</v>
      </c>
      <c r="Q60" s="44">
        <v>9938051</v>
      </c>
      <c r="R60" s="61">
        <v>-240749</v>
      </c>
      <c r="S60" s="20" t="s">
        <v>166</v>
      </c>
      <c r="T60" s="28">
        <v>11956714</v>
      </c>
      <c r="U60" s="28">
        <v>2259412</v>
      </c>
      <c r="V60" s="20" t="s">
        <v>166</v>
      </c>
      <c r="W60" s="20" t="s">
        <v>166</v>
      </c>
      <c r="Y60" s="895">
        <f>IFERROR(VLOOKUP(B60,'DSOAT-T1.2025'!$B$11:$AQ$81,54,0),0)</f>
        <v>0</v>
      </c>
      <c r="Z60" s="895">
        <f t="shared" si="0"/>
        <v>-365138</v>
      </c>
      <c r="AA60" s="895">
        <f>IFERROR(VLOOKUP(B60,'DSOAT-T1.2025'!$B$11:$AR$81,55,0),0)</f>
        <v>0</v>
      </c>
      <c r="AB60" s="896">
        <f t="shared" si="1"/>
        <v>-34775</v>
      </c>
      <c r="AC60" s="895">
        <f>IFERROR(VLOOKUP(B60,'DSOAT-T1.2025'!$B$11:$AS$81,56,0),0)</f>
        <v>0</v>
      </c>
      <c r="AD60" s="896">
        <f t="shared" si="2"/>
        <v>0</v>
      </c>
    </row>
    <row r="61" spans="1:30" ht="18" customHeight="1">
      <c r="A61" s="15" t="s">
        <v>179</v>
      </c>
      <c r="B61" s="45" t="s">
        <v>165</v>
      </c>
      <c r="C61" s="46">
        <v>51</v>
      </c>
      <c r="D61" s="47" t="s">
        <v>151</v>
      </c>
      <c r="E61" s="48">
        <v>431</v>
      </c>
      <c r="F61" s="49">
        <v>0.84</v>
      </c>
      <c r="G61" s="50">
        <v>24.5</v>
      </c>
      <c r="H61" s="16">
        <v>2967124</v>
      </c>
      <c r="I61" s="16">
        <v>5649717</v>
      </c>
      <c r="J61" s="16">
        <v>0</v>
      </c>
      <c r="K61" s="16">
        <v>8616841</v>
      </c>
      <c r="L61" s="16">
        <v>2000000</v>
      </c>
      <c r="M61" s="16">
        <v>408954</v>
      </c>
      <c r="N61" s="16">
        <v>38948</v>
      </c>
      <c r="O61" s="16">
        <v>346059</v>
      </c>
      <c r="P61" s="16">
        <v>5822880</v>
      </c>
      <c r="Q61" s="44">
        <v>11120411</v>
      </c>
      <c r="R61" s="61">
        <v>-2503570</v>
      </c>
      <c r="S61" s="20" t="s">
        <v>165</v>
      </c>
      <c r="T61" s="28">
        <v>16496660</v>
      </c>
      <c r="U61" s="28">
        <v>7879819</v>
      </c>
      <c r="V61" s="20" t="s">
        <v>165</v>
      </c>
      <c r="W61" s="20" t="s">
        <v>165</v>
      </c>
      <c r="Y61" s="895">
        <f>IFERROR(VLOOKUP(B61,'DSOAT-T1.2025'!$B$11:$AQ$81,54,0),0)</f>
        <v>0</v>
      </c>
      <c r="Z61" s="895">
        <f t="shared" si="0"/>
        <v>-408954</v>
      </c>
      <c r="AA61" s="895">
        <f>IFERROR(VLOOKUP(B61,'DSOAT-T1.2025'!$B$11:$AR$81,55,0),0)</f>
        <v>0</v>
      </c>
      <c r="AB61" s="896">
        <f t="shared" si="1"/>
        <v>-38948</v>
      </c>
      <c r="AC61" s="895">
        <f>IFERROR(VLOOKUP(B61,'DSOAT-T1.2025'!$B$11:$AS$81,56,0),0)</f>
        <v>0</v>
      </c>
      <c r="AD61" s="896">
        <f t="shared" si="2"/>
        <v>-346059</v>
      </c>
    </row>
    <row r="62" spans="1:30" ht="18" customHeight="1">
      <c r="A62" s="15" t="s">
        <v>183</v>
      </c>
      <c r="B62" s="45" t="s">
        <v>84</v>
      </c>
      <c r="C62" s="46">
        <v>52</v>
      </c>
      <c r="D62" s="47" t="s">
        <v>139</v>
      </c>
      <c r="E62" s="48">
        <v>341</v>
      </c>
      <c r="F62" s="49">
        <v>0.96</v>
      </c>
      <c r="G62" s="50">
        <v>25.5</v>
      </c>
      <c r="H62" s="16">
        <v>7176403</v>
      </c>
      <c r="I62" s="16">
        <v>0</v>
      </c>
      <c r="J62" s="16">
        <v>0</v>
      </c>
      <c r="K62" s="16">
        <v>7176403</v>
      </c>
      <c r="L62" s="16">
        <v>2000000</v>
      </c>
      <c r="M62" s="16">
        <v>467376</v>
      </c>
      <c r="N62" s="16">
        <v>44512</v>
      </c>
      <c r="O62" s="16">
        <v>0</v>
      </c>
      <c r="P62" s="16">
        <v>4664515</v>
      </c>
      <c r="Q62" s="44">
        <v>7468986</v>
      </c>
      <c r="R62" s="61">
        <v>-292583</v>
      </c>
      <c r="S62" s="20" t="s">
        <v>84</v>
      </c>
      <c r="T62" s="28">
        <v>5022351</v>
      </c>
      <c r="U62" s="28">
        <v>-2154052</v>
      </c>
      <c r="V62" s="20" t="s">
        <v>84</v>
      </c>
      <c r="W62" s="20" t="s">
        <v>84</v>
      </c>
      <c r="X62" s="20" t="s">
        <v>900</v>
      </c>
      <c r="Y62" s="895">
        <f>IFERROR(VLOOKUP(B62,'DSOAT-T1.2025'!$B$11:$AQ$81,54,0),0)</f>
        <v>0</v>
      </c>
      <c r="Z62" s="895">
        <f t="shared" si="0"/>
        <v>-467376</v>
      </c>
      <c r="AA62" s="895">
        <f>IFERROR(VLOOKUP(B62,'DSOAT-T1.2025'!$B$11:$AR$81,55,0),0)</f>
        <v>0</v>
      </c>
      <c r="AB62" s="896">
        <f t="shared" si="1"/>
        <v>-44512</v>
      </c>
      <c r="AC62" s="895">
        <f>IFERROR(VLOOKUP(B62,'DSOAT-T1.2025'!$B$11:$AS$81,56,0),0)</f>
        <v>0</v>
      </c>
      <c r="AD62" s="896">
        <f t="shared" si="2"/>
        <v>0</v>
      </c>
    </row>
    <row r="63" spans="1:30" s="911" customFormat="1" ht="18" customHeight="1">
      <c r="A63" s="901" t="s">
        <v>186</v>
      </c>
      <c r="B63" s="902" t="s">
        <v>57</v>
      </c>
      <c r="C63" s="903">
        <v>53</v>
      </c>
      <c r="D63" s="904" t="s">
        <v>58</v>
      </c>
      <c r="E63" s="905">
        <v>415</v>
      </c>
      <c r="F63" s="906">
        <v>0.98</v>
      </c>
      <c r="G63" s="907">
        <v>24.5</v>
      </c>
      <c r="H63" s="908">
        <v>8947400</v>
      </c>
      <c r="I63" s="908">
        <v>0</v>
      </c>
      <c r="J63" s="908">
        <v>0</v>
      </c>
      <c r="K63" s="908">
        <v>8947400</v>
      </c>
      <c r="L63" s="908">
        <v>2000000</v>
      </c>
      <c r="M63" s="908">
        <v>408954</v>
      </c>
      <c r="N63" s="908">
        <v>38948</v>
      </c>
      <c r="O63" s="908">
        <v>0</v>
      </c>
      <c r="P63" s="908">
        <v>6499498</v>
      </c>
      <c r="Q63" s="909">
        <v>9130000</v>
      </c>
      <c r="R63" s="910">
        <v>-182600</v>
      </c>
      <c r="S63" s="911" t="s">
        <v>57</v>
      </c>
      <c r="T63" s="912">
        <v>0</v>
      </c>
      <c r="U63" s="912">
        <v>-8947400</v>
      </c>
      <c r="V63" s="911" t="s">
        <v>57</v>
      </c>
      <c r="W63" s="911" t="s">
        <v>57</v>
      </c>
      <c r="X63" s="911" t="s">
        <v>900</v>
      </c>
      <c r="Y63" s="913">
        <f>IFERROR(VLOOKUP(B63,'DSOAT-T1.2025'!$B$11:$AQ$81,54,0),0)</f>
        <v>0</v>
      </c>
      <c r="Z63" s="913">
        <f t="shared" si="0"/>
        <v>-408954</v>
      </c>
      <c r="AA63" s="913">
        <f>IFERROR(VLOOKUP(B63,'DSOAT-T1.2025'!$B$11:$AR$81,55,0),0)</f>
        <v>0</v>
      </c>
      <c r="AB63" s="914">
        <f t="shared" si="1"/>
        <v>-38948</v>
      </c>
      <c r="AC63" s="913">
        <f>IFERROR(VLOOKUP(B63,'DSOAT-T1.2025'!$B$11:$AS$81,56,0),0)</f>
        <v>0</v>
      </c>
      <c r="AD63" s="914">
        <f t="shared" si="2"/>
        <v>0</v>
      </c>
    </row>
    <row r="64" spans="1:30" ht="18" customHeight="1">
      <c r="A64" s="15" t="s">
        <v>183</v>
      </c>
      <c r="B64" s="45" t="s">
        <v>77</v>
      </c>
      <c r="C64" s="46">
        <v>54</v>
      </c>
      <c r="D64" s="47" t="s">
        <v>78</v>
      </c>
      <c r="E64" s="48">
        <v>524</v>
      </c>
      <c r="F64" s="49">
        <v>1.1299999999999999</v>
      </c>
      <c r="G64" s="50">
        <v>24.5</v>
      </c>
      <c r="H64" s="16">
        <v>4879069</v>
      </c>
      <c r="I64" s="16">
        <v>8523628</v>
      </c>
      <c r="J64" s="16">
        <v>0</v>
      </c>
      <c r="K64" s="16">
        <v>13402697</v>
      </c>
      <c r="L64" s="16">
        <v>2000000</v>
      </c>
      <c r="M64" s="16">
        <v>467376</v>
      </c>
      <c r="N64" s="16">
        <v>44512</v>
      </c>
      <c r="O64" s="16">
        <v>2495784</v>
      </c>
      <c r="P64" s="16">
        <v>8395025</v>
      </c>
      <c r="Q64" s="44">
        <v>20239122</v>
      </c>
      <c r="R64" s="61">
        <v>-6836425</v>
      </c>
      <c r="S64" s="20" t="s">
        <v>77</v>
      </c>
      <c r="T64" s="28">
        <v>8828967</v>
      </c>
      <c r="U64" s="28">
        <v>-4573730</v>
      </c>
      <c r="V64" s="20" t="s">
        <v>77</v>
      </c>
      <c r="W64" s="20" t="s">
        <v>77</v>
      </c>
      <c r="Y64" s="895">
        <f>IFERROR(VLOOKUP(B64,'DSOAT-T1.2025'!$B$11:$AQ$81,54,0),0)</f>
        <v>0</v>
      </c>
      <c r="Z64" s="895">
        <f t="shared" si="0"/>
        <v>-467376</v>
      </c>
      <c r="AA64" s="895">
        <f>IFERROR(VLOOKUP(B64,'DSOAT-T1.2025'!$B$11:$AR$81,55,0),0)</f>
        <v>0</v>
      </c>
      <c r="AB64" s="896">
        <f t="shared" si="1"/>
        <v>-44512</v>
      </c>
      <c r="AC64" s="895">
        <f>IFERROR(VLOOKUP(B64,'DSOAT-T1.2025'!$B$11:$AS$81,56,0),0)</f>
        <v>0</v>
      </c>
      <c r="AD64" s="896">
        <f t="shared" si="2"/>
        <v>-2495784</v>
      </c>
    </row>
    <row r="65" spans="1:30" ht="18" customHeight="1">
      <c r="A65" s="15" t="s">
        <v>183</v>
      </c>
      <c r="B65" s="45" t="s">
        <v>80</v>
      </c>
      <c r="C65" s="46">
        <v>55</v>
      </c>
      <c r="D65" s="47" t="s">
        <v>81</v>
      </c>
      <c r="E65" s="48">
        <v>418</v>
      </c>
      <c r="F65" s="49">
        <v>1.28</v>
      </c>
      <c r="G65" s="50">
        <v>27.5</v>
      </c>
      <c r="H65" s="16">
        <v>4393109</v>
      </c>
      <c r="I65" s="16">
        <v>2531493</v>
      </c>
      <c r="J65" s="16">
        <v>0</v>
      </c>
      <c r="K65" s="16">
        <v>6924602</v>
      </c>
      <c r="L65" s="16">
        <v>2000000</v>
      </c>
      <c r="M65" s="16">
        <v>467376</v>
      </c>
      <c r="N65" s="16">
        <v>44512</v>
      </c>
      <c r="O65" s="16">
        <v>0</v>
      </c>
      <c r="P65" s="16">
        <v>4412714</v>
      </c>
      <c r="Q65" s="44">
        <v>8158631</v>
      </c>
      <c r="R65" s="61">
        <v>-1234029</v>
      </c>
      <c r="S65" s="20" t="s">
        <v>80</v>
      </c>
      <c r="T65" s="28">
        <v>8830256</v>
      </c>
      <c r="U65" s="28">
        <v>1905654</v>
      </c>
      <c r="V65" s="20" t="s">
        <v>80</v>
      </c>
      <c r="W65" s="20" t="s">
        <v>80</v>
      </c>
      <c r="Y65" s="895">
        <f>IFERROR(VLOOKUP(B65,'DSOAT-T1.2025'!$B$11:$AQ$81,54,0),0)</f>
        <v>0</v>
      </c>
      <c r="Z65" s="895">
        <f t="shared" si="0"/>
        <v>-467376</v>
      </c>
      <c r="AA65" s="895">
        <f>IFERROR(VLOOKUP(B65,'DSOAT-T1.2025'!$B$11:$AR$81,55,0),0)</f>
        <v>0</v>
      </c>
      <c r="AB65" s="896">
        <f t="shared" si="1"/>
        <v>-44512</v>
      </c>
      <c r="AC65" s="895">
        <f>IFERROR(VLOOKUP(B65,'DSOAT-T1.2025'!$B$11:$AS$81,56,0),0)</f>
        <v>0</v>
      </c>
      <c r="AD65" s="896">
        <f t="shared" si="2"/>
        <v>0</v>
      </c>
    </row>
    <row r="66" spans="1:30" ht="18" customHeight="1">
      <c r="A66" s="15" t="s">
        <v>183</v>
      </c>
      <c r="B66" s="45" t="s">
        <v>220</v>
      </c>
      <c r="C66" s="46">
        <v>56</v>
      </c>
      <c r="D66" s="47" t="s">
        <v>221</v>
      </c>
      <c r="E66" s="48">
        <v>418</v>
      </c>
      <c r="F66" s="49">
        <v>1.4</v>
      </c>
      <c r="G66" s="50">
        <v>27.5</v>
      </c>
      <c r="H66" s="16">
        <v>4804963</v>
      </c>
      <c r="I66" s="16">
        <v>2677903</v>
      </c>
      <c r="J66" s="16">
        <v>0</v>
      </c>
      <c r="K66" s="16">
        <v>7482866</v>
      </c>
      <c r="L66" s="16">
        <v>2000000</v>
      </c>
      <c r="M66" s="16">
        <v>467376</v>
      </c>
      <c r="N66" s="16">
        <v>44512</v>
      </c>
      <c r="O66" s="16">
        <v>0</v>
      </c>
      <c r="P66" s="16">
        <v>4970978</v>
      </c>
      <c r="Q66" s="44">
        <v>6843136</v>
      </c>
      <c r="R66" s="61">
        <v>639730</v>
      </c>
      <c r="S66" s="20" t="s">
        <v>220</v>
      </c>
      <c r="T66" s="28">
        <v>8830256</v>
      </c>
      <c r="U66" s="28">
        <v>1347390</v>
      </c>
      <c r="V66" s="20" t="s">
        <v>220</v>
      </c>
      <c r="W66" s="20" t="s">
        <v>220</v>
      </c>
      <c r="Y66" s="895">
        <f>IFERROR(VLOOKUP(B66,'DSOAT-T1.2025'!$B$11:$AQ$81,54,0),0)</f>
        <v>0</v>
      </c>
      <c r="Z66" s="895">
        <f t="shared" si="0"/>
        <v>-467376</v>
      </c>
      <c r="AA66" s="895">
        <f>IFERROR(VLOOKUP(B66,'DSOAT-T1.2025'!$B$11:$AR$81,55,0),0)</f>
        <v>0</v>
      </c>
      <c r="AB66" s="896">
        <f t="shared" si="1"/>
        <v>-44512</v>
      </c>
      <c r="AC66" s="895">
        <f>IFERROR(VLOOKUP(B66,'DSOAT-T1.2025'!$B$11:$AS$81,56,0),0)</f>
        <v>0</v>
      </c>
      <c r="AD66" s="896">
        <f t="shared" si="2"/>
        <v>0</v>
      </c>
    </row>
    <row r="67" spans="1:30" ht="18" customHeight="1">
      <c r="A67" s="15" t="s">
        <v>183</v>
      </c>
      <c r="B67" s="15" t="s">
        <v>141</v>
      </c>
      <c r="C67" s="46">
        <v>57</v>
      </c>
      <c r="D67" s="47" t="s">
        <v>187</v>
      </c>
      <c r="E67" s="48">
        <v>478</v>
      </c>
      <c r="F67" s="49">
        <v>0.82</v>
      </c>
      <c r="G67" s="50">
        <v>24.5</v>
      </c>
      <c r="H67" s="16">
        <v>3218307</v>
      </c>
      <c r="I67" s="16">
        <v>7668736</v>
      </c>
      <c r="J67" s="16">
        <v>0</v>
      </c>
      <c r="K67" s="16">
        <v>10887043</v>
      </c>
      <c r="L67" s="16">
        <v>2000000</v>
      </c>
      <c r="M67" s="16">
        <v>467376</v>
      </c>
      <c r="N67" s="16">
        <v>44512</v>
      </c>
      <c r="O67" s="16">
        <v>73283</v>
      </c>
      <c r="P67" s="16">
        <v>8301872</v>
      </c>
      <c r="Q67" s="44">
        <v>9929750</v>
      </c>
      <c r="R67" s="61">
        <v>957293</v>
      </c>
      <c r="S67" s="20" t="s">
        <v>141</v>
      </c>
      <c r="T67" s="28">
        <v>9087627</v>
      </c>
      <c r="U67" s="28">
        <v>-1799416</v>
      </c>
      <c r="V67" s="20" t="s">
        <v>141</v>
      </c>
      <c r="W67" s="20" t="s">
        <v>141</v>
      </c>
      <c r="Y67" s="895">
        <f>IFERROR(VLOOKUP(B67,'DSOAT-T1.2025'!$B$11:$AQ$81,54,0),0)</f>
        <v>0</v>
      </c>
      <c r="Z67" s="895">
        <f t="shared" si="0"/>
        <v>-467376</v>
      </c>
      <c r="AA67" s="895">
        <f>IFERROR(VLOOKUP(B67,'DSOAT-T1.2025'!$B$11:$AR$81,55,0),0)</f>
        <v>0</v>
      </c>
      <c r="AB67" s="896">
        <f t="shared" si="1"/>
        <v>-44512</v>
      </c>
      <c r="AC67" s="895">
        <f>IFERROR(VLOOKUP(B67,'DSOAT-T1.2025'!$B$11:$AS$81,56,0),0)</f>
        <v>0</v>
      </c>
      <c r="AD67" s="896">
        <f t="shared" si="2"/>
        <v>-73283</v>
      </c>
    </row>
    <row r="68" spans="1:30" ht="18" customHeight="1">
      <c r="A68" s="15" t="s">
        <v>183</v>
      </c>
      <c r="B68" s="45" t="s">
        <v>161</v>
      </c>
      <c r="C68" s="46">
        <v>58</v>
      </c>
      <c r="D68" s="47" t="s">
        <v>152</v>
      </c>
      <c r="E68" s="48">
        <v>478</v>
      </c>
      <c r="F68" s="49">
        <v>1.03</v>
      </c>
      <c r="G68" s="50">
        <v>24.5</v>
      </c>
      <c r="H68" s="16">
        <v>4042507</v>
      </c>
      <c r="I68" s="16">
        <v>10350789</v>
      </c>
      <c r="J68" s="16">
        <v>0</v>
      </c>
      <c r="K68" s="16">
        <v>14393296</v>
      </c>
      <c r="L68" s="16">
        <v>2000000</v>
      </c>
      <c r="M68" s="16">
        <v>467376</v>
      </c>
      <c r="N68" s="16">
        <v>44512</v>
      </c>
      <c r="O68" s="16">
        <v>284092</v>
      </c>
      <c r="P68" s="16">
        <v>11597316</v>
      </c>
      <c r="Q68" s="44">
        <v>11575398</v>
      </c>
      <c r="R68" s="61">
        <v>2817898</v>
      </c>
      <c r="S68" s="20" t="s">
        <v>161</v>
      </c>
      <c r="T68" s="28">
        <v>17344084</v>
      </c>
      <c r="U68" s="28">
        <v>2950788</v>
      </c>
      <c r="V68" s="20" t="s">
        <v>161</v>
      </c>
      <c r="W68" s="20" t="s">
        <v>161</v>
      </c>
      <c r="Y68" s="895">
        <f>IFERROR(VLOOKUP(B68,'DSOAT-T1.2025'!$B$11:$AQ$81,54,0),0)</f>
        <v>0</v>
      </c>
      <c r="Z68" s="895">
        <f t="shared" si="0"/>
        <v>-467376</v>
      </c>
      <c r="AA68" s="895">
        <f>IFERROR(VLOOKUP(B68,'DSOAT-T1.2025'!$B$11:$AR$81,55,0),0)</f>
        <v>0</v>
      </c>
      <c r="AB68" s="896">
        <f t="shared" si="1"/>
        <v>-44512</v>
      </c>
      <c r="AC68" s="895">
        <f>IFERROR(VLOOKUP(B68,'DSOAT-T1.2025'!$B$11:$AS$81,56,0),0)</f>
        <v>0</v>
      </c>
      <c r="AD68" s="896">
        <f t="shared" si="2"/>
        <v>-284092</v>
      </c>
    </row>
    <row r="69" spans="1:30" ht="18" customHeight="1">
      <c r="A69" s="15" t="s">
        <v>183</v>
      </c>
      <c r="B69" s="45" t="s">
        <v>204</v>
      </c>
      <c r="C69" s="46">
        <v>59</v>
      </c>
      <c r="D69" s="47" t="s">
        <v>205</v>
      </c>
      <c r="E69" s="48">
        <v>431</v>
      </c>
      <c r="F69" s="49">
        <v>1.05</v>
      </c>
      <c r="G69" s="50">
        <v>25.5</v>
      </c>
      <c r="H69" s="16">
        <v>3703282</v>
      </c>
      <c r="I69" s="16">
        <v>11003889</v>
      </c>
      <c r="J69" s="16">
        <v>0</v>
      </c>
      <c r="K69" s="16">
        <v>14707171</v>
      </c>
      <c r="L69" s="16">
        <v>2000000</v>
      </c>
      <c r="M69" s="16">
        <v>467376</v>
      </c>
      <c r="N69" s="16">
        <v>44512</v>
      </c>
      <c r="O69" s="16">
        <v>195790</v>
      </c>
      <c r="P69" s="16">
        <v>11999493</v>
      </c>
      <c r="Q69" s="44">
        <v>12889099</v>
      </c>
      <c r="R69" s="61">
        <v>1818072</v>
      </c>
      <c r="S69" s="20" t="s">
        <v>204</v>
      </c>
      <c r="T69" s="28">
        <v>17344084</v>
      </c>
      <c r="U69" s="28">
        <v>2636913</v>
      </c>
      <c r="V69" s="20" t="s">
        <v>204</v>
      </c>
      <c r="W69" s="20" t="s">
        <v>204</v>
      </c>
      <c r="Y69" s="895">
        <f>IFERROR(VLOOKUP(B69,'DSOAT-T1.2025'!$B$11:$AQ$81,54,0),0)</f>
        <v>0</v>
      </c>
      <c r="Z69" s="895">
        <f t="shared" si="0"/>
        <v>-467376</v>
      </c>
      <c r="AA69" s="895">
        <f>IFERROR(VLOOKUP(B69,'DSOAT-T1.2025'!$B$11:$AR$81,55,0),0)</f>
        <v>0</v>
      </c>
      <c r="AB69" s="896">
        <f t="shared" si="1"/>
        <v>-44512</v>
      </c>
      <c r="AC69" s="895">
        <f>IFERROR(VLOOKUP(B69,'DSOAT-T1.2025'!$B$11:$AS$81,56,0),0)</f>
        <v>0</v>
      </c>
      <c r="AD69" s="896">
        <f t="shared" si="2"/>
        <v>-195790</v>
      </c>
    </row>
    <row r="70" spans="1:30" ht="18" customHeight="1">
      <c r="A70" s="15" t="s">
        <v>184</v>
      </c>
      <c r="B70" s="45" t="s">
        <v>88</v>
      </c>
      <c r="C70" s="46">
        <v>60</v>
      </c>
      <c r="D70" s="47" t="s">
        <v>89</v>
      </c>
      <c r="E70" s="48">
        <v>524</v>
      </c>
      <c r="F70" s="49">
        <v>1.32</v>
      </c>
      <c r="G70" s="50">
        <v>24.5</v>
      </c>
      <c r="H70" s="16">
        <v>5699443</v>
      </c>
      <c r="I70" s="16">
        <v>5610482</v>
      </c>
      <c r="J70" s="16">
        <v>0</v>
      </c>
      <c r="K70" s="16">
        <v>11309925</v>
      </c>
      <c r="L70" s="16">
        <v>2000000</v>
      </c>
      <c r="M70" s="16">
        <v>365138</v>
      </c>
      <c r="N70" s="16">
        <v>34775</v>
      </c>
      <c r="O70" s="16">
        <v>93889</v>
      </c>
      <c r="P70" s="16">
        <v>8816123</v>
      </c>
      <c r="Q70" s="44">
        <v>10198992</v>
      </c>
      <c r="R70" s="61">
        <v>1110933</v>
      </c>
      <c r="S70" s="20" t="s">
        <v>88</v>
      </c>
      <c r="T70" s="28">
        <v>9975362</v>
      </c>
      <c r="U70" s="28">
        <v>-1334563</v>
      </c>
      <c r="V70" s="20" t="s">
        <v>88</v>
      </c>
      <c r="W70" s="20" t="s">
        <v>88</v>
      </c>
      <c r="Y70" s="895">
        <f>IFERROR(VLOOKUP(B70,'DSOAT-T1.2025'!$B$11:$AQ$81,54,0),0)</f>
        <v>0</v>
      </c>
      <c r="Z70" s="895">
        <f t="shared" si="0"/>
        <v>-365138</v>
      </c>
      <c r="AA70" s="895">
        <f>IFERROR(VLOOKUP(B70,'DSOAT-T1.2025'!$B$11:$AR$81,55,0),0)</f>
        <v>0</v>
      </c>
      <c r="AB70" s="896">
        <f t="shared" si="1"/>
        <v>-34775</v>
      </c>
      <c r="AC70" s="895">
        <f>IFERROR(VLOOKUP(B70,'DSOAT-T1.2025'!$B$11:$AS$81,56,0),0)</f>
        <v>0</v>
      </c>
      <c r="AD70" s="896">
        <f t="shared" si="2"/>
        <v>-93889</v>
      </c>
    </row>
    <row r="71" spans="1:30" ht="18" customHeight="1">
      <c r="A71" s="15" t="s">
        <v>184</v>
      </c>
      <c r="B71" s="45" t="s">
        <v>82</v>
      </c>
      <c r="C71" s="46">
        <v>61</v>
      </c>
      <c r="D71" s="47" t="s">
        <v>83</v>
      </c>
      <c r="E71" s="48">
        <v>418</v>
      </c>
      <c r="F71" s="49">
        <v>1.23</v>
      </c>
      <c r="G71" s="50">
        <v>27</v>
      </c>
      <c r="H71" s="16">
        <v>4180769</v>
      </c>
      <c r="I71" s="16">
        <v>2360124</v>
      </c>
      <c r="J71" s="16">
        <v>0</v>
      </c>
      <c r="K71" s="16">
        <v>6540893</v>
      </c>
      <c r="L71" s="16">
        <v>2000000</v>
      </c>
      <c r="M71" s="16">
        <v>365138</v>
      </c>
      <c r="N71" s="16">
        <v>34775</v>
      </c>
      <c r="O71" s="16">
        <v>0</v>
      </c>
      <c r="P71" s="16">
        <v>4140980</v>
      </c>
      <c r="Q71" s="44">
        <v>6156549</v>
      </c>
      <c r="R71" s="61">
        <v>384344</v>
      </c>
      <c r="S71" s="20" t="s">
        <v>82</v>
      </c>
      <c r="T71" s="28">
        <v>9087627</v>
      </c>
      <c r="U71" s="28">
        <v>2546734</v>
      </c>
      <c r="V71" s="20" t="s">
        <v>82</v>
      </c>
      <c r="W71" s="20" t="s">
        <v>82</v>
      </c>
      <c r="Y71" s="895">
        <f>IFERROR(VLOOKUP(B71,'DSOAT-T1.2025'!$B$11:$AQ$81,54,0),0)</f>
        <v>0</v>
      </c>
      <c r="Z71" s="895">
        <f t="shared" si="0"/>
        <v>-365138</v>
      </c>
      <c r="AA71" s="895">
        <f>IFERROR(VLOOKUP(B71,'DSOAT-T1.2025'!$B$11:$AR$81,55,0),0)</f>
        <v>0</v>
      </c>
      <c r="AB71" s="896">
        <f t="shared" si="1"/>
        <v>-34775</v>
      </c>
      <c r="AC71" s="895">
        <f>IFERROR(VLOOKUP(B71,'DSOAT-T1.2025'!$B$11:$AS$81,56,0),0)</f>
        <v>0</v>
      </c>
      <c r="AD71" s="896">
        <f t="shared" si="2"/>
        <v>0</v>
      </c>
    </row>
    <row r="72" spans="1:30" ht="18" customHeight="1">
      <c r="A72" s="15" t="s">
        <v>185</v>
      </c>
      <c r="B72" s="45" t="s">
        <v>85</v>
      </c>
      <c r="C72" s="46">
        <v>62</v>
      </c>
      <c r="D72" s="47" t="s">
        <v>86</v>
      </c>
      <c r="E72" s="48">
        <v>418</v>
      </c>
      <c r="F72" s="49">
        <v>1.06</v>
      </c>
      <c r="G72" s="50">
        <v>24.5</v>
      </c>
      <c r="H72" s="16">
        <v>3637692</v>
      </c>
      <c r="I72" s="16">
        <v>3449307</v>
      </c>
      <c r="J72" s="16">
        <v>0</v>
      </c>
      <c r="K72" s="16">
        <v>7086999</v>
      </c>
      <c r="L72" s="16">
        <v>2000000</v>
      </c>
      <c r="M72" s="16">
        <v>408954</v>
      </c>
      <c r="N72" s="16">
        <v>38948</v>
      </c>
      <c r="O72" s="16">
        <v>0</v>
      </c>
      <c r="P72" s="16">
        <v>4639097</v>
      </c>
      <c r="Q72" s="44">
        <v>7341535</v>
      </c>
      <c r="R72" s="61">
        <v>-254536</v>
      </c>
      <c r="S72" s="20" t="s">
        <v>85</v>
      </c>
      <c r="T72" s="28">
        <v>7949728</v>
      </c>
      <c r="U72" s="28">
        <v>862729</v>
      </c>
      <c r="V72" s="20" t="s">
        <v>85</v>
      </c>
      <c r="W72" s="20" t="s">
        <v>85</v>
      </c>
      <c r="Y72" s="895">
        <f>IFERROR(VLOOKUP(B72,'DSOAT-T1.2025'!$B$11:$AQ$81,54,0),0)</f>
        <v>0</v>
      </c>
      <c r="Z72" s="895">
        <f t="shared" si="0"/>
        <v>-408954</v>
      </c>
      <c r="AA72" s="895">
        <f>IFERROR(VLOOKUP(B72,'DSOAT-T1.2025'!$B$11:$AR$81,55,0),0)</f>
        <v>0</v>
      </c>
      <c r="AB72" s="896">
        <f t="shared" si="1"/>
        <v>-38948</v>
      </c>
      <c r="AC72" s="895">
        <f>IFERROR(VLOOKUP(B72,'DSOAT-T1.2025'!$B$11:$AS$81,56,0),0)</f>
        <v>0</v>
      </c>
      <c r="AD72" s="896">
        <f t="shared" si="2"/>
        <v>0</v>
      </c>
    </row>
    <row r="73" spans="1:30" ht="18" customHeight="1">
      <c r="A73" s="15" t="s">
        <v>184</v>
      </c>
      <c r="B73" s="45" t="s">
        <v>90</v>
      </c>
      <c r="C73" s="46">
        <v>63</v>
      </c>
      <c r="D73" s="47" t="s">
        <v>91</v>
      </c>
      <c r="E73" s="48">
        <v>418</v>
      </c>
      <c r="F73" s="49">
        <v>1.44</v>
      </c>
      <c r="G73" s="50">
        <v>27</v>
      </c>
      <c r="H73" s="16">
        <v>4894559</v>
      </c>
      <c r="I73" s="16">
        <v>6105589</v>
      </c>
      <c r="J73" s="16">
        <v>0</v>
      </c>
      <c r="K73" s="16">
        <v>11000148</v>
      </c>
      <c r="L73" s="16">
        <v>2000000</v>
      </c>
      <c r="M73" s="16">
        <v>365138</v>
      </c>
      <c r="N73" s="16">
        <v>34775</v>
      </c>
      <c r="O73" s="16">
        <v>70401</v>
      </c>
      <c r="P73" s="16">
        <v>8529834</v>
      </c>
      <c r="Q73" s="44">
        <v>9855752</v>
      </c>
      <c r="R73" s="61">
        <v>1144396</v>
      </c>
      <c r="S73" s="20" t="s">
        <v>90</v>
      </c>
      <c r="T73" s="28">
        <v>14462279</v>
      </c>
      <c r="U73" s="28">
        <v>3462131</v>
      </c>
      <c r="V73" s="20" t="s">
        <v>90</v>
      </c>
      <c r="W73" s="20" t="s">
        <v>90</v>
      </c>
      <c r="Y73" s="895">
        <f>IFERROR(VLOOKUP(B73,'DSOAT-T1.2025'!$B$11:$AQ$81,54,0),0)</f>
        <v>0</v>
      </c>
      <c r="Z73" s="895">
        <f t="shared" si="0"/>
        <v>-365138</v>
      </c>
      <c r="AA73" s="895">
        <f>IFERROR(VLOOKUP(B73,'DSOAT-T1.2025'!$B$11:$AR$81,55,0),0)</f>
        <v>0</v>
      </c>
      <c r="AB73" s="896">
        <f t="shared" si="1"/>
        <v>-34775</v>
      </c>
      <c r="AC73" s="895">
        <f>IFERROR(VLOOKUP(B73,'DSOAT-T1.2025'!$B$11:$AS$81,56,0),0)</f>
        <v>0</v>
      </c>
      <c r="AD73" s="896">
        <f t="shared" si="2"/>
        <v>-70401</v>
      </c>
    </row>
    <row r="74" spans="1:30" ht="18" customHeight="1">
      <c r="A74" s="15" t="s">
        <v>185</v>
      </c>
      <c r="B74" s="45" t="s">
        <v>93</v>
      </c>
      <c r="C74" s="46">
        <v>64</v>
      </c>
      <c r="D74" s="47" t="s">
        <v>94</v>
      </c>
      <c r="E74" s="48">
        <v>524</v>
      </c>
      <c r="F74" s="49">
        <v>0.73</v>
      </c>
      <c r="G74" s="50">
        <v>24.5</v>
      </c>
      <c r="H74" s="16">
        <v>2857705</v>
      </c>
      <c r="I74" s="16">
        <v>4136516</v>
      </c>
      <c r="J74" s="16">
        <v>0</v>
      </c>
      <c r="K74" s="16">
        <v>6994221</v>
      </c>
      <c r="L74" s="16">
        <v>2000000</v>
      </c>
      <c r="M74" s="16">
        <v>408954</v>
      </c>
      <c r="N74" s="16">
        <v>38948</v>
      </c>
      <c r="O74" s="16">
        <v>311904</v>
      </c>
      <c r="P74" s="16">
        <v>4234415</v>
      </c>
      <c r="Q74" s="44">
        <v>8408975</v>
      </c>
      <c r="R74" s="61">
        <v>-1414754</v>
      </c>
      <c r="S74" s="20" t="s">
        <v>93</v>
      </c>
      <c r="T74" s="28">
        <v>11289420</v>
      </c>
      <c r="U74" s="28">
        <v>4295199</v>
      </c>
      <c r="V74" s="20" t="s">
        <v>93</v>
      </c>
      <c r="W74" s="20" t="s">
        <v>93</v>
      </c>
      <c r="Y74" s="895">
        <f>IFERROR(VLOOKUP(B74,'DSOAT-T1.2025'!$B$11:$AQ$81,54,0),0)</f>
        <v>0</v>
      </c>
      <c r="Z74" s="895">
        <f t="shared" si="0"/>
        <v>-408954</v>
      </c>
      <c r="AA74" s="895">
        <f>IFERROR(VLOOKUP(B74,'DSOAT-T1.2025'!$B$11:$AR$81,55,0),0)</f>
        <v>0</v>
      </c>
      <c r="AB74" s="896">
        <f t="shared" si="1"/>
        <v>-38948</v>
      </c>
      <c r="AC74" s="895">
        <f>IFERROR(VLOOKUP(B74,'DSOAT-T1.2025'!$B$11:$AS$81,56,0),0)</f>
        <v>0</v>
      </c>
      <c r="AD74" s="896">
        <f t="shared" si="2"/>
        <v>-311904</v>
      </c>
    </row>
    <row r="75" spans="1:30" ht="18" customHeight="1">
      <c r="A75" s="15" t="s">
        <v>185</v>
      </c>
      <c r="B75" s="45" t="s">
        <v>164</v>
      </c>
      <c r="C75" s="46">
        <v>65</v>
      </c>
      <c r="D75" s="47" t="s">
        <v>153</v>
      </c>
      <c r="E75" s="48">
        <v>431</v>
      </c>
      <c r="F75" s="49">
        <v>0.4</v>
      </c>
      <c r="G75" s="50">
        <v>24.5</v>
      </c>
      <c r="H75" s="16">
        <v>1416314</v>
      </c>
      <c r="I75" s="16">
        <v>4574228</v>
      </c>
      <c r="J75" s="16">
        <v>0</v>
      </c>
      <c r="K75" s="16">
        <v>5990542</v>
      </c>
      <c r="L75" s="16">
        <v>2000000</v>
      </c>
      <c r="M75" s="16">
        <v>408954</v>
      </c>
      <c r="N75" s="16">
        <v>38948</v>
      </c>
      <c r="O75" s="16">
        <v>0</v>
      </c>
      <c r="P75" s="16">
        <v>3542640</v>
      </c>
      <c r="Q75" s="44">
        <v>5990551</v>
      </c>
      <c r="R75" s="61">
        <v>-9</v>
      </c>
      <c r="S75" s="20" t="s">
        <v>164</v>
      </c>
      <c r="T75" s="28">
        <v>14018006</v>
      </c>
      <c r="U75" s="28">
        <v>8027464</v>
      </c>
      <c r="V75" s="20" t="s">
        <v>164</v>
      </c>
      <c r="W75" s="20" t="s">
        <v>164</v>
      </c>
      <c r="Y75" s="895">
        <f>IFERROR(VLOOKUP(B75,'DSOAT-T1.2025'!$B$11:$AQ$81,54,0),0)</f>
        <v>0</v>
      </c>
      <c r="Z75" s="895">
        <f t="shared" ref="Z75:Z85" si="3">Y75-M75</f>
        <v>-408954</v>
      </c>
      <c r="AA75" s="895">
        <f>IFERROR(VLOOKUP(B75,'DSOAT-T1.2025'!$B$11:$AR$81,55,0),0)</f>
        <v>0</v>
      </c>
      <c r="AB75" s="896">
        <f t="shared" ref="AB75:AB85" si="4">AA75-N75</f>
        <v>-38948</v>
      </c>
      <c r="AC75" s="895">
        <f>IFERROR(VLOOKUP(B75,'DSOAT-T1.2025'!$B$11:$AS$81,56,0),0)</f>
        <v>0</v>
      </c>
      <c r="AD75" s="896">
        <f t="shared" ref="AD75:AD85" si="5">AC75-O75</f>
        <v>0</v>
      </c>
    </row>
    <row r="76" spans="1:30" ht="18" customHeight="1">
      <c r="A76" s="15" t="s">
        <v>185</v>
      </c>
      <c r="B76" s="45" t="s">
        <v>901</v>
      </c>
      <c r="C76" s="46">
        <v>66</v>
      </c>
      <c r="D76" s="47" t="s">
        <v>644</v>
      </c>
      <c r="E76" s="48">
        <v>355</v>
      </c>
      <c r="F76" s="49">
        <v>0.94</v>
      </c>
      <c r="G76" s="50">
        <v>24.5</v>
      </c>
      <c r="H76" s="16">
        <v>2739681</v>
      </c>
      <c r="I76" s="16">
        <v>2525373</v>
      </c>
      <c r="J76" s="16">
        <v>0</v>
      </c>
      <c r="K76" s="16">
        <v>5265054</v>
      </c>
      <c r="L76" s="16">
        <v>2000000</v>
      </c>
      <c r="M76" s="16">
        <v>408954</v>
      </c>
      <c r="N76" s="16">
        <v>38948</v>
      </c>
      <c r="O76" s="16">
        <v>0</v>
      </c>
      <c r="P76" s="16">
        <v>2817152</v>
      </c>
      <c r="Q76" s="44">
        <v>5708653</v>
      </c>
      <c r="R76" s="61">
        <v>-443599</v>
      </c>
      <c r="S76" s="20" t="s">
        <v>901</v>
      </c>
      <c r="T76" s="28">
        <v>7452989</v>
      </c>
      <c r="U76" s="28">
        <v>2187935</v>
      </c>
      <c r="V76" s="20">
        <v>0</v>
      </c>
      <c r="W76" s="20" t="s">
        <v>901</v>
      </c>
      <c r="Y76" s="895">
        <f>IFERROR(VLOOKUP(B76,'DSOAT-T1.2025'!$B$11:$AQ$81,54,0),0)</f>
        <v>0</v>
      </c>
      <c r="Z76" s="895">
        <f t="shared" si="3"/>
        <v>-408954</v>
      </c>
      <c r="AA76" s="895">
        <f>IFERROR(VLOOKUP(B76,'DSOAT-T1.2025'!$B$11:$AR$81,55,0),0)</f>
        <v>0</v>
      </c>
      <c r="AB76" s="896">
        <f t="shared" si="4"/>
        <v>-38948</v>
      </c>
      <c r="AC76" s="895">
        <f>IFERROR(VLOOKUP(B76,'DSOAT-T1.2025'!$B$11:$AS$81,56,0),0)</f>
        <v>0</v>
      </c>
      <c r="AD76" s="896">
        <f t="shared" si="5"/>
        <v>0</v>
      </c>
    </row>
    <row r="77" spans="1:30" ht="18" customHeight="1">
      <c r="A77" s="15" t="s">
        <v>185</v>
      </c>
      <c r="B77" s="45" t="s">
        <v>206</v>
      </c>
      <c r="C77" s="46">
        <v>67</v>
      </c>
      <c r="D77" s="47" t="s">
        <v>207</v>
      </c>
      <c r="E77" s="48">
        <v>431</v>
      </c>
      <c r="F77" s="49">
        <v>0.17</v>
      </c>
      <c r="G77" s="50">
        <v>24.5</v>
      </c>
      <c r="H77" s="16">
        <v>599217</v>
      </c>
      <c r="I77" s="16">
        <v>4647365</v>
      </c>
      <c r="J77" s="16">
        <v>0</v>
      </c>
      <c r="K77" s="16">
        <v>5246582</v>
      </c>
      <c r="L77" s="16">
        <v>2000000</v>
      </c>
      <c r="M77" s="16">
        <v>408954</v>
      </c>
      <c r="N77" s="16">
        <v>38948</v>
      </c>
      <c r="O77" s="16">
        <v>0</v>
      </c>
      <c r="P77" s="16">
        <v>2798680</v>
      </c>
      <c r="Q77" s="44">
        <v>5139653</v>
      </c>
      <c r="R77" s="61">
        <v>106929</v>
      </c>
      <c r="S77" s="20" t="s">
        <v>206</v>
      </c>
      <c r="T77" s="28">
        <v>7452989</v>
      </c>
      <c r="U77" s="28">
        <v>2206407</v>
      </c>
      <c r="V77" s="20" t="s">
        <v>206</v>
      </c>
      <c r="W77" s="20" t="s">
        <v>206</v>
      </c>
      <c r="Y77" s="895">
        <f>IFERROR(VLOOKUP(B77,'DSOAT-T1.2025'!$B$11:$AQ$81,54,0),0)</f>
        <v>0</v>
      </c>
      <c r="Z77" s="895">
        <f t="shared" si="3"/>
        <v>-408954</v>
      </c>
      <c r="AA77" s="895">
        <f>IFERROR(VLOOKUP(B77,'DSOAT-T1.2025'!$B$11:$AR$81,55,0),0)</f>
        <v>0</v>
      </c>
      <c r="AB77" s="896">
        <f t="shared" si="4"/>
        <v>-38948</v>
      </c>
      <c r="AC77" s="895">
        <f>IFERROR(VLOOKUP(B77,'DSOAT-T1.2025'!$B$11:$AS$81,56,0),0)</f>
        <v>0</v>
      </c>
      <c r="AD77" s="896">
        <f t="shared" si="5"/>
        <v>0</v>
      </c>
    </row>
    <row r="78" spans="1:30" ht="18" customHeight="1">
      <c r="A78" s="15" t="s">
        <v>186</v>
      </c>
      <c r="B78" s="45" t="s">
        <v>287</v>
      </c>
      <c r="C78" s="46">
        <v>68</v>
      </c>
      <c r="D78" s="47" t="s">
        <v>288</v>
      </c>
      <c r="E78" s="48">
        <v>394</v>
      </c>
      <c r="F78" s="49">
        <v>1.02</v>
      </c>
      <c r="G78" s="50">
        <v>24.5</v>
      </c>
      <c r="H78" s="16">
        <v>8841360</v>
      </c>
      <c r="I78" s="16">
        <v>0</v>
      </c>
      <c r="J78" s="16">
        <v>0</v>
      </c>
      <c r="K78" s="16">
        <v>8841360</v>
      </c>
      <c r="L78" s="16">
        <v>2000000</v>
      </c>
      <c r="M78" s="16">
        <v>0</v>
      </c>
      <c r="N78" s="16">
        <v>38948</v>
      </c>
      <c r="O78" s="16">
        <v>0</v>
      </c>
      <c r="P78" s="16">
        <v>6802412</v>
      </c>
      <c r="Q78" s="44">
        <v>9188080</v>
      </c>
      <c r="R78" s="61">
        <v>-346720</v>
      </c>
      <c r="S78" s="20" t="s">
        <v>287</v>
      </c>
      <c r="T78" s="28">
        <v>7452989</v>
      </c>
      <c r="U78" s="28">
        <v>-1388371</v>
      </c>
      <c r="V78" s="20" t="s">
        <v>287</v>
      </c>
      <c r="W78" s="20" t="s">
        <v>287</v>
      </c>
      <c r="X78" s="20" t="s">
        <v>900</v>
      </c>
      <c r="Y78" s="895">
        <f>IFERROR(VLOOKUP(B78,'DSOAT-T1.2025'!$B$11:$AQ$81,54,0),0)</f>
        <v>0</v>
      </c>
      <c r="Z78" s="895">
        <f t="shared" si="3"/>
        <v>0</v>
      </c>
      <c r="AA78" s="895">
        <f>IFERROR(VLOOKUP(B78,'DSOAT-T1.2025'!$B$11:$AR$81,55,0),0)</f>
        <v>0</v>
      </c>
      <c r="AB78" s="896">
        <f t="shared" si="4"/>
        <v>-38948</v>
      </c>
      <c r="AC78" s="895">
        <f>IFERROR(VLOOKUP(B78,'DSOAT-T1.2025'!$B$11:$AS$81,56,0),0)</f>
        <v>0</v>
      </c>
      <c r="AD78" s="896">
        <f t="shared" si="5"/>
        <v>0</v>
      </c>
    </row>
    <row r="79" spans="1:30" ht="18" customHeight="1">
      <c r="A79" s="15" t="s">
        <v>186</v>
      </c>
      <c r="B79" s="45" t="s">
        <v>101</v>
      </c>
      <c r="C79" s="46">
        <v>69</v>
      </c>
      <c r="D79" s="47" t="s">
        <v>102</v>
      </c>
      <c r="E79" s="48">
        <v>355</v>
      </c>
      <c r="F79" s="49">
        <v>1</v>
      </c>
      <c r="G79" s="50">
        <v>24.5</v>
      </c>
      <c r="H79" s="16">
        <v>7810000</v>
      </c>
      <c r="I79" s="16">
        <v>0</v>
      </c>
      <c r="J79" s="16">
        <v>0</v>
      </c>
      <c r="K79" s="16">
        <v>7810000</v>
      </c>
      <c r="L79" s="16">
        <v>2000000</v>
      </c>
      <c r="M79" s="16">
        <v>408954</v>
      </c>
      <c r="N79" s="16">
        <v>38948</v>
      </c>
      <c r="O79" s="16">
        <v>0</v>
      </c>
      <c r="P79" s="16">
        <v>5362098</v>
      </c>
      <c r="Q79" s="44">
        <v>8122400</v>
      </c>
      <c r="R79" s="61">
        <v>-312400</v>
      </c>
      <c r="S79" s="20" t="s">
        <v>101</v>
      </c>
      <c r="T79" s="28">
        <v>8010000</v>
      </c>
      <c r="U79" s="28">
        <v>200000</v>
      </c>
      <c r="V79" s="20" t="s">
        <v>101</v>
      </c>
      <c r="W79" s="20" t="s">
        <v>101</v>
      </c>
      <c r="Y79" s="895">
        <f>IFERROR(VLOOKUP(B79,'DSOAT-T1.2025'!$B$11:$AQ$81,54,0),0)</f>
        <v>0</v>
      </c>
      <c r="Z79" s="895">
        <f t="shared" si="3"/>
        <v>-408954</v>
      </c>
      <c r="AA79" s="895">
        <f>IFERROR(VLOOKUP(B79,'DSOAT-T1.2025'!$B$11:$AR$81,55,0),0)</f>
        <v>0</v>
      </c>
      <c r="AB79" s="896">
        <f t="shared" si="4"/>
        <v>-38948</v>
      </c>
      <c r="AC79" s="895">
        <f>IFERROR(VLOOKUP(B79,'DSOAT-T1.2025'!$B$11:$AS$81,56,0),0)</f>
        <v>0</v>
      </c>
      <c r="AD79" s="896">
        <f t="shared" si="5"/>
        <v>0</v>
      </c>
    </row>
    <row r="80" spans="1:30" ht="18" customHeight="1">
      <c r="A80" s="15" t="s">
        <v>186</v>
      </c>
      <c r="B80" s="45" t="s">
        <v>95</v>
      </c>
      <c r="C80" s="46">
        <v>70</v>
      </c>
      <c r="D80" s="47" t="s">
        <v>96</v>
      </c>
      <c r="E80" s="48">
        <v>431</v>
      </c>
      <c r="F80" s="49">
        <v>0.97</v>
      </c>
      <c r="G80" s="50">
        <v>24.5</v>
      </c>
      <c r="H80" s="16">
        <v>3444208</v>
      </c>
      <c r="I80" s="16">
        <v>4935963</v>
      </c>
      <c r="J80" s="16">
        <v>0</v>
      </c>
      <c r="K80" s="16">
        <v>8380171</v>
      </c>
      <c r="L80" s="16">
        <v>2000000</v>
      </c>
      <c r="M80" s="16">
        <v>408954</v>
      </c>
      <c r="N80" s="16">
        <v>38948</v>
      </c>
      <c r="O80" s="16">
        <v>0</v>
      </c>
      <c r="P80" s="16">
        <v>5932269</v>
      </c>
      <c r="Q80" s="44">
        <v>9534194</v>
      </c>
      <c r="R80" s="61">
        <v>-1154023</v>
      </c>
      <c r="S80" s="20" t="s">
        <v>95</v>
      </c>
      <c r="T80" s="28">
        <v>10866560</v>
      </c>
      <c r="U80" s="28">
        <v>2486389</v>
      </c>
      <c r="V80" s="20" t="s">
        <v>95</v>
      </c>
      <c r="W80" s="20" t="s">
        <v>95</v>
      </c>
      <c r="Y80" s="895">
        <f>IFERROR(VLOOKUP(B80,'DSOAT-T1.2025'!$B$11:$AQ$81,54,0),0)</f>
        <v>0</v>
      </c>
      <c r="Z80" s="895">
        <f t="shared" si="3"/>
        <v>-408954</v>
      </c>
      <c r="AA80" s="895">
        <f>IFERROR(VLOOKUP(B80,'DSOAT-T1.2025'!$B$11:$AR$81,55,0),0)</f>
        <v>0</v>
      </c>
      <c r="AB80" s="896">
        <f t="shared" si="4"/>
        <v>-38948</v>
      </c>
      <c r="AC80" s="895">
        <f>IFERROR(VLOOKUP(B80,'DSOAT-T1.2025'!$B$11:$AS$81,56,0),0)</f>
        <v>0</v>
      </c>
      <c r="AD80" s="896">
        <f t="shared" si="5"/>
        <v>0</v>
      </c>
    </row>
    <row r="81" spans="1:30" ht="18" customHeight="1">
      <c r="A81" s="15" t="s">
        <v>186</v>
      </c>
      <c r="B81" s="45" t="s">
        <v>97</v>
      </c>
      <c r="C81" s="46">
        <v>71</v>
      </c>
      <c r="D81" s="47" t="s">
        <v>98</v>
      </c>
      <c r="E81" s="48">
        <v>418</v>
      </c>
      <c r="F81" s="49">
        <v>1.17</v>
      </c>
      <c r="G81" s="50">
        <v>24.5</v>
      </c>
      <c r="H81" s="16">
        <v>4029854</v>
      </c>
      <c r="I81" s="16">
        <v>6563278</v>
      </c>
      <c r="J81" s="16">
        <v>0</v>
      </c>
      <c r="K81" s="16">
        <v>10593132</v>
      </c>
      <c r="L81" s="16">
        <v>2000000</v>
      </c>
      <c r="M81" s="16">
        <v>408954</v>
      </c>
      <c r="N81" s="16">
        <v>38948</v>
      </c>
      <c r="O81" s="16">
        <v>0</v>
      </c>
      <c r="P81" s="16">
        <v>8145230</v>
      </c>
      <c r="Q81" s="44">
        <v>7414385</v>
      </c>
      <c r="R81" s="61">
        <v>3178747</v>
      </c>
      <c r="S81" s="20" t="s">
        <v>97</v>
      </c>
      <c r="T81" s="28">
        <v>13611560</v>
      </c>
      <c r="U81" s="28">
        <v>3018428</v>
      </c>
      <c r="V81" s="20" t="s">
        <v>97</v>
      </c>
      <c r="W81" s="20" t="s">
        <v>97</v>
      </c>
      <c r="Y81" s="895">
        <f>IFERROR(VLOOKUP(B81,'DSOAT-T1.2025'!$B$11:$AQ$81,54,0),0)</f>
        <v>0</v>
      </c>
      <c r="Z81" s="895">
        <f t="shared" si="3"/>
        <v>-408954</v>
      </c>
      <c r="AA81" s="895">
        <f>IFERROR(VLOOKUP(B81,'DSOAT-T1.2025'!$B$11:$AR$81,55,0),0)</f>
        <v>0</v>
      </c>
      <c r="AB81" s="896">
        <f t="shared" si="4"/>
        <v>-38948</v>
      </c>
      <c r="AC81" s="895">
        <f>IFERROR(VLOOKUP(B81,'DSOAT-T1.2025'!$B$11:$AS$81,56,0),0)</f>
        <v>0</v>
      </c>
      <c r="AD81" s="896">
        <f t="shared" si="5"/>
        <v>0</v>
      </c>
    </row>
    <row r="82" spans="1:30" ht="18" customHeight="1">
      <c r="A82" s="15" t="s">
        <v>186</v>
      </c>
      <c r="B82" s="45" t="s">
        <v>105</v>
      </c>
      <c r="C82" s="46">
        <v>72</v>
      </c>
      <c r="D82" s="47" t="s">
        <v>106</v>
      </c>
      <c r="E82" s="48">
        <v>431</v>
      </c>
      <c r="F82" s="49">
        <v>0.91</v>
      </c>
      <c r="G82" s="50">
        <v>24.5</v>
      </c>
      <c r="H82" s="16">
        <v>3231810</v>
      </c>
      <c r="I82" s="16">
        <v>2086719</v>
      </c>
      <c r="J82" s="16">
        <v>0</v>
      </c>
      <c r="K82" s="16">
        <v>5318529</v>
      </c>
      <c r="L82" s="16">
        <v>2000000</v>
      </c>
      <c r="M82" s="16">
        <v>408954</v>
      </c>
      <c r="N82" s="16">
        <v>38948</v>
      </c>
      <c r="O82" s="16">
        <v>0</v>
      </c>
      <c r="P82" s="16">
        <v>2870627</v>
      </c>
      <c r="Q82" s="44">
        <v>9650728</v>
      </c>
      <c r="R82" s="61">
        <v>-4332199</v>
      </c>
      <c r="S82" s="20" t="s">
        <v>105</v>
      </c>
      <c r="T82" s="28">
        <v>10262440</v>
      </c>
      <c r="U82" s="28">
        <v>4943911</v>
      </c>
      <c r="V82" s="20" t="s">
        <v>105</v>
      </c>
      <c r="W82" s="20" t="s">
        <v>105</v>
      </c>
      <c r="Y82" s="895">
        <f>IFERROR(VLOOKUP(B82,'DSOAT-T1.2025'!$B$11:$AQ$81,54,0),0)</f>
        <v>0</v>
      </c>
      <c r="Z82" s="895">
        <f t="shared" si="3"/>
        <v>-408954</v>
      </c>
      <c r="AA82" s="895">
        <f>IFERROR(VLOOKUP(B82,'DSOAT-T1.2025'!$B$11:$AR$81,55,0),0)</f>
        <v>0</v>
      </c>
      <c r="AB82" s="896">
        <f t="shared" si="4"/>
        <v>-38948</v>
      </c>
      <c r="AC82" s="895">
        <f>IFERROR(VLOOKUP(B82,'DSOAT-T1.2025'!$B$11:$AS$81,56,0),0)</f>
        <v>0</v>
      </c>
      <c r="AD82" s="896">
        <f t="shared" si="5"/>
        <v>0</v>
      </c>
    </row>
    <row r="83" spans="1:30" ht="18" customHeight="1">
      <c r="A83" s="15" t="s">
        <v>186</v>
      </c>
      <c r="B83" s="51" t="s">
        <v>18</v>
      </c>
      <c r="C83" s="46">
        <v>73</v>
      </c>
      <c r="D83" s="47" t="s">
        <v>19</v>
      </c>
      <c r="E83" s="48">
        <v>418</v>
      </c>
      <c r="F83" s="49">
        <v>0</v>
      </c>
      <c r="G83" s="50">
        <v>0</v>
      </c>
      <c r="H83" s="16">
        <v>0</v>
      </c>
      <c r="I83" s="16">
        <v>0</v>
      </c>
      <c r="J83" s="16">
        <v>0</v>
      </c>
      <c r="K83" s="16">
        <v>0</v>
      </c>
      <c r="L83" s="16">
        <v>0</v>
      </c>
      <c r="M83" s="16">
        <v>0</v>
      </c>
      <c r="N83" s="16">
        <v>0</v>
      </c>
      <c r="O83" s="16">
        <v>0</v>
      </c>
      <c r="P83" s="16">
        <v>0</v>
      </c>
      <c r="Q83" s="44">
        <v>1605863</v>
      </c>
      <c r="R83" s="61">
        <v>-1605863</v>
      </c>
      <c r="S83" s="20" t="s">
        <v>18</v>
      </c>
      <c r="T83" s="28">
        <v>7512480</v>
      </c>
      <c r="U83" s="28">
        <v>7512480</v>
      </c>
      <c r="V83" s="20" t="s">
        <v>18</v>
      </c>
      <c r="W83" s="20" t="s">
        <v>18</v>
      </c>
      <c r="Y83" s="895">
        <f>IFERROR(VLOOKUP(B83,'DSOAT-T1.2025'!$B$11:$AQ$81,54,0),0)</f>
        <v>0</v>
      </c>
      <c r="Z83" s="895">
        <f t="shared" si="3"/>
        <v>0</v>
      </c>
      <c r="AA83" s="895">
        <f>IFERROR(VLOOKUP(B83,'DSOAT-T1.2025'!$B$11:$AR$81,55,0),0)</f>
        <v>0</v>
      </c>
      <c r="AB83" s="896">
        <f t="shared" si="4"/>
        <v>0</v>
      </c>
      <c r="AC83" s="895">
        <f>IFERROR(VLOOKUP(B83,'DSOAT-T1.2025'!$B$11:$AS$81,56,0),0)</f>
        <v>0</v>
      </c>
      <c r="AD83" s="896">
        <f t="shared" si="5"/>
        <v>0</v>
      </c>
    </row>
    <row r="84" spans="1:30" ht="18" customHeight="1">
      <c r="A84" s="15" t="s">
        <v>186</v>
      </c>
      <c r="B84" s="52" t="s">
        <v>209</v>
      </c>
      <c r="C84" s="46">
        <v>74</v>
      </c>
      <c r="D84" s="47" t="s">
        <v>210</v>
      </c>
      <c r="E84" s="48">
        <v>431</v>
      </c>
      <c r="F84" s="49">
        <v>1.02</v>
      </c>
      <c r="G84" s="50">
        <v>24.5</v>
      </c>
      <c r="H84" s="16">
        <v>3622469</v>
      </c>
      <c r="I84" s="16">
        <v>12015667</v>
      </c>
      <c r="J84" s="16">
        <v>0</v>
      </c>
      <c r="K84" s="16">
        <v>15638136</v>
      </c>
      <c r="L84" s="16">
        <v>2000000</v>
      </c>
      <c r="M84" s="16">
        <v>408954</v>
      </c>
      <c r="N84" s="16">
        <v>38948</v>
      </c>
      <c r="O84" s="16">
        <v>300008</v>
      </c>
      <c r="P84" s="16">
        <v>12890226</v>
      </c>
      <c r="Q84" s="44">
        <v>14546570</v>
      </c>
      <c r="R84" s="61">
        <v>1091566</v>
      </c>
      <c r="S84" s="20" t="s">
        <v>209</v>
      </c>
      <c r="T84" s="28">
        <v>7512480</v>
      </c>
      <c r="U84" s="28">
        <v>-8125656</v>
      </c>
      <c r="V84" s="20" t="s">
        <v>209</v>
      </c>
      <c r="W84" s="20" t="s">
        <v>209</v>
      </c>
      <c r="Y84" s="895">
        <f>IFERROR(VLOOKUP(B84,'DSOAT-T1.2025'!$B$11:$AQ$81,54,0),0)</f>
        <v>0</v>
      </c>
      <c r="Z84" s="895">
        <f t="shared" si="3"/>
        <v>-408954</v>
      </c>
      <c r="AA84" s="895">
        <f>IFERROR(VLOOKUP(B84,'DSOAT-T1.2025'!$B$11:$AR$81,55,0),0)</f>
        <v>0</v>
      </c>
      <c r="AB84" s="896">
        <f t="shared" si="4"/>
        <v>-38948</v>
      </c>
      <c r="AC84" s="895">
        <f>IFERROR(VLOOKUP(B84,'DSOAT-T1.2025'!$B$11:$AS$81,56,0),0)</f>
        <v>0</v>
      </c>
      <c r="AD84" s="896">
        <f t="shared" si="5"/>
        <v>-300008</v>
      </c>
    </row>
    <row r="85" spans="1:30" ht="18" customHeight="1">
      <c r="A85" s="15" t="s">
        <v>186</v>
      </c>
      <c r="B85" s="52" t="s">
        <v>163</v>
      </c>
      <c r="C85" s="46">
        <v>75</v>
      </c>
      <c r="D85" s="47" t="s">
        <v>154</v>
      </c>
      <c r="E85" s="48">
        <v>478</v>
      </c>
      <c r="F85" s="49">
        <v>1.01</v>
      </c>
      <c r="G85" s="50">
        <v>24.5</v>
      </c>
      <c r="H85" s="16">
        <v>3978107</v>
      </c>
      <c r="I85" s="16">
        <v>9303340</v>
      </c>
      <c r="J85" s="16">
        <v>0</v>
      </c>
      <c r="K85" s="16">
        <v>13281447</v>
      </c>
      <c r="L85" s="16">
        <v>2000000</v>
      </c>
      <c r="M85" s="16">
        <v>408954</v>
      </c>
      <c r="N85" s="16">
        <v>38948</v>
      </c>
      <c r="O85" s="16">
        <v>249877</v>
      </c>
      <c r="P85" s="16">
        <v>10583668</v>
      </c>
      <c r="Q85" s="44">
        <v>10802236</v>
      </c>
      <c r="R85" s="61">
        <v>2479211</v>
      </c>
      <c r="S85" s="20" t="s">
        <v>163</v>
      </c>
      <c r="T85" s="28">
        <v>12343820</v>
      </c>
      <c r="U85" s="28">
        <v>-937627</v>
      </c>
      <c r="V85" s="20" t="s">
        <v>163</v>
      </c>
      <c r="W85" s="20" t="s">
        <v>163</v>
      </c>
      <c r="Y85" s="895">
        <f>IFERROR(VLOOKUP(B85,'DSOAT-T1.2025'!$B$11:$AQ$81,54,0),0)</f>
        <v>0</v>
      </c>
      <c r="Z85" s="895">
        <f t="shared" si="3"/>
        <v>-408954</v>
      </c>
      <c r="AA85" s="895">
        <f>IFERROR(VLOOKUP(B85,'DSOAT-T1.2025'!$B$11:$AR$81,55,0),0)</f>
        <v>0</v>
      </c>
      <c r="AB85" s="896">
        <f t="shared" si="4"/>
        <v>-38948</v>
      </c>
      <c r="AC85" s="895">
        <f>IFERROR(VLOOKUP(B85,'DSOAT-T1.2025'!$B$11:$AS$81,56,0),0)</f>
        <v>0</v>
      </c>
      <c r="AD85" s="896">
        <f t="shared" si="5"/>
        <v>-249877</v>
      </c>
    </row>
    <row r="86" spans="1:30" ht="21.75" customHeight="1">
      <c r="A86" s="15"/>
      <c r="B86" s="17"/>
      <c r="C86" s="1493" t="s">
        <v>132</v>
      </c>
      <c r="D86" s="1494"/>
      <c r="E86" s="18"/>
      <c r="F86" s="18"/>
      <c r="G86" s="18"/>
      <c r="H86" s="19">
        <v>390904830</v>
      </c>
      <c r="I86" s="19">
        <v>331015818</v>
      </c>
      <c r="J86" s="19">
        <v>0</v>
      </c>
      <c r="K86" s="19">
        <v>721920648</v>
      </c>
      <c r="L86" s="19">
        <v>144000000</v>
      </c>
      <c r="M86" s="19">
        <v>30496292</v>
      </c>
      <c r="N86" s="19">
        <v>2987868</v>
      </c>
      <c r="O86" s="19">
        <v>9981365</v>
      </c>
      <c r="P86" s="19">
        <v>534455123</v>
      </c>
      <c r="Q86" s="19">
        <v>534455123</v>
      </c>
      <c r="R86" s="19">
        <v>534455123</v>
      </c>
      <c r="S86" s="19">
        <v>534455123</v>
      </c>
      <c r="T86" s="19">
        <v>534455123</v>
      </c>
      <c r="U86" s="19">
        <v>534455123</v>
      </c>
      <c r="V86" s="19">
        <v>534455123</v>
      </c>
      <c r="W86" s="19">
        <v>534455123</v>
      </c>
      <c r="X86" s="19">
        <v>534455123</v>
      </c>
      <c r="Y86" s="19">
        <f>SUM(Y10:Y85)</f>
        <v>0</v>
      </c>
      <c r="Z86" s="19">
        <f>SUM(Z10:Z85)</f>
        <v>-30496292</v>
      </c>
      <c r="AA86" s="19">
        <f t="shared" ref="AA86:AB86" si="6">SUM(AA10:AA85)</f>
        <v>0</v>
      </c>
      <c r="AB86" s="19">
        <f t="shared" si="6"/>
        <v>-2987868</v>
      </c>
      <c r="AC86" s="897">
        <f t="shared" ref="AC86" si="7">SUM(AC10:AC85)</f>
        <v>0</v>
      </c>
      <c r="AD86" s="19">
        <f t="shared" ref="AD86" si="8">SUM(AD10:AD85)</f>
        <v>-9981365</v>
      </c>
    </row>
    <row r="87" spans="1:30">
      <c r="A87" s="15"/>
      <c r="N87" s="20">
        <v>2987868</v>
      </c>
    </row>
    <row r="88" spans="1:30">
      <c r="A88" s="15"/>
      <c r="D88" s="1488" t="s">
        <v>134</v>
      </c>
      <c r="E88" s="1488"/>
      <c r="I88" s="1488" t="s">
        <v>135</v>
      </c>
      <c r="J88" s="1488"/>
      <c r="K88" s="1488"/>
      <c r="O88" s="1488" t="s">
        <v>133</v>
      </c>
      <c r="P88" s="1488"/>
      <c r="Q88" s="126"/>
    </row>
    <row r="89" spans="1:30">
      <c r="A89" s="15"/>
      <c r="N89" s="28">
        <f>N86-N87</f>
        <v>0</v>
      </c>
      <c r="Z89" s="895">
        <v>30554706</v>
      </c>
      <c r="AA89" s="895">
        <v>2987868</v>
      </c>
      <c r="AB89" s="895">
        <v>9842975.3250000011</v>
      </c>
    </row>
    <row r="90" spans="1:30">
      <c r="A90" s="15"/>
    </row>
    <row r="91" spans="1:30">
      <c r="A91" s="15"/>
      <c r="AA91" s="895">
        <f>AA89-AA86</f>
        <v>2987868</v>
      </c>
    </row>
    <row r="92" spans="1:30">
      <c r="A92" s="15"/>
    </row>
    <row r="93" spans="1:30">
      <c r="A93" s="15"/>
    </row>
    <row r="94" spans="1:30" ht="16.5">
      <c r="A94" s="15"/>
      <c r="D94" s="1490" t="s">
        <v>136</v>
      </c>
      <c r="E94" s="1490"/>
      <c r="I94" s="1490" t="s">
        <v>137</v>
      </c>
      <c r="J94" s="1490"/>
      <c r="K94" s="1490"/>
    </row>
    <row r="99" spans="1:18" ht="15">
      <c r="A99" s="20">
        <v>400000</v>
      </c>
      <c r="B99" s="20">
        <v>10</v>
      </c>
      <c r="D99" s="28">
        <f>A99*B99</f>
        <v>4000000</v>
      </c>
      <c r="R99" s="20"/>
    </row>
    <row r="100" spans="1:18" ht="15">
      <c r="B100" s="20">
        <f>(1/0.9)</f>
        <v>1.1111111111111112</v>
      </c>
      <c r="D100" s="28">
        <f>B100*$D$99</f>
        <v>4444444.444444445</v>
      </c>
      <c r="R100" s="20"/>
    </row>
    <row r="101" spans="1:18" ht="15">
      <c r="B101" s="20">
        <f>(1.02/0.9)</f>
        <v>1.1333333333333333</v>
      </c>
      <c r="D101" s="28">
        <f t="shared" ref="D101:D103" si="9">B101*$D$99</f>
        <v>4533333.333333333</v>
      </c>
      <c r="R101" s="20"/>
    </row>
    <row r="102" spans="1:18" ht="15">
      <c r="B102" s="20">
        <f>(1.05/0.9)</f>
        <v>1.1666666666666667</v>
      </c>
      <c r="D102" s="28">
        <f t="shared" si="9"/>
        <v>4666666.666666667</v>
      </c>
      <c r="R102" s="20"/>
    </row>
    <row r="103" spans="1:18" ht="15">
      <c r="B103" s="20">
        <f>(1.1/0.9)</f>
        <v>1.2222222222222223</v>
      </c>
      <c r="D103" s="28">
        <f t="shared" si="9"/>
        <v>4888888.888888889</v>
      </c>
      <c r="R103" s="20"/>
    </row>
  </sheetData>
  <mergeCells count="14">
    <mergeCell ref="O88:P88"/>
    <mergeCell ref="C1:E1"/>
    <mergeCell ref="I1:O1"/>
    <mergeCell ref="C2:E2"/>
    <mergeCell ref="I2:O2"/>
    <mergeCell ref="C3:E3"/>
    <mergeCell ref="C4:E4"/>
    <mergeCell ref="D94:E94"/>
    <mergeCell ref="I94:K94"/>
    <mergeCell ref="E6:M6"/>
    <mergeCell ref="E7:M7"/>
    <mergeCell ref="C86:D86"/>
    <mergeCell ref="D88:E88"/>
    <mergeCell ref="I88:K88"/>
  </mergeCells>
  <pageMargins left="0.25" right="0.2" top="0.37" bottom="0.35" header="0.3" footer="0.3"/>
  <pageSetup paperSize="9" orientation="landscape"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8"/>
  <sheetViews>
    <sheetView workbookViewId="0">
      <selection activeCell="C25" sqref="C25"/>
    </sheetView>
  </sheetViews>
  <sheetFormatPr defaultRowHeight="15"/>
  <cols>
    <col min="2" max="2" width="13.42578125" customWidth="1"/>
    <col min="3" max="3" width="98.42578125" customWidth="1"/>
    <col min="6" max="6" width="12.28515625" customWidth="1"/>
    <col min="8" max="8" width="11.5703125" customWidth="1"/>
    <col min="259" max="259" width="46" customWidth="1"/>
    <col min="515" max="515" width="46" customWidth="1"/>
    <col min="771" max="771" width="46" customWidth="1"/>
    <col min="1027" max="1027" width="46" customWidth="1"/>
    <col min="1283" max="1283" width="46" customWidth="1"/>
    <col min="1539" max="1539" width="46" customWidth="1"/>
    <col min="1795" max="1795" width="46" customWidth="1"/>
    <col min="2051" max="2051" width="46" customWidth="1"/>
    <col min="2307" max="2307" width="46" customWidth="1"/>
    <col min="2563" max="2563" width="46" customWidth="1"/>
    <col min="2819" max="2819" width="46" customWidth="1"/>
    <col min="3075" max="3075" width="46" customWidth="1"/>
    <col min="3331" max="3331" width="46" customWidth="1"/>
    <col min="3587" max="3587" width="46" customWidth="1"/>
    <col min="3843" max="3843" width="46" customWidth="1"/>
    <col min="4099" max="4099" width="46" customWidth="1"/>
    <col min="4355" max="4355" width="46" customWidth="1"/>
    <col min="4611" max="4611" width="46" customWidth="1"/>
    <col min="4867" max="4867" width="46" customWidth="1"/>
    <col min="5123" max="5123" width="46" customWidth="1"/>
    <col min="5379" max="5379" width="46" customWidth="1"/>
    <col min="5635" max="5635" width="46" customWidth="1"/>
    <col min="5891" max="5891" width="46" customWidth="1"/>
    <col min="6147" max="6147" width="46" customWidth="1"/>
    <col min="6403" max="6403" width="46" customWidth="1"/>
    <col min="6659" max="6659" width="46" customWidth="1"/>
    <col min="6915" max="6915" width="46" customWidth="1"/>
    <col min="7171" max="7171" width="46" customWidth="1"/>
    <col min="7427" max="7427" width="46" customWidth="1"/>
    <col min="7683" max="7683" width="46" customWidth="1"/>
    <col min="7939" max="7939" width="46" customWidth="1"/>
    <col min="8195" max="8195" width="46" customWidth="1"/>
    <col min="8451" max="8451" width="46" customWidth="1"/>
    <col min="8707" max="8707" width="46" customWidth="1"/>
    <col min="8963" max="8963" width="46" customWidth="1"/>
    <col min="9219" max="9219" width="46" customWidth="1"/>
    <col min="9475" max="9475" width="46" customWidth="1"/>
    <col min="9731" max="9731" width="46" customWidth="1"/>
    <col min="9987" max="9987" width="46" customWidth="1"/>
    <col min="10243" max="10243" width="46" customWidth="1"/>
    <col min="10499" max="10499" width="46" customWidth="1"/>
    <col min="10755" max="10755" width="46" customWidth="1"/>
    <col min="11011" max="11011" width="46" customWidth="1"/>
    <col min="11267" max="11267" width="46" customWidth="1"/>
    <col min="11523" max="11523" width="46" customWidth="1"/>
    <col min="11779" max="11779" width="46" customWidth="1"/>
    <col min="12035" max="12035" width="46" customWidth="1"/>
    <col min="12291" max="12291" width="46" customWidth="1"/>
    <col min="12547" max="12547" width="46" customWidth="1"/>
    <col min="12803" max="12803" width="46" customWidth="1"/>
    <col min="13059" max="13059" width="46" customWidth="1"/>
    <col min="13315" max="13315" width="46" customWidth="1"/>
    <col min="13571" max="13571" width="46" customWidth="1"/>
    <col min="13827" max="13827" width="46" customWidth="1"/>
    <col min="14083" max="14083" width="46" customWidth="1"/>
    <col min="14339" max="14339" width="46" customWidth="1"/>
    <col min="14595" max="14595" width="46" customWidth="1"/>
    <col min="14851" max="14851" width="46" customWidth="1"/>
    <col min="15107" max="15107" width="46" customWidth="1"/>
    <col min="15363" max="15363" width="46" customWidth="1"/>
    <col min="15619" max="15619" width="46" customWidth="1"/>
    <col min="15875" max="15875" width="46" customWidth="1"/>
    <col min="16131" max="16131" width="46" customWidth="1"/>
  </cols>
  <sheetData>
    <row r="1" spans="1:11">
      <c r="A1" s="1502" t="s">
        <v>225</v>
      </c>
      <c r="B1" s="1499"/>
      <c r="C1" s="1499"/>
      <c r="D1" s="1499"/>
      <c r="E1" s="1499"/>
      <c r="F1" s="1499"/>
      <c r="G1" s="1499"/>
      <c r="H1" s="1499"/>
      <c r="I1" s="1499"/>
      <c r="J1" s="1499"/>
      <c r="K1" s="1499"/>
    </row>
    <row r="2" spans="1:11">
      <c r="A2" s="1502" t="s">
        <v>225</v>
      </c>
      <c r="B2" s="1499"/>
      <c r="C2" s="1499"/>
      <c r="D2" s="1499"/>
      <c r="E2" s="1499"/>
      <c r="F2" s="1499"/>
      <c r="G2" s="1499"/>
      <c r="H2" s="1499"/>
      <c r="I2" s="1499"/>
      <c r="J2" s="1499"/>
      <c r="K2" s="1499"/>
    </row>
    <row r="4" spans="1:11" ht="18.75">
      <c r="A4" s="1503" t="s">
        <v>254</v>
      </c>
      <c r="B4" s="1499"/>
      <c r="C4" s="1499"/>
      <c r="D4" s="1499"/>
      <c r="E4" s="1499"/>
      <c r="F4" s="1499"/>
      <c r="G4" s="1499"/>
      <c r="H4" s="1499"/>
      <c r="I4" s="1499"/>
      <c r="J4" s="1499"/>
      <c r="K4" s="1499"/>
    </row>
    <row r="5" spans="1:11">
      <c r="A5" s="1498" t="s">
        <v>1107</v>
      </c>
      <c r="B5" s="1499"/>
      <c r="C5" s="1499"/>
      <c r="D5" s="1499"/>
      <c r="E5" s="1499"/>
      <c r="F5" s="1499"/>
      <c r="G5" s="1499"/>
      <c r="H5" s="1499"/>
      <c r="I5" s="1499"/>
      <c r="J5" s="1499"/>
      <c r="K5" s="1499"/>
    </row>
    <row r="7" spans="1:11">
      <c r="A7" s="1504" t="s">
        <v>226</v>
      </c>
      <c r="B7" s="1500"/>
      <c r="C7" s="1504" t="s">
        <v>227</v>
      </c>
      <c r="D7" s="1504" t="s">
        <v>255</v>
      </c>
      <c r="E7" s="1500"/>
      <c r="F7" s="1504" t="s">
        <v>228</v>
      </c>
      <c r="G7" s="1500"/>
      <c r="H7" s="1504" t="s">
        <v>229</v>
      </c>
      <c r="I7" s="1500"/>
      <c r="J7" s="1504" t="s">
        <v>230</v>
      </c>
      <c r="K7" s="1500"/>
    </row>
    <row r="8" spans="1:11">
      <c r="A8" s="664" t="s">
        <v>231</v>
      </c>
      <c r="B8" s="664" t="s">
        <v>232</v>
      </c>
      <c r="C8" s="1500"/>
      <c r="D8" s="664" t="s">
        <v>233</v>
      </c>
      <c r="E8" s="664" t="s">
        <v>234</v>
      </c>
      <c r="F8" s="664" t="s">
        <v>233</v>
      </c>
      <c r="G8" s="664" t="s">
        <v>234</v>
      </c>
      <c r="H8" s="664" t="s">
        <v>233</v>
      </c>
      <c r="I8" s="664" t="s">
        <v>234</v>
      </c>
      <c r="J8" s="664" t="s">
        <v>233</v>
      </c>
      <c r="K8" s="664" t="s">
        <v>234</v>
      </c>
    </row>
    <row r="9" spans="1:11">
      <c r="A9" s="1500" t="s">
        <v>235</v>
      </c>
      <c r="B9" s="1500"/>
      <c r="C9" s="1500"/>
      <c r="D9" s="1500"/>
      <c r="E9" s="1500"/>
      <c r="F9" s="1500"/>
      <c r="G9" s="1500"/>
      <c r="H9" s="1500"/>
      <c r="I9" s="1500"/>
      <c r="J9" s="1500"/>
      <c r="K9" s="1500"/>
    </row>
    <row r="10" spans="1:11">
      <c r="A10" s="665" t="s">
        <v>1108</v>
      </c>
      <c r="B10" s="666" t="s">
        <v>1109</v>
      </c>
      <c r="C10" s="666" t="s">
        <v>1110</v>
      </c>
      <c r="D10" s="667">
        <v>0</v>
      </c>
      <c r="E10" s="667">
        <v>0</v>
      </c>
      <c r="F10" s="667">
        <v>5310400</v>
      </c>
      <c r="G10" s="667">
        <v>0</v>
      </c>
      <c r="H10" s="667">
        <v>5310400</v>
      </c>
      <c r="I10" s="667">
        <v>0</v>
      </c>
      <c r="J10" s="667">
        <v>0</v>
      </c>
      <c r="K10" s="667">
        <v>0</v>
      </c>
    </row>
    <row r="11" spans="1:11">
      <c r="A11" s="665" t="s">
        <v>1111</v>
      </c>
      <c r="B11" s="666" t="s">
        <v>1112</v>
      </c>
      <c r="C11" s="666" t="s">
        <v>1113</v>
      </c>
      <c r="D11" s="667">
        <v>0</v>
      </c>
      <c r="E11" s="667">
        <v>0</v>
      </c>
      <c r="F11" s="667">
        <v>11393800</v>
      </c>
      <c r="G11" s="667">
        <v>0</v>
      </c>
      <c r="H11" s="667">
        <v>11393800</v>
      </c>
      <c r="I11" s="667">
        <v>0</v>
      </c>
      <c r="J11" s="667">
        <v>0</v>
      </c>
      <c r="K11" s="667">
        <v>0</v>
      </c>
    </row>
    <row r="12" spans="1:11">
      <c r="A12" s="665" t="s">
        <v>1111</v>
      </c>
      <c r="B12" s="666" t="s">
        <v>1114</v>
      </c>
      <c r="C12" s="666" t="s">
        <v>1115</v>
      </c>
      <c r="D12" s="69">
        <v>0</v>
      </c>
      <c r="E12" s="69">
        <v>0</v>
      </c>
      <c r="F12" s="69">
        <v>2555600</v>
      </c>
      <c r="G12" s="69">
        <v>0</v>
      </c>
      <c r="H12" s="69">
        <v>2555600</v>
      </c>
      <c r="I12" s="69">
        <v>0</v>
      </c>
      <c r="J12" s="69">
        <v>0</v>
      </c>
      <c r="K12" s="69">
        <v>0</v>
      </c>
    </row>
    <row r="13" spans="1:11">
      <c r="A13" s="665" t="s">
        <v>1111</v>
      </c>
      <c r="B13" s="666" t="s">
        <v>1116</v>
      </c>
      <c r="C13" s="666" t="s">
        <v>1117</v>
      </c>
      <c r="D13" s="667">
        <v>0</v>
      </c>
      <c r="E13" s="667">
        <v>0</v>
      </c>
      <c r="F13" s="667">
        <v>1799080</v>
      </c>
      <c r="G13" s="667">
        <v>0</v>
      </c>
      <c r="H13" s="667">
        <v>1799080</v>
      </c>
      <c r="I13" s="667">
        <v>0</v>
      </c>
      <c r="J13" s="667">
        <v>0</v>
      </c>
      <c r="K13" s="667">
        <v>0</v>
      </c>
    </row>
    <row r="14" spans="1:11">
      <c r="A14" s="665" t="s">
        <v>1111</v>
      </c>
      <c r="B14" s="666" t="s">
        <v>1118</v>
      </c>
      <c r="C14" s="666" t="s">
        <v>1119</v>
      </c>
      <c r="D14" s="667">
        <v>0</v>
      </c>
      <c r="E14" s="667">
        <v>0</v>
      </c>
      <c r="F14" s="667">
        <v>557600</v>
      </c>
      <c r="G14" s="667">
        <v>0</v>
      </c>
      <c r="H14" s="667">
        <v>557600</v>
      </c>
      <c r="I14" s="667">
        <v>0</v>
      </c>
      <c r="J14" s="667">
        <v>0</v>
      </c>
      <c r="K14" s="667">
        <v>0</v>
      </c>
    </row>
    <row r="15" spans="1:11">
      <c r="A15" s="665" t="s">
        <v>1111</v>
      </c>
      <c r="B15" s="666" t="s">
        <v>1120</v>
      </c>
      <c r="C15" s="666" t="s">
        <v>1121</v>
      </c>
      <c r="D15" s="667">
        <v>0</v>
      </c>
      <c r="E15" s="667">
        <v>0</v>
      </c>
      <c r="F15" s="667">
        <v>1460800</v>
      </c>
      <c r="G15" s="667">
        <v>0</v>
      </c>
      <c r="H15" s="667">
        <v>1460800</v>
      </c>
      <c r="I15" s="667">
        <v>0</v>
      </c>
      <c r="J15" s="667">
        <v>0</v>
      </c>
      <c r="K15" s="667">
        <v>0</v>
      </c>
    </row>
    <row r="16" spans="1:11">
      <c r="A16" s="665" t="s">
        <v>1122</v>
      </c>
      <c r="B16" s="666" t="s">
        <v>1123</v>
      </c>
      <c r="C16" s="666" t="s">
        <v>1124</v>
      </c>
      <c r="D16" s="667">
        <v>0</v>
      </c>
      <c r="E16" s="667">
        <v>0</v>
      </c>
      <c r="F16" s="667">
        <v>18091640</v>
      </c>
      <c r="G16" s="667">
        <v>0</v>
      </c>
      <c r="H16" s="667">
        <v>18091640</v>
      </c>
      <c r="I16" s="667">
        <v>0</v>
      </c>
      <c r="J16" s="667">
        <v>0</v>
      </c>
      <c r="K16" s="667">
        <v>0</v>
      </c>
    </row>
    <row r="17" spans="1:11">
      <c r="A17" s="1500" t="s">
        <v>462</v>
      </c>
      <c r="B17" s="1500"/>
      <c r="C17" s="1500"/>
      <c r="D17" s="667">
        <v>0</v>
      </c>
      <c r="E17" s="667">
        <v>0</v>
      </c>
      <c r="F17" s="667">
        <v>41168920</v>
      </c>
      <c r="G17" s="667">
        <v>0</v>
      </c>
      <c r="H17" s="667">
        <v>41168920</v>
      </c>
      <c r="I17" s="667">
        <v>0</v>
      </c>
      <c r="J17" s="667">
        <v>0</v>
      </c>
      <c r="K17" s="667">
        <v>0</v>
      </c>
    </row>
    <row r="18" spans="1:11">
      <c r="A18" s="1500" t="s">
        <v>257</v>
      </c>
      <c r="B18" s="1500"/>
      <c r="C18" s="1500"/>
      <c r="D18" s="667">
        <v>0</v>
      </c>
      <c r="E18" s="667">
        <v>0</v>
      </c>
      <c r="F18" s="667">
        <v>41168920</v>
      </c>
      <c r="G18" s="667">
        <v>0</v>
      </c>
      <c r="H18" s="667">
        <v>41168920</v>
      </c>
      <c r="I18" s="667">
        <v>0</v>
      </c>
      <c r="J18" s="667">
        <v>0</v>
      </c>
      <c r="K18" s="667">
        <v>0</v>
      </c>
    </row>
    <row r="19" spans="1:11">
      <c r="A19" s="1500" t="s">
        <v>258</v>
      </c>
      <c r="B19" s="1500"/>
      <c r="C19" s="1500"/>
      <c r="D19" s="667">
        <v>0</v>
      </c>
      <c r="E19" s="667">
        <v>0</v>
      </c>
      <c r="F19" s="668">
        <v>41168920</v>
      </c>
      <c r="G19" s="668">
        <v>0</v>
      </c>
      <c r="H19" s="668">
        <v>41168920</v>
      </c>
      <c r="I19" s="668">
        <v>0</v>
      </c>
      <c r="J19" s="667">
        <v>0</v>
      </c>
      <c r="K19" s="667">
        <v>0</v>
      </c>
    </row>
    <row r="21" spans="1:11">
      <c r="J21" s="1501" t="s">
        <v>1125</v>
      </c>
      <c r="K21" s="1499"/>
    </row>
    <row r="22" spans="1:11">
      <c r="C22" s="1498" t="s">
        <v>248</v>
      </c>
      <c r="D22" s="1499"/>
      <c r="J22" s="1498" t="s">
        <v>249</v>
      </c>
      <c r="K22" s="1499"/>
    </row>
    <row r="23" spans="1:11">
      <c r="C23" s="1498" t="s">
        <v>250</v>
      </c>
      <c r="D23" s="1499"/>
      <c r="J23" s="1498" t="s">
        <v>251</v>
      </c>
      <c r="K23" s="1499"/>
    </row>
    <row r="28" spans="1:11">
      <c r="C28" s="1498" t="s">
        <v>252</v>
      </c>
      <c r="D28" s="1499"/>
      <c r="J28" s="1498" t="s">
        <v>253</v>
      </c>
      <c r="K28" s="1499"/>
    </row>
  </sheetData>
  <mergeCells count="21">
    <mergeCell ref="A1:K1"/>
    <mergeCell ref="A2:K2"/>
    <mergeCell ref="A4:K4"/>
    <mergeCell ref="A5:K5"/>
    <mergeCell ref="A7:B7"/>
    <mergeCell ref="C7:C8"/>
    <mergeCell ref="D7:E7"/>
    <mergeCell ref="F7:G7"/>
    <mergeCell ref="H7:I7"/>
    <mergeCell ref="J7:K7"/>
    <mergeCell ref="C23:D23"/>
    <mergeCell ref="J23:K23"/>
    <mergeCell ref="C28:D28"/>
    <mergeCell ref="J28:K28"/>
    <mergeCell ref="A9:K9"/>
    <mergeCell ref="A17:C17"/>
    <mergeCell ref="A18:C18"/>
    <mergeCell ref="A19:C19"/>
    <mergeCell ref="J21:K21"/>
    <mergeCell ref="C22:D22"/>
    <mergeCell ref="J22:K22"/>
  </mergeCells>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C66"/>
  <sheetViews>
    <sheetView workbookViewId="0">
      <selection activeCell="C44" sqref="C44"/>
    </sheetView>
  </sheetViews>
  <sheetFormatPr defaultColWidth="9.140625" defaultRowHeight="15"/>
  <cols>
    <col min="1" max="1" width="11.42578125" customWidth="1"/>
    <col min="2" max="2" width="12" customWidth="1"/>
    <col min="3" max="3" width="57.85546875" customWidth="1"/>
    <col min="4" max="4" width="9.140625" hidden="1" customWidth="1"/>
    <col min="5" max="5" width="4.42578125" hidden="1" customWidth="1"/>
    <col min="6" max="6" width="11.5703125" bestFit="1" customWidth="1"/>
    <col min="7" max="7" width="5.85546875" hidden="1" customWidth="1"/>
    <col min="8" max="8" width="9.140625" hidden="1" customWidth="1"/>
    <col min="9" max="9" width="3.85546875" hidden="1" customWidth="1"/>
    <col min="10" max="10" width="9.140625" hidden="1" customWidth="1"/>
    <col min="11" max="11" width="4" hidden="1" customWidth="1"/>
    <col min="12" max="12" width="11.5703125" bestFit="1" customWidth="1"/>
    <col min="13" max="13" width="11.140625" customWidth="1"/>
    <col min="14" max="14" width="10.28515625" customWidth="1"/>
    <col min="15" max="15" width="6.7109375" customWidth="1"/>
    <col min="16" max="16" width="10.42578125" customWidth="1"/>
    <col min="17" max="19" width="0" hidden="1" customWidth="1"/>
    <col min="20" max="20" width="11.5703125" bestFit="1" customWidth="1"/>
    <col min="21" max="21" width="0" hidden="1" customWidth="1"/>
    <col min="22" max="23" width="10.5703125" bestFit="1" customWidth="1"/>
    <col min="24" max="24" width="0" hidden="1" customWidth="1"/>
    <col min="26" max="26" width="10.5703125" bestFit="1" customWidth="1"/>
    <col min="27" max="27" width="0" hidden="1" customWidth="1"/>
    <col min="28" max="28" width="11.42578125" style="65" customWidth="1"/>
  </cols>
  <sheetData>
    <row r="1" spans="1:28">
      <c r="A1" s="669" t="s">
        <v>225</v>
      </c>
    </row>
    <row r="2" spans="1:28">
      <c r="A2" s="669" t="s">
        <v>225</v>
      </c>
    </row>
    <row r="4" spans="1:28" ht="18.75">
      <c r="A4" s="670" t="s">
        <v>254</v>
      </c>
    </row>
    <row r="5" spans="1:28">
      <c r="A5" s="669" t="s">
        <v>1107</v>
      </c>
    </row>
    <row r="7" spans="1:28">
      <c r="A7" s="671" t="s">
        <v>226</v>
      </c>
      <c r="B7" s="672"/>
      <c r="C7" s="673" t="s">
        <v>227</v>
      </c>
      <c r="D7" s="671" t="s">
        <v>255</v>
      </c>
      <c r="E7" s="672"/>
      <c r="F7" s="671" t="s">
        <v>228</v>
      </c>
      <c r="G7" s="672"/>
      <c r="H7" s="671" t="s">
        <v>229</v>
      </c>
      <c r="I7" s="672"/>
      <c r="J7" s="671" t="s">
        <v>230</v>
      </c>
      <c r="K7" s="672"/>
    </row>
    <row r="8" spans="1:28">
      <c r="A8" s="664" t="s">
        <v>231</v>
      </c>
      <c r="B8" s="664" t="s">
        <v>232</v>
      </c>
      <c r="C8" s="674"/>
      <c r="D8" s="664" t="s">
        <v>233</v>
      </c>
      <c r="E8" s="664" t="s">
        <v>234</v>
      </c>
      <c r="F8" s="664" t="s">
        <v>233</v>
      </c>
      <c r="G8" s="664" t="s">
        <v>234</v>
      </c>
      <c r="H8" s="664" t="s">
        <v>233</v>
      </c>
      <c r="I8" s="664" t="s">
        <v>234</v>
      </c>
      <c r="J8" s="664" t="s">
        <v>233</v>
      </c>
      <c r="K8" s="664" t="s">
        <v>234</v>
      </c>
    </row>
    <row r="9" spans="1:28">
      <c r="A9" s="671" t="s">
        <v>235</v>
      </c>
      <c r="B9" s="675"/>
      <c r="C9" s="675"/>
      <c r="D9" s="675"/>
      <c r="E9" s="675"/>
      <c r="F9" s="675"/>
      <c r="G9" s="675"/>
      <c r="H9" s="675"/>
      <c r="I9" s="675"/>
      <c r="J9" s="675"/>
      <c r="K9" s="672"/>
      <c r="L9" s="65" t="s">
        <v>236</v>
      </c>
      <c r="M9" s="65" t="s">
        <v>237</v>
      </c>
      <c r="N9" s="65" t="s">
        <v>238</v>
      </c>
      <c r="O9" s="65" t="s">
        <v>239</v>
      </c>
      <c r="P9" s="65" t="s">
        <v>240</v>
      </c>
      <c r="Q9" s="65" t="s">
        <v>241</v>
      </c>
      <c r="R9" s="65" t="s">
        <v>242</v>
      </c>
      <c r="S9" s="65" t="s">
        <v>243</v>
      </c>
      <c r="T9" s="65" t="s">
        <v>244</v>
      </c>
      <c r="U9" s="65" t="s">
        <v>285</v>
      </c>
      <c r="V9" s="65" t="s">
        <v>245</v>
      </c>
      <c r="W9" s="65" t="s">
        <v>246</v>
      </c>
      <c r="X9" s="65" t="s">
        <v>293</v>
      </c>
      <c r="Y9" s="65" t="s">
        <v>247</v>
      </c>
      <c r="Z9" s="65" t="s">
        <v>266</v>
      </c>
      <c r="AA9" s="65" t="s">
        <v>308</v>
      </c>
      <c r="AB9" s="65" t="s">
        <v>12</v>
      </c>
    </row>
    <row r="10" spans="1:28" hidden="1">
      <c r="A10" s="665" t="s">
        <v>533</v>
      </c>
      <c r="B10" s="666" t="s">
        <v>534</v>
      </c>
      <c r="C10" s="666" t="s">
        <v>535</v>
      </c>
      <c r="D10" s="667">
        <v>3840000</v>
      </c>
      <c r="E10" s="667">
        <v>0</v>
      </c>
      <c r="F10" s="667">
        <v>0</v>
      </c>
      <c r="G10" s="667">
        <v>0</v>
      </c>
      <c r="H10" s="667">
        <v>3840000</v>
      </c>
      <c r="I10" s="667">
        <v>0</v>
      </c>
      <c r="J10" s="667">
        <v>0</v>
      </c>
      <c r="K10" s="667">
        <v>0</v>
      </c>
      <c r="AB10"/>
    </row>
    <row r="11" spans="1:28" hidden="1">
      <c r="A11" s="665" t="s">
        <v>533</v>
      </c>
      <c r="B11" s="666" t="s">
        <v>536</v>
      </c>
      <c r="C11" s="666" t="s">
        <v>537</v>
      </c>
      <c r="D11" s="667">
        <v>450000</v>
      </c>
      <c r="E11" s="667">
        <v>0</v>
      </c>
      <c r="F11" s="667">
        <v>0</v>
      </c>
      <c r="G11" s="667">
        <v>0</v>
      </c>
      <c r="H11" s="667">
        <v>450000</v>
      </c>
      <c r="I11" s="667">
        <v>0</v>
      </c>
      <c r="J11" s="667">
        <v>0</v>
      </c>
      <c r="K11" s="667">
        <v>0</v>
      </c>
      <c r="AB11"/>
    </row>
    <row r="12" spans="1:28" hidden="1">
      <c r="A12" s="665" t="s">
        <v>533</v>
      </c>
      <c r="B12" s="666" t="s">
        <v>538</v>
      </c>
      <c r="C12" s="666" t="s">
        <v>539</v>
      </c>
      <c r="D12" s="667">
        <v>260000</v>
      </c>
      <c r="E12" s="667">
        <v>0</v>
      </c>
      <c r="F12" s="667">
        <v>0</v>
      </c>
      <c r="G12" s="667">
        <v>0</v>
      </c>
      <c r="H12" s="667">
        <v>260000</v>
      </c>
      <c r="I12" s="667">
        <v>0</v>
      </c>
      <c r="J12" s="667">
        <v>0</v>
      </c>
      <c r="K12" s="667">
        <v>0</v>
      </c>
      <c r="AB12"/>
    </row>
    <row r="13" spans="1:28" hidden="1">
      <c r="A13" s="665" t="s">
        <v>540</v>
      </c>
      <c r="B13" s="666" t="s">
        <v>541</v>
      </c>
      <c r="C13" s="666" t="s">
        <v>542</v>
      </c>
      <c r="D13" s="667">
        <v>1140000</v>
      </c>
      <c r="E13" s="667">
        <v>0</v>
      </c>
      <c r="F13" s="667">
        <v>0</v>
      </c>
      <c r="G13" s="667">
        <v>0</v>
      </c>
      <c r="H13" s="667">
        <v>1140000</v>
      </c>
      <c r="I13" s="667">
        <v>0</v>
      </c>
      <c r="J13" s="667">
        <v>0</v>
      </c>
      <c r="K13" s="667">
        <v>0</v>
      </c>
      <c r="AB13"/>
    </row>
    <row r="14" spans="1:28" hidden="1">
      <c r="A14" s="665" t="s">
        <v>543</v>
      </c>
      <c r="B14" s="666" t="s">
        <v>544</v>
      </c>
      <c r="C14" s="666" t="s">
        <v>545</v>
      </c>
      <c r="D14" s="667">
        <v>560000</v>
      </c>
      <c r="E14" s="667">
        <v>0</v>
      </c>
      <c r="F14" s="667">
        <v>0</v>
      </c>
      <c r="G14" s="667">
        <v>0</v>
      </c>
      <c r="H14" s="667">
        <v>560000</v>
      </c>
      <c r="I14" s="667">
        <v>0</v>
      </c>
      <c r="J14" s="667">
        <v>0</v>
      </c>
      <c r="K14" s="667">
        <v>0</v>
      </c>
      <c r="AB14"/>
    </row>
    <row r="15" spans="1:28" hidden="1">
      <c r="A15" s="665" t="s">
        <v>543</v>
      </c>
      <c r="B15" s="666" t="s">
        <v>546</v>
      </c>
      <c r="C15" s="666" t="s">
        <v>547</v>
      </c>
      <c r="D15" s="667">
        <v>18236000</v>
      </c>
      <c r="E15" s="667">
        <v>0</v>
      </c>
      <c r="F15" s="667">
        <v>0</v>
      </c>
      <c r="G15" s="667">
        <v>0</v>
      </c>
      <c r="H15" s="667">
        <v>18236000</v>
      </c>
      <c r="I15" s="667">
        <v>0</v>
      </c>
      <c r="J15" s="667">
        <v>0</v>
      </c>
      <c r="K15" s="667">
        <v>0</v>
      </c>
      <c r="AB15"/>
    </row>
    <row r="16" spans="1:28" hidden="1">
      <c r="A16" s="665" t="s">
        <v>543</v>
      </c>
      <c r="B16" s="666" t="s">
        <v>548</v>
      </c>
      <c r="C16" s="666" t="s">
        <v>549</v>
      </c>
      <c r="D16" s="667">
        <v>1415000</v>
      </c>
      <c r="E16" s="667">
        <v>0</v>
      </c>
      <c r="F16" s="667">
        <v>0</v>
      </c>
      <c r="G16" s="667">
        <v>0</v>
      </c>
      <c r="H16" s="667">
        <v>1415000</v>
      </c>
      <c r="I16" s="667">
        <v>0</v>
      </c>
      <c r="J16" s="667">
        <v>0</v>
      </c>
      <c r="K16" s="667">
        <v>0</v>
      </c>
      <c r="AB16"/>
    </row>
    <row r="17" spans="1:11" customFormat="1" hidden="1">
      <c r="A17" s="665" t="s">
        <v>550</v>
      </c>
      <c r="B17" s="666" t="s">
        <v>551</v>
      </c>
      <c r="C17" s="666" t="s">
        <v>552</v>
      </c>
      <c r="D17" s="667">
        <v>5132000</v>
      </c>
      <c r="E17" s="667">
        <v>0</v>
      </c>
      <c r="F17" s="667">
        <v>0</v>
      </c>
      <c r="G17" s="667">
        <v>0</v>
      </c>
      <c r="H17" s="667">
        <v>5132000</v>
      </c>
      <c r="I17" s="667">
        <v>0</v>
      </c>
      <c r="J17" s="667">
        <v>0</v>
      </c>
      <c r="K17" s="667">
        <v>0</v>
      </c>
    </row>
    <row r="18" spans="1:11" customFormat="1" hidden="1">
      <c r="A18" s="665" t="s">
        <v>518</v>
      </c>
      <c r="B18" s="666" t="s">
        <v>519</v>
      </c>
      <c r="C18" s="666" t="s">
        <v>520</v>
      </c>
      <c r="D18" s="667">
        <v>6593327</v>
      </c>
      <c r="E18" s="667">
        <v>0</v>
      </c>
      <c r="F18" s="667">
        <v>0</v>
      </c>
      <c r="G18" s="667">
        <v>0</v>
      </c>
      <c r="H18" s="667">
        <v>6593327</v>
      </c>
      <c r="I18" s="667">
        <v>0</v>
      </c>
      <c r="J18" s="667">
        <v>0</v>
      </c>
      <c r="K18" s="667">
        <v>0</v>
      </c>
    </row>
    <row r="19" spans="1:11" customFormat="1" hidden="1">
      <c r="A19" s="665" t="s">
        <v>575</v>
      </c>
      <c r="B19" s="666" t="s">
        <v>582</v>
      </c>
      <c r="C19" s="666" t="s">
        <v>583</v>
      </c>
      <c r="D19" s="667">
        <v>460000</v>
      </c>
      <c r="E19" s="667">
        <v>0</v>
      </c>
      <c r="F19" s="667">
        <v>0</v>
      </c>
      <c r="G19" s="667">
        <v>0</v>
      </c>
      <c r="H19" s="667">
        <v>460000</v>
      </c>
      <c r="I19" s="667">
        <v>0</v>
      </c>
      <c r="J19" s="667">
        <v>0</v>
      </c>
      <c r="K19" s="667">
        <v>0</v>
      </c>
    </row>
    <row r="20" spans="1:11" customFormat="1" hidden="1">
      <c r="A20" s="665" t="s">
        <v>575</v>
      </c>
      <c r="B20" s="666" t="s">
        <v>584</v>
      </c>
      <c r="C20" s="666" t="s">
        <v>585</v>
      </c>
      <c r="D20" s="667">
        <v>2205000</v>
      </c>
      <c r="E20" s="667">
        <v>0</v>
      </c>
      <c r="F20" s="667">
        <v>0</v>
      </c>
      <c r="G20" s="667">
        <v>0</v>
      </c>
      <c r="H20" s="667">
        <v>2205000</v>
      </c>
      <c r="I20" s="667">
        <v>0</v>
      </c>
      <c r="J20" s="667">
        <v>0</v>
      </c>
      <c r="K20" s="667">
        <v>0</v>
      </c>
    </row>
    <row r="21" spans="1:11" customFormat="1" hidden="1">
      <c r="A21" s="665" t="s">
        <v>521</v>
      </c>
      <c r="B21" s="666" t="s">
        <v>586</v>
      </c>
      <c r="C21" s="666" t="s">
        <v>587</v>
      </c>
      <c r="D21" s="667">
        <v>9715000</v>
      </c>
      <c r="E21" s="667">
        <v>0</v>
      </c>
      <c r="F21" s="667">
        <v>0</v>
      </c>
      <c r="G21" s="667">
        <v>0</v>
      </c>
      <c r="H21" s="667">
        <v>9715000</v>
      </c>
      <c r="I21" s="667">
        <v>0</v>
      </c>
      <c r="J21" s="667">
        <v>0</v>
      </c>
      <c r="K21" s="667">
        <v>0</v>
      </c>
    </row>
    <row r="22" spans="1:11" customFormat="1" hidden="1">
      <c r="A22" s="665" t="s">
        <v>521</v>
      </c>
      <c r="B22" s="666" t="s">
        <v>588</v>
      </c>
      <c r="C22" s="666" t="s">
        <v>589</v>
      </c>
      <c r="D22" s="667">
        <v>1780000</v>
      </c>
      <c r="E22" s="667">
        <v>0</v>
      </c>
      <c r="F22" s="667">
        <v>0</v>
      </c>
      <c r="G22" s="667">
        <v>0</v>
      </c>
      <c r="H22" s="667">
        <v>1780000</v>
      </c>
      <c r="I22" s="667">
        <v>0</v>
      </c>
      <c r="J22" s="667">
        <v>0</v>
      </c>
      <c r="K22" s="667">
        <v>0</v>
      </c>
    </row>
    <row r="23" spans="1:11" customFormat="1" hidden="1">
      <c r="A23" s="665" t="s">
        <v>521</v>
      </c>
      <c r="B23" s="666" t="s">
        <v>590</v>
      </c>
      <c r="C23" s="666" t="s">
        <v>591</v>
      </c>
      <c r="D23" s="667">
        <v>405000</v>
      </c>
      <c r="E23" s="667">
        <v>0</v>
      </c>
      <c r="F23" s="667">
        <v>0</v>
      </c>
      <c r="G23" s="667">
        <v>0</v>
      </c>
      <c r="H23" s="667">
        <v>405000</v>
      </c>
      <c r="I23" s="667">
        <v>0</v>
      </c>
      <c r="J23" s="667">
        <v>0</v>
      </c>
      <c r="K23" s="667">
        <v>0</v>
      </c>
    </row>
    <row r="24" spans="1:11" customFormat="1" hidden="1">
      <c r="A24" s="665" t="s">
        <v>521</v>
      </c>
      <c r="B24" s="666" t="s">
        <v>592</v>
      </c>
      <c r="C24" s="666" t="s">
        <v>593</v>
      </c>
      <c r="D24" s="667">
        <v>950000</v>
      </c>
      <c r="E24" s="667">
        <v>0</v>
      </c>
      <c r="F24" s="667">
        <v>0</v>
      </c>
      <c r="G24" s="667">
        <v>0</v>
      </c>
      <c r="H24" s="667">
        <v>950000</v>
      </c>
      <c r="I24" s="667">
        <v>0</v>
      </c>
      <c r="J24" s="667">
        <v>0</v>
      </c>
      <c r="K24" s="667">
        <v>0</v>
      </c>
    </row>
    <row r="25" spans="1:11" customFormat="1" hidden="1">
      <c r="A25" s="665" t="s">
        <v>521</v>
      </c>
      <c r="B25" s="666" t="s">
        <v>522</v>
      </c>
      <c r="C25" s="666" t="s">
        <v>523</v>
      </c>
      <c r="D25" s="667">
        <v>11597800</v>
      </c>
      <c r="E25" s="667">
        <v>0</v>
      </c>
      <c r="F25" s="667">
        <v>0</v>
      </c>
      <c r="G25" s="667">
        <v>0</v>
      </c>
      <c r="H25" s="667">
        <v>11597800</v>
      </c>
      <c r="I25" s="667">
        <v>0</v>
      </c>
      <c r="J25" s="667">
        <v>0</v>
      </c>
      <c r="K25" s="667">
        <v>0</v>
      </c>
    </row>
    <row r="26" spans="1:11" customFormat="1" hidden="1">
      <c r="A26" s="665" t="s">
        <v>521</v>
      </c>
      <c r="B26" s="666" t="s">
        <v>602</v>
      </c>
      <c r="C26" s="666" t="s">
        <v>603</v>
      </c>
      <c r="D26" s="667">
        <v>167200</v>
      </c>
      <c r="E26" s="667">
        <v>0</v>
      </c>
      <c r="F26" s="667">
        <v>0</v>
      </c>
      <c r="G26" s="667">
        <v>0</v>
      </c>
      <c r="H26" s="667">
        <v>167200</v>
      </c>
      <c r="I26" s="667">
        <v>0</v>
      </c>
      <c r="J26" s="667">
        <v>0</v>
      </c>
      <c r="K26" s="667">
        <v>0</v>
      </c>
    </row>
    <row r="27" spans="1:11" customFormat="1" hidden="1">
      <c r="A27" s="665" t="s">
        <v>521</v>
      </c>
      <c r="B27" s="666" t="s">
        <v>524</v>
      </c>
      <c r="C27" s="666" t="s">
        <v>525</v>
      </c>
      <c r="D27" s="667">
        <v>3295600</v>
      </c>
      <c r="E27" s="667">
        <v>0</v>
      </c>
      <c r="F27" s="667">
        <v>0</v>
      </c>
      <c r="G27" s="667">
        <v>0</v>
      </c>
      <c r="H27" s="667">
        <v>3295600</v>
      </c>
      <c r="I27" s="667">
        <v>0</v>
      </c>
      <c r="J27" s="667">
        <v>0</v>
      </c>
      <c r="K27" s="667">
        <v>0</v>
      </c>
    </row>
    <row r="28" spans="1:11" customFormat="1" hidden="1">
      <c r="A28" s="665" t="s">
        <v>521</v>
      </c>
      <c r="B28" s="666" t="s">
        <v>610</v>
      </c>
      <c r="C28" s="666" t="s">
        <v>611</v>
      </c>
      <c r="D28" s="667">
        <v>4392991</v>
      </c>
      <c r="E28" s="667">
        <v>0</v>
      </c>
      <c r="F28" s="667">
        <v>0</v>
      </c>
      <c r="G28" s="667">
        <v>0</v>
      </c>
      <c r="H28" s="667">
        <v>4392991</v>
      </c>
      <c r="I28" s="667">
        <v>0</v>
      </c>
      <c r="J28" s="667">
        <v>0</v>
      </c>
      <c r="K28" s="667">
        <v>0</v>
      </c>
    </row>
    <row r="29" spans="1:11" customFormat="1" hidden="1">
      <c r="A29" s="665" t="s">
        <v>521</v>
      </c>
      <c r="B29" s="666" t="s">
        <v>526</v>
      </c>
      <c r="C29" s="666" t="s">
        <v>527</v>
      </c>
      <c r="D29" s="667">
        <v>142800</v>
      </c>
      <c r="E29" s="667">
        <v>0</v>
      </c>
      <c r="F29" s="667">
        <v>0</v>
      </c>
      <c r="G29" s="667">
        <v>0</v>
      </c>
      <c r="H29" s="667">
        <v>142800</v>
      </c>
      <c r="I29" s="667">
        <v>0</v>
      </c>
      <c r="J29" s="667">
        <v>0</v>
      </c>
      <c r="K29" s="667">
        <v>0</v>
      </c>
    </row>
    <row r="30" spans="1:11" customFormat="1" hidden="1">
      <c r="A30" s="665" t="s">
        <v>521</v>
      </c>
      <c r="B30" s="666" t="s">
        <v>626</v>
      </c>
      <c r="C30" s="666" t="s">
        <v>627</v>
      </c>
      <c r="D30" s="667">
        <v>2924000</v>
      </c>
      <c r="E30" s="667">
        <v>0</v>
      </c>
      <c r="F30" s="667">
        <v>0</v>
      </c>
      <c r="G30" s="667">
        <v>0</v>
      </c>
      <c r="H30" s="667">
        <v>2924000</v>
      </c>
      <c r="I30" s="667">
        <v>0</v>
      </c>
      <c r="J30" s="667">
        <v>0</v>
      </c>
      <c r="K30" s="667">
        <v>0</v>
      </c>
    </row>
    <row r="31" spans="1:11" customFormat="1" hidden="1">
      <c r="A31" s="665" t="s">
        <v>521</v>
      </c>
      <c r="B31" s="666" t="s">
        <v>528</v>
      </c>
      <c r="C31" s="666" t="s">
        <v>529</v>
      </c>
      <c r="D31" s="667">
        <v>270000</v>
      </c>
      <c r="E31" s="667">
        <v>0</v>
      </c>
      <c r="F31" s="667">
        <v>0</v>
      </c>
      <c r="G31" s="667">
        <v>0</v>
      </c>
      <c r="H31" s="667">
        <v>270000</v>
      </c>
      <c r="I31" s="667">
        <v>0</v>
      </c>
      <c r="J31" s="667">
        <v>0</v>
      </c>
      <c r="K31" s="667">
        <v>0</v>
      </c>
    </row>
    <row r="32" spans="1:11" customFormat="1" hidden="1">
      <c r="A32" s="665" t="s">
        <v>521</v>
      </c>
      <c r="B32" s="666" t="s">
        <v>530</v>
      </c>
      <c r="C32" s="666" t="s">
        <v>531</v>
      </c>
      <c r="D32" s="667">
        <v>423500</v>
      </c>
      <c r="E32" s="667">
        <v>0</v>
      </c>
      <c r="F32" s="667">
        <v>0</v>
      </c>
      <c r="G32" s="667">
        <v>0</v>
      </c>
      <c r="H32" s="667">
        <v>423500</v>
      </c>
      <c r="I32" s="667">
        <v>0</v>
      </c>
      <c r="J32" s="667">
        <v>0</v>
      </c>
      <c r="K32" s="667">
        <v>0</v>
      </c>
    </row>
    <row r="33" spans="1:29" s="68" customFormat="1">
      <c r="A33" s="677" t="s">
        <v>1108</v>
      </c>
      <c r="B33" s="678" t="s">
        <v>1109</v>
      </c>
      <c r="C33" s="678" t="s">
        <v>1110</v>
      </c>
      <c r="D33" s="667">
        <v>0</v>
      </c>
      <c r="E33" s="667">
        <v>0</v>
      </c>
      <c r="F33" s="679">
        <v>1017500</v>
      </c>
      <c r="G33" s="667">
        <v>0</v>
      </c>
      <c r="H33" s="667">
        <v>0</v>
      </c>
      <c r="I33" s="667">
        <v>0</v>
      </c>
      <c r="J33" s="667">
        <v>1017500</v>
      </c>
      <c r="K33" s="667">
        <v>0</v>
      </c>
      <c r="L33" s="562">
        <f>285000+5025400</f>
        <v>5310400</v>
      </c>
      <c r="M33" s="562"/>
      <c r="N33" s="562"/>
      <c r="O33" s="562"/>
      <c r="P33" s="562">
        <f>180000+106700</f>
        <v>286700</v>
      </c>
      <c r="Q33" s="562"/>
      <c r="R33" s="562"/>
      <c r="S33" s="562"/>
      <c r="T33" s="562"/>
      <c r="U33" s="562"/>
      <c r="V33" s="562"/>
      <c r="W33" s="562">
        <v>394000</v>
      </c>
      <c r="X33" s="562"/>
      <c r="Y33" s="562"/>
      <c r="Z33" s="562">
        <f>336800</f>
        <v>336800</v>
      </c>
      <c r="AA33" s="562"/>
      <c r="AB33" s="574">
        <f>SUM(M33:AA33)</f>
        <v>1017500</v>
      </c>
    </row>
    <row r="34" spans="1:29" ht="23.25" customHeight="1">
      <c r="A34" s="665" t="s">
        <v>1108</v>
      </c>
      <c r="B34" s="666" t="s">
        <v>1126</v>
      </c>
      <c r="C34" s="685" t="s">
        <v>1127</v>
      </c>
      <c r="D34" s="667">
        <v>0</v>
      </c>
      <c r="E34" s="667">
        <v>0</v>
      </c>
      <c r="F34" s="69">
        <v>1710000</v>
      </c>
      <c r="G34" s="667">
        <v>0</v>
      </c>
      <c r="H34" s="667">
        <v>0</v>
      </c>
      <c r="I34" s="667">
        <v>0</v>
      </c>
      <c r="J34" s="667">
        <v>1710000</v>
      </c>
      <c r="K34" s="667">
        <v>0</v>
      </c>
      <c r="L34" s="561"/>
      <c r="M34" s="561"/>
      <c r="N34" s="561"/>
      <c r="O34" s="561"/>
      <c r="P34" s="561"/>
      <c r="Q34" s="561"/>
      <c r="R34" s="561"/>
      <c r="S34" s="561"/>
      <c r="T34" s="561"/>
      <c r="U34" s="561"/>
      <c r="V34" s="561"/>
      <c r="W34" s="561"/>
      <c r="X34" s="561"/>
      <c r="Y34" s="561"/>
      <c r="Z34" s="561"/>
      <c r="AA34" s="561"/>
      <c r="AB34" s="574">
        <f t="shared" ref="AB34:AB53" si="0">SUM(M34:AA34)</f>
        <v>0</v>
      </c>
    </row>
    <row r="35" spans="1:29" ht="23.25" customHeight="1">
      <c r="A35" s="665" t="s">
        <v>1108</v>
      </c>
      <c r="B35" s="666" t="s">
        <v>1128</v>
      </c>
      <c r="C35" s="685" t="s">
        <v>1129</v>
      </c>
      <c r="D35" s="667">
        <v>0</v>
      </c>
      <c r="E35" s="667">
        <v>0</v>
      </c>
      <c r="F35" s="69">
        <v>3100000</v>
      </c>
      <c r="G35" s="667">
        <v>0</v>
      </c>
      <c r="H35" s="667">
        <v>0</v>
      </c>
      <c r="I35" s="667">
        <v>0</v>
      </c>
      <c r="J35" s="667">
        <v>3100000</v>
      </c>
      <c r="K35" s="667">
        <v>0</v>
      </c>
      <c r="L35" s="561"/>
      <c r="M35" s="561"/>
      <c r="N35" s="561"/>
      <c r="O35" s="561"/>
      <c r="P35" s="561"/>
      <c r="Q35" s="561"/>
      <c r="R35" s="561"/>
      <c r="S35" s="561"/>
      <c r="T35" s="561"/>
      <c r="U35" s="561"/>
      <c r="V35" s="561"/>
      <c r="W35" s="561"/>
      <c r="X35" s="561"/>
      <c r="Y35" s="561"/>
      <c r="Z35" s="561"/>
      <c r="AA35" s="561"/>
      <c r="AB35" s="574">
        <f t="shared" si="0"/>
        <v>0</v>
      </c>
    </row>
    <row r="36" spans="1:29" ht="23.25" customHeight="1">
      <c r="A36" s="665" t="s">
        <v>1108</v>
      </c>
      <c r="B36" s="666" t="s">
        <v>1130</v>
      </c>
      <c r="C36" s="685" t="s">
        <v>1131</v>
      </c>
      <c r="D36" s="667">
        <v>0</v>
      </c>
      <c r="E36" s="667">
        <v>0</v>
      </c>
      <c r="F36" s="69">
        <v>327000</v>
      </c>
      <c r="G36" s="667">
        <v>0</v>
      </c>
      <c r="H36" s="667">
        <v>0</v>
      </c>
      <c r="I36" s="667">
        <v>0</v>
      </c>
      <c r="J36" s="667">
        <v>327000</v>
      </c>
      <c r="K36" s="667">
        <v>0</v>
      </c>
      <c r="L36" s="561"/>
      <c r="M36" s="561"/>
      <c r="N36" s="561"/>
      <c r="O36" s="561"/>
      <c r="P36" s="561"/>
      <c r="Q36" s="561"/>
      <c r="R36" s="561"/>
      <c r="S36" s="561"/>
      <c r="T36" s="561"/>
      <c r="U36" s="561"/>
      <c r="V36" s="561"/>
      <c r="W36" s="561"/>
      <c r="X36" s="561"/>
      <c r="Y36" s="561"/>
      <c r="Z36" s="561"/>
      <c r="AA36" s="561"/>
      <c r="AB36" s="574">
        <f t="shared" si="0"/>
        <v>0</v>
      </c>
    </row>
    <row r="37" spans="1:29" ht="23.25" customHeight="1">
      <c r="A37" s="665" t="s">
        <v>1108</v>
      </c>
      <c r="B37" s="666" t="s">
        <v>1132</v>
      </c>
      <c r="C37" s="685" t="s">
        <v>1133</v>
      </c>
      <c r="D37" s="667">
        <v>0</v>
      </c>
      <c r="E37" s="667">
        <v>0</v>
      </c>
      <c r="F37" s="69">
        <v>520000</v>
      </c>
      <c r="G37" s="667">
        <v>0</v>
      </c>
      <c r="H37" s="667">
        <v>0</v>
      </c>
      <c r="I37" s="667">
        <v>0</v>
      </c>
      <c r="J37" s="667">
        <v>520000</v>
      </c>
      <c r="K37" s="667">
        <v>0</v>
      </c>
      <c r="L37" s="561"/>
      <c r="M37" s="561"/>
      <c r="N37" s="561"/>
      <c r="O37" s="561"/>
      <c r="P37" s="561"/>
      <c r="Q37" s="561"/>
      <c r="R37" s="561"/>
      <c r="S37" s="561"/>
      <c r="T37" s="561"/>
      <c r="U37" s="561"/>
      <c r="V37" s="561"/>
      <c r="W37" s="561"/>
      <c r="X37" s="561"/>
      <c r="Y37" s="561"/>
      <c r="Z37" s="561"/>
      <c r="AA37" s="561"/>
      <c r="AB37" s="574">
        <f t="shared" si="0"/>
        <v>0</v>
      </c>
    </row>
    <row r="38" spans="1:29" ht="23.25" customHeight="1">
      <c r="A38" s="665" t="s">
        <v>1108</v>
      </c>
      <c r="B38" s="666" t="s">
        <v>1134</v>
      </c>
      <c r="C38" s="685" t="s">
        <v>1135</v>
      </c>
      <c r="D38" s="667">
        <v>0</v>
      </c>
      <c r="E38" s="667">
        <v>0</v>
      </c>
      <c r="F38" s="69">
        <v>3760000</v>
      </c>
      <c r="G38" s="667">
        <v>0</v>
      </c>
      <c r="H38" s="667">
        <v>0</v>
      </c>
      <c r="I38" s="667">
        <v>0</v>
      </c>
      <c r="J38" s="667">
        <v>3760000</v>
      </c>
      <c r="K38" s="667">
        <v>0</v>
      </c>
      <c r="L38" s="561"/>
      <c r="M38" s="561"/>
      <c r="N38" s="561"/>
      <c r="O38" s="561"/>
      <c r="P38" s="561"/>
      <c r="Q38" s="561"/>
      <c r="R38" s="561"/>
      <c r="S38" s="561"/>
      <c r="T38" s="561"/>
      <c r="U38" s="561"/>
      <c r="V38" s="561"/>
      <c r="W38" s="561"/>
      <c r="X38" s="561"/>
      <c r="Y38" s="561"/>
      <c r="Z38" s="561"/>
      <c r="AA38" s="561"/>
      <c r="AB38" s="574">
        <f t="shared" si="0"/>
        <v>0</v>
      </c>
    </row>
    <row r="39" spans="1:29" ht="23.25" customHeight="1">
      <c r="A39" s="665" t="s">
        <v>1108</v>
      </c>
      <c r="B39" s="666" t="s">
        <v>1136</v>
      </c>
      <c r="C39" s="685" t="s">
        <v>1137</v>
      </c>
      <c r="D39" s="667">
        <v>0</v>
      </c>
      <c r="E39" s="667">
        <v>0</v>
      </c>
      <c r="F39" s="69">
        <v>625000</v>
      </c>
      <c r="G39" s="667">
        <v>0</v>
      </c>
      <c r="H39" s="667">
        <v>0</v>
      </c>
      <c r="I39" s="667">
        <v>0</v>
      </c>
      <c r="J39" s="667">
        <v>625000</v>
      </c>
      <c r="K39" s="667">
        <v>0</v>
      </c>
      <c r="L39" s="561"/>
      <c r="M39" s="561"/>
      <c r="N39" s="561"/>
      <c r="O39" s="561"/>
      <c r="P39" s="561"/>
      <c r="Q39" s="561"/>
      <c r="R39" s="561"/>
      <c r="S39" s="561"/>
      <c r="T39" s="561"/>
      <c r="U39" s="561"/>
      <c r="V39" s="561"/>
      <c r="W39" s="561"/>
      <c r="X39" s="561"/>
      <c r="Y39" s="561"/>
      <c r="Z39" s="561"/>
      <c r="AA39" s="561"/>
      <c r="AB39" s="574">
        <f t="shared" si="0"/>
        <v>0</v>
      </c>
    </row>
    <row r="40" spans="1:29" s="68" customFormat="1" ht="23.25" customHeight="1">
      <c r="A40" s="677" t="s">
        <v>1108</v>
      </c>
      <c r="B40" s="678" t="s">
        <v>1138</v>
      </c>
      <c r="C40" s="684" t="s">
        <v>1139</v>
      </c>
      <c r="D40" s="667">
        <v>0</v>
      </c>
      <c r="E40" s="667">
        <v>0</v>
      </c>
      <c r="F40" s="679">
        <v>2274800</v>
      </c>
      <c r="G40" s="667">
        <v>0</v>
      </c>
      <c r="H40" s="667">
        <v>0</v>
      </c>
      <c r="I40" s="667">
        <v>0</v>
      </c>
      <c r="J40" s="667">
        <v>2274800</v>
      </c>
      <c r="K40" s="667">
        <v>0</v>
      </c>
      <c r="L40" s="562"/>
      <c r="M40" s="562"/>
      <c r="N40" s="562"/>
      <c r="O40" s="562"/>
      <c r="P40" s="562"/>
      <c r="Q40" s="562"/>
      <c r="R40" s="562"/>
      <c r="S40" s="562"/>
      <c r="T40" s="562"/>
      <c r="U40" s="562"/>
      <c r="V40" s="562"/>
      <c r="W40" s="562"/>
      <c r="X40" s="562"/>
      <c r="Y40" s="562"/>
      <c r="Z40" s="562"/>
      <c r="AA40" s="562"/>
      <c r="AB40" s="574">
        <f t="shared" si="0"/>
        <v>0</v>
      </c>
      <c r="AC40" s="683" t="s">
        <v>1160</v>
      </c>
    </row>
    <row r="41" spans="1:29" ht="23.25" customHeight="1">
      <c r="A41" s="665" t="s">
        <v>1108</v>
      </c>
      <c r="B41" s="666" t="s">
        <v>1140</v>
      </c>
      <c r="C41" s="685" t="s">
        <v>1141</v>
      </c>
      <c r="D41" s="667">
        <v>0</v>
      </c>
      <c r="E41" s="667">
        <v>0</v>
      </c>
      <c r="F41" s="69">
        <v>12035260</v>
      </c>
      <c r="G41" s="667">
        <v>0</v>
      </c>
      <c r="H41" s="667">
        <v>0</v>
      </c>
      <c r="I41" s="667">
        <v>0</v>
      </c>
      <c r="J41" s="667">
        <v>12035260</v>
      </c>
      <c r="K41" s="667">
        <v>0</v>
      </c>
      <c r="L41" s="561"/>
      <c r="M41" s="561"/>
      <c r="N41" s="561"/>
      <c r="O41" s="561"/>
      <c r="P41" s="561"/>
      <c r="Q41" s="561"/>
      <c r="R41" s="561"/>
      <c r="S41" s="561"/>
      <c r="T41" s="561"/>
      <c r="U41" s="561"/>
      <c r="V41" s="561"/>
      <c r="W41" s="561"/>
      <c r="X41" s="561"/>
      <c r="Y41" s="561"/>
      <c r="Z41" s="561"/>
      <c r="AA41" s="561"/>
      <c r="AB41" s="574">
        <f t="shared" si="0"/>
        <v>0</v>
      </c>
    </row>
    <row r="42" spans="1:29" ht="23.25" customHeight="1">
      <c r="A42" s="665" t="s">
        <v>1108</v>
      </c>
      <c r="B42" s="666" t="s">
        <v>1142</v>
      </c>
      <c r="C42" s="685" t="s">
        <v>1143</v>
      </c>
      <c r="D42" s="667">
        <v>0</v>
      </c>
      <c r="E42" s="667">
        <v>0</v>
      </c>
      <c r="F42" s="69">
        <v>1930000</v>
      </c>
      <c r="G42" s="667">
        <v>0</v>
      </c>
      <c r="H42" s="667">
        <v>0</v>
      </c>
      <c r="I42" s="667">
        <v>0</v>
      </c>
      <c r="J42" s="667">
        <v>1930000</v>
      </c>
      <c r="K42" s="667">
        <v>0</v>
      </c>
      <c r="L42" s="561"/>
      <c r="M42" s="561"/>
      <c r="N42" s="561"/>
      <c r="O42" s="561"/>
      <c r="P42" s="561"/>
      <c r="Q42" s="561"/>
      <c r="R42" s="561"/>
      <c r="S42" s="561"/>
      <c r="T42" s="561"/>
      <c r="U42" s="561"/>
      <c r="V42" s="561"/>
      <c r="W42" s="561"/>
      <c r="X42" s="561"/>
      <c r="Y42" s="561"/>
      <c r="Z42" s="561"/>
      <c r="AA42" s="561"/>
      <c r="AB42" s="574">
        <f t="shared" si="0"/>
        <v>0</v>
      </c>
    </row>
    <row r="43" spans="1:29" ht="23.25" customHeight="1">
      <c r="A43" s="665" t="s">
        <v>1111</v>
      </c>
      <c r="B43" s="666" t="s">
        <v>1144</v>
      </c>
      <c r="C43" s="685" t="s">
        <v>1145</v>
      </c>
      <c r="D43" s="667">
        <v>0</v>
      </c>
      <c r="E43" s="667">
        <v>0</v>
      </c>
      <c r="F43" s="69">
        <v>4851000</v>
      </c>
      <c r="G43" s="667">
        <v>0</v>
      </c>
      <c r="H43" s="667">
        <v>0</v>
      </c>
      <c r="I43" s="667">
        <v>0</v>
      </c>
      <c r="J43" s="667">
        <v>4851000</v>
      </c>
      <c r="K43" s="667">
        <v>0</v>
      </c>
      <c r="L43" s="561"/>
      <c r="M43" s="561"/>
      <c r="N43" s="561"/>
      <c r="O43" s="561"/>
      <c r="P43" s="561"/>
      <c r="Q43" s="561"/>
      <c r="R43" s="561"/>
      <c r="S43" s="561"/>
      <c r="T43" s="561"/>
      <c r="U43" s="561"/>
      <c r="V43" s="561"/>
      <c r="W43" s="561"/>
      <c r="X43" s="561"/>
      <c r="Y43" s="561"/>
      <c r="Z43" s="561"/>
      <c r="AA43" s="561"/>
      <c r="AB43" s="574">
        <f t="shared" si="0"/>
        <v>0</v>
      </c>
    </row>
    <row r="44" spans="1:29" s="68" customFormat="1" ht="23.25" customHeight="1">
      <c r="A44" s="677" t="s">
        <v>1111</v>
      </c>
      <c r="B44" s="678" t="s">
        <v>1112</v>
      </c>
      <c r="C44" s="678" t="s">
        <v>1113</v>
      </c>
      <c r="D44" s="667">
        <v>0</v>
      </c>
      <c r="E44" s="667">
        <v>0</v>
      </c>
      <c r="F44" s="679">
        <v>1209800</v>
      </c>
      <c r="G44" s="667">
        <v>0</v>
      </c>
      <c r="H44" s="667">
        <v>0</v>
      </c>
      <c r="I44" s="667">
        <v>0</v>
      </c>
      <c r="J44" s="667">
        <v>1209800</v>
      </c>
      <c r="K44" s="667">
        <v>0</v>
      </c>
      <c r="L44" s="562">
        <f>10656800+737000</f>
        <v>11393800</v>
      </c>
      <c r="M44" s="562"/>
      <c r="N44" s="562"/>
      <c r="O44" s="562"/>
      <c r="P44" s="562">
        <v>791800</v>
      </c>
      <c r="Q44" s="562"/>
      <c r="R44" s="562"/>
      <c r="S44" s="562"/>
      <c r="T44" s="562"/>
      <c r="U44" s="562"/>
      <c r="V44" s="562"/>
      <c r="W44" s="562"/>
      <c r="X44" s="562"/>
      <c r="Y44" s="562"/>
      <c r="Z44" s="562">
        <v>418000</v>
      </c>
      <c r="AA44" s="562"/>
      <c r="AB44" s="574">
        <f t="shared" si="0"/>
        <v>1209800</v>
      </c>
    </row>
    <row r="45" spans="1:29" s="68" customFormat="1" ht="23.25" customHeight="1">
      <c r="A45" s="677" t="s">
        <v>1111</v>
      </c>
      <c r="B45" s="678" t="s">
        <v>1146</v>
      </c>
      <c r="C45" s="678" t="s">
        <v>1147</v>
      </c>
      <c r="D45" s="667">
        <v>0</v>
      </c>
      <c r="E45" s="667">
        <v>0</v>
      </c>
      <c r="F45" s="679">
        <v>109091</v>
      </c>
      <c r="G45" s="667">
        <v>0</v>
      </c>
      <c r="H45" s="667">
        <v>0</v>
      </c>
      <c r="I45" s="667">
        <v>0</v>
      </c>
      <c r="J45" s="667">
        <v>109091</v>
      </c>
      <c r="K45" s="667">
        <v>0</v>
      </c>
      <c r="L45" s="562"/>
      <c r="M45" s="562">
        <v>109091</v>
      </c>
      <c r="N45" s="562"/>
      <c r="O45" s="562"/>
      <c r="P45" s="562"/>
      <c r="Q45" s="562"/>
      <c r="R45" s="562"/>
      <c r="S45" s="562"/>
      <c r="T45" s="562"/>
      <c r="U45" s="562"/>
      <c r="V45" s="562"/>
      <c r="W45" s="562"/>
      <c r="X45" s="562"/>
      <c r="Y45" s="562"/>
      <c r="Z45" s="562"/>
      <c r="AA45" s="562"/>
      <c r="AB45" s="574">
        <f t="shared" si="0"/>
        <v>109091</v>
      </c>
    </row>
    <row r="46" spans="1:29" s="68" customFormat="1" ht="23.25" customHeight="1">
      <c r="A46" s="677" t="s">
        <v>1111</v>
      </c>
      <c r="B46" s="678" t="s">
        <v>1116</v>
      </c>
      <c r="C46" s="678" t="s">
        <v>1117</v>
      </c>
      <c r="D46" s="667">
        <v>0</v>
      </c>
      <c r="E46" s="667">
        <v>0</v>
      </c>
      <c r="F46" s="679">
        <v>4035000</v>
      </c>
      <c r="G46" s="667">
        <v>0</v>
      </c>
      <c r="H46" s="667">
        <v>0</v>
      </c>
      <c r="I46" s="667">
        <v>0</v>
      </c>
      <c r="J46" s="667">
        <v>4035000</v>
      </c>
      <c r="K46" s="667">
        <v>0</v>
      </c>
      <c r="L46" s="562">
        <f>1799080</f>
        <v>1799080</v>
      </c>
      <c r="M46" s="562"/>
      <c r="N46" s="562"/>
      <c r="O46" s="562"/>
      <c r="P46" s="562"/>
      <c r="Q46" s="562"/>
      <c r="R46" s="562"/>
      <c r="S46" s="562"/>
      <c r="T46" s="562"/>
      <c r="U46" s="562"/>
      <c r="V46" s="562"/>
      <c r="W46" s="562">
        <v>3547800</v>
      </c>
      <c r="X46" s="562"/>
      <c r="Y46" s="562"/>
      <c r="Z46" s="562">
        <v>487200</v>
      </c>
      <c r="AA46" s="562"/>
      <c r="AB46" s="574">
        <f t="shared" si="0"/>
        <v>4035000</v>
      </c>
    </row>
    <row r="47" spans="1:29" s="68" customFormat="1" ht="23.25" customHeight="1">
      <c r="A47" s="677" t="s">
        <v>1111</v>
      </c>
      <c r="B47" s="678" t="s">
        <v>1118</v>
      </c>
      <c r="C47" s="678" t="s">
        <v>1119</v>
      </c>
      <c r="D47" s="667">
        <v>0</v>
      </c>
      <c r="E47" s="667">
        <v>0</v>
      </c>
      <c r="F47" s="679">
        <v>142000</v>
      </c>
      <c r="G47" s="667">
        <v>0</v>
      </c>
      <c r="H47" s="667">
        <v>0</v>
      </c>
      <c r="I47" s="667">
        <v>0</v>
      </c>
      <c r="J47" s="667">
        <v>142000</v>
      </c>
      <c r="K47" s="667">
        <v>0</v>
      </c>
      <c r="L47" s="562">
        <v>557600</v>
      </c>
      <c r="M47" s="562"/>
      <c r="N47" s="562"/>
      <c r="O47" s="562"/>
      <c r="P47" s="562"/>
      <c r="Q47" s="562"/>
      <c r="R47" s="562"/>
      <c r="S47" s="562"/>
      <c r="T47" s="562"/>
      <c r="U47" s="562"/>
      <c r="V47" s="562"/>
      <c r="W47" s="562"/>
      <c r="X47" s="562"/>
      <c r="Y47" s="562"/>
      <c r="Z47" s="562">
        <v>142000</v>
      </c>
      <c r="AA47" s="562"/>
      <c r="AB47" s="574">
        <f t="shared" si="0"/>
        <v>142000</v>
      </c>
    </row>
    <row r="48" spans="1:29" s="68" customFormat="1" ht="23.25" customHeight="1">
      <c r="A48" s="677" t="s">
        <v>1111</v>
      </c>
      <c r="B48" s="678" t="s">
        <v>1120</v>
      </c>
      <c r="C48" s="678" t="s">
        <v>1121</v>
      </c>
      <c r="D48" s="667">
        <v>0</v>
      </c>
      <c r="E48" s="667">
        <v>0</v>
      </c>
      <c r="F48" s="679">
        <v>167200</v>
      </c>
      <c r="G48" s="667">
        <v>0</v>
      </c>
      <c r="H48" s="667">
        <v>0</v>
      </c>
      <c r="I48" s="667">
        <v>0</v>
      </c>
      <c r="J48" s="667">
        <v>167200</v>
      </c>
      <c r="K48" s="667">
        <v>0</v>
      </c>
      <c r="L48" s="562">
        <v>1460800</v>
      </c>
      <c r="M48" s="562"/>
      <c r="N48" s="562"/>
      <c r="O48" s="562"/>
      <c r="P48" s="562">
        <v>167200</v>
      </c>
      <c r="Q48" s="562"/>
      <c r="R48" s="562"/>
      <c r="S48" s="562"/>
      <c r="T48" s="562"/>
      <c r="U48" s="562"/>
      <c r="V48" s="562"/>
      <c r="W48" s="562"/>
      <c r="X48" s="562"/>
      <c r="Y48" s="562"/>
      <c r="Z48" s="562"/>
      <c r="AA48" s="562"/>
      <c r="AB48" s="574">
        <f t="shared" si="0"/>
        <v>167200</v>
      </c>
    </row>
    <row r="49" spans="1:28" ht="23.25" customHeight="1">
      <c r="A49" s="665" t="s">
        <v>1122</v>
      </c>
      <c r="B49" s="666" t="s">
        <v>1148</v>
      </c>
      <c r="C49" s="801" t="s">
        <v>1149</v>
      </c>
      <c r="D49" s="667">
        <v>0</v>
      </c>
      <c r="E49" s="667">
        <v>0</v>
      </c>
      <c r="F49" s="69">
        <v>4392377</v>
      </c>
      <c r="G49" s="667">
        <v>0</v>
      </c>
      <c r="H49" s="667">
        <v>0</v>
      </c>
      <c r="I49" s="667">
        <v>0</v>
      </c>
      <c r="J49" s="667">
        <v>4392377</v>
      </c>
      <c r="K49" s="667">
        <v>0</v>
      </c>
      <c r="L49" s="561"/>
      <c r="M49" s="561"/>
      <c r="N49" s="561"/>
      <c r="O49" s="561"/>
      <c r="P49" s="561"/>
      <c r="Q49" s="561"/>
      <c r="R49" s="561"/>
      <c r="S49" s="561"/>
      <c r="T49" s="561"/>
      <c r="U49" s="561"/>
      <c r="V49" s="561"/>
      <c r="W49" s="561"/>
      <c r="X49" s="561"/>
      <c r="Y49" s="561"/>
      <c r="Z49" s="561"/>
      <c r="AA49" s="561"/>
      <c r="AB49" s="574">
        <f t="shared" si="0"/>
        <v>0</v>
      </c>
    </row>
    <row r="50" spans="1:28" s="68" customFormat="1" ht="23.25" customHeight="1">
      <c r="A50" s="677" t="s">
        <v>1122</v>
      </c>
      <c r="B50" s="678" t="s">
        <v>1123</v>
      </c>
      <c r="C50" s="678" t="s">
        <v>1124</v>
      </c>
      <c r="D50" s="667">
        <v>0</v>
      </c>
      <c r="E50" s="667">
        <v>0</v>
      </c>
      <c r="F50" s="679">
        <v>9136700</v>
      </c>
      <c r="G50" s="667">
        <v>0</v>
      </c>
      <c r="H50" s="667">
        <v>0</v>
      </c>
      <c r="I50" s="667">
        <v>0</v>
      </c>
      <c r="J50" s="667">
        <v>9136700</v>
      </c>
      <c r="K50" s="667">
        <v>0</v>
      </c>
      <c r="L50" s="562">
        <f>5254200+12837440</f>
        <v>18091640</v>
      </c>
      <c r="M50" s="562"/>
      <c r="N50" s="562"/>
      <c r="O50" s="562"/>
      <c r="P50" s="562">
        <f>786700+3023800</f>
        <v>3810500</v>
      </c>
      <c r="Q50" s="562"/>
      <c r="R50" s="562"/>
      <c r="S50" s="562"/>
      <c r="T50" s="562"/>
      <c r="U50" s="562"/>
      <c r="V50" s="562">
        <v>3000000</v>
      </c>
      <c r="W50" s="562">
        <v>394200</v>
      </c>
      <c r="X50" s="562"/>
      <c r="Y50" s="562">
        <v>330000</v>
      </c>
      <c r="Z50" s="562">
        <f>1216800+385200</f>
        <v>1602000</v>
      </c>
      <c r="AA50" s="562"/>
      <c r="AB50" s="574">
        <f t="shared" si="0"/>
        <v>9136700</v>
      </c>
    </row>
    <row r="51" spans="1:28" ht="23.25" customHeight="1">
      <c r="A51" s="665" t="s">
        <v>1150</v>
      </c>
      <c r="B51" s="666" t="s">
        <v>1151</v>
      </c>
      <c r="C51" s="685" t="s">
        <v>1152</v>
      </c>
      <c r="D51" s="667">
        <v>0</v>
      </c>
      <c r="E51" s="667">
        <v>0</v>
      </c>
      <c r="F51" s="69">
        <v>400000</v>
      </c>
      <c r="G51" s="667">
        <v>0</v>
      </c>
      <c r="H51" s="667">
        <v>0</v>
      </c>
      <c r="I51" s="667">
        <v>0</v>
      </c>
      <c r="J51" s="667">
        <v>400000</v>
      </c>
      <c r="K51" s="667">
        <v>0</v>
      </c>
      <c r="L51" s="561"/>
      <c r="M51" s="561"/>
      <c r="N51" s="561"/>
      <c r="O51" s="561"/>
      <c r="P51" s="561"/>
      <c r="Q51" s="561"/>
      <c r="R51" s="561"/>
      <c r="S51" s="561"/>
      <c r="T51" s="561"/>
      <c r="U51" s="561"/>
      <c r="V51" s="561"/>
      <c r="W51" s="561"/>
      <c r="X51" s="561"/>
      <c r="Y51" s="561"/>
      <c r="Z51" s="561"/>
      <c r="AA51" s="561"/>
      <c r="AB51" s="574">
        <f t="shared" si="0"/>
        <v>0</v>
      </c>
    </row>
    <row r="52" spans="1:28" ht="23.25" customHeight="1">
      <c r="A52" s="665" t="s">
        <v>1150</v>
      </c>
      <c r="B52" s="666" t="s">
        <v>1153</v>
      </c>
      <c r="C52" s="685" t="s">
        <v>1154</v>
      </c>
      <c r="D52" s="667">
        <v>0</v>
      </c>
      <c r="E52" s="667">
        <v>0</v>
      </c>
      <c r="F52" s="69">
        <v>9225000</v>
      </c>
      <c r="G52" s="667">
        <v>0</v>
      </c>
      <c r="H52" s="667">
        <v>0</v>
      </c>
      <c r="I52" s="667">
        <v>0</v>
      </c>
      <c r="J52" s="667">
        <v>9225000</v>
      </c>
      <c r="K52" s="667">
        <v>0</v>
      </c>
      <c r="L52" s="561"/>
      <c r="M52" s="561"/>
      <c r="N52" s="561"/>
      <c r="O52" s="561"/>
      <c r="P52" s="561"/>
      <c r="Q52" s="561"/>
      <c r="R52" s="561"/>
      <c r="S52" s="561"/>
      <c r="T52" s="561"/>
      <c r="U52" s="561"/>
      <c r="V52" s="561"/>
      <c r="W52" s="561"/>
      <c r="X52" s="561"/>
      <c r="Y52" s="561"/>
      <c r="Z52" s="561"/>
      <c r="AA52" s="561"/>
      <c r="AB52" s="574">
        <f t="shared" si="0"/>
        <v>0</v>
      </c>
    </row>
    <row r="53" spans="1:28" s="68" customFormat="1">
      <c r="A53" s="677" t="s">
        <v>1155</v>
      </c>
      <c r="B53" s="678" t="s">
        <v>1156</v>
      </c>
      <c r="C53" s="678" t="s">
        <v>1157</v>
      </c>
      <c r="D53" s="667">
        <v>0</v>
      </c>
      <c r="E53" s="667">
        <v>0</v>
      </c>
      <c r="F53" s="679">
        <v>2864400</v>
      </c>
      <c r="G53" s="667">
        <v>0</v>
      </c>
      <c r="H53" s="667">
        <v>0</v>
      </c>
      <c r="I53" s="667">
        <v>0</v>
      </c>
      <c r="J53" s="667">
        <v>2864400</v>
      </c>
      <c r="K53" s="667">
        <v>0</v>
      </c>
      <c r="L53" s="562">
        <f>0</f>
        <v>0</v>
      </c>
      <c r="M53" s="562"/>
      <c r="N53" s="562">
        <v>2200000</v>
      </c>
      <c r="O53" s="562"/>
      <c r="P53" s="562">
        <v>167200</v>
      </c>
      <c r="Q53" s="562"/>
      <c r="R53" s="562"/>
      <c r="S53" s="562"/>
      <c r="T53" s="562">
        <v>110000</v>
      </c>
      <c r="U53" s="562"/>
      <c r="V53" s="562"/>
      <c r="W53" s="562"/>
      <c r="X53" s="562"/>
      <c r="Y53" s="562"/>
      <c r="Z53" s="562">
        <v>387200</v>
      </c>
      <c r="AA53" s="562"/>
      <c r="AB53" s="574">
        <f t="shared" si="0"/>
        <v>2864400</v>
      </c>
    </row>
    <row r="54" spans="1:28">
      <c r="A54" s="671" t="s">
        <v>404</v>
      </c>
      <c r="B54" s="675"/>
      <c r="C54" s="672"/>
      <c r="D54" s="667">
        <v>76355218</v>
      </c>
      <c r="E54" s="667">
        <v>0</v>
      </c>
      <c r="F54" s="667">
        <v>63832128</v>
      </c>
      <c r="G54" s="667">
        <v>0</v>
      </c>
      <c r="H54" s="667">
        <v>76355218</v>
      </c>
      <c r="I54" s="667">
        <v>0</v>
      </c>
      <c r="J54" s="667">
        <v>63832128</v>
      </c>
      <c r="K54" s="667">
        <v>0</v>
      </c>
      <c r="L54" s="64">
        <f>SUM(L33:L53)</f>
        <v>38613320</v>
      </c>
      <c r="M54" s="64">
        <f t="shared" ref="M54:AB54" si="1">SUM(M33:M53)</f>
        <v>109091</v>
      </c>
      <c r="N54" s="64">
        <f t="shared" si="1"/>
        <v>2200000</v>
      </c>
      <c r="O54" s="64">
        <f t="shared" si="1"/>
        <v>0</v>
      </c>
      <c r="P54" s="64">
        <f t="shared" si="1"/>
        <v>5223400</v>
      </c>
      <c r="Q54" s="64">
        <f t="shared" si="1"/>
        <v>0</v>
      </c>
      <c r="R54" s="64">
        <f t="shared" si="1"/>
        <v>0</v>
      </c>
      <c r="S54" s="64">
        <f t="shared" si="1"/>
        <v>0</v>
      </c>
      <c r="T54" s="64">
        <f t="shared" si="1"/>
        <v>110000</v>
      </c>
      <c r="U54" s="64">
        <f t="shared" si="1"/>
        <v>0</v>
      </c>
      <c r="V54" s="64">
        <f t="shared" si="1"/>
        <v>3000000</v>
      </c>
      <c r="W54" s="64">
        <f t="shared" si="1"/>
        <v>4336000</v>
      </c>
      <c r="X54" s="64">
        <f t="shared" si="1"/>
        <v>0</v>
      </c>
      <c r="Y54" s="64">
        <f t="shared" si="1"/>
        <v>330000</v>
      </c>
      <c r="Z54" s="64">
        <f t="shared" si="1"/>
        <v>3373200</v>
      </c>
      <c r="AA54" s="64">
        <f t="shared" si="1"/>
        <v>0</v>
      </c>
      <c r="AB54" s="64">
        <f t="shared" si="1"/>
        <v>18681691</v>
      </c>
    </row>
    <row r="55" spans="1:28">
      <c r="A55" s="671" t="s">
        <v>257</v>
      </c>
      <c r="B55" s="675"/>
      <c r="C55" s="672"/>
      <c r="D55" s="667">
        <v>76355218</v>
      </c>
      <c r="E55" s="667">
        <v>0</v>
      </c>
      <c r="F55" s="667">
        <v>63832128</v>
      </c>
      <c r="G55" s="667">
        <v>0</v>
      </c>
      <c r="H55" s="667">
        <v>76355218</v>
      </c>
      <c r="I55" s="667">
        <v>0</v>
      </c>
      <c r="J55" s="667">
        <v>63832128</v>
      </c>
      <c r="K55" s="667">
        <v>0</v>
      </c>
      <c r="L55" s="561"/>
      <c r="M55" s="561"/>
      <c r="N55" s="561"/>
      <c r="O55" s="561"/>
      <c r="P55" s="561"/>
      <c r="Q55" s="561"/>
      <c r="R55" s="561"/>
      <c r="S55" s="561"/>
      <c r="T55" s="561"/>
      <c r="U55" s="561"/>
      <c r="V55" s="561"/>
      <c r="W55" s="561"/>
      <c r="X55" s="561"/>
      <c r="Y55" s="561"/>
      <c r="Z55" s="561"/>
      <c r="AA55" s="561"/>
      <c r="AB55" s="64"/>
    </row>
    <row r="56" spans="1:28">
      <c r="A56" s="671" t="s">
        <v>258</v>
      </c>
      <c r="B56" s="675"/>
      <c r="C56" s="672"/>
      <c r="D56" s="667">
        <v>76355218</v>
      </c>
      <c r="E56" s="667">
        <v>0</v>
      </c>
      <c r="F56" s="667">
        <v>63832128</v>
      </c>
      <c r="G56" s="667">
        <v>0</v>
      </c>
      <c r="H56" s="667">
        <v>76355218</v>
      </c>
      <c r="I56" s="667">
        <v>0</v>
      </c>
      <c r="J56" s="667">
        <v>63832128</v>
      </c>
      <c r="K56" s="667">
        <v>0</v>
      </c>
    </row>
    <row r="57" spans="1:28">
      <c r="L57" s="71">
        <f>SUM(L33:L53)</f>
        <v>38613320</v>
      </c>
      <c r="M57" s="71">
        <f t="shared" ref="M57:AB57" si="2">SUM(M33:M53)</f>
        <v>109091</v>
      </c>
      <c r="N57" s="71">
        <f t="shared" si="2"/>
        <v>2200000</v>
      </c>
      <c r="O57" s="71">
        <f t="shared" si="2"/>
        <v>0</v>
      </c>
      <c r="P57" s="71">
        <f t="shared" si="2"/>
        <v>5223400</v>
      </c>
      <c r="Q57" s="66">
        <f t="shared" si="2"/>
        <v>0</v>
      </c>
      <c r="R57" s="66">
        <f t="shared" si="2"/>
        <v>0</v>
      </c>
      <c r="S57" s="66">
        <f t="shared" si="2"/>
        <v>0</v>
      </c>
      <c r="T57" s="71">
        <f t="shared" si="2"/>
        <v>110000</v>
      </c>
      <c r="U57" s="66">
        <f t="shared" si="2"/>
        <v>0</v>
      </c>
      <c r="V57" s="71">
        <f t="shared" si="2"/>
        <v>3000000</v>
      </c>
      <c r="W57" s="71">
        <f t="shared" si="2"/>
        <v>4336000</v>
      </c>
      <c r="X57" s="66">
        <f t="shared" si="2"/>
        <v>0</v>
      </c>
      <c r="Y57" s="71">
        <f t="shared" si="2"/>
        <v>330000</v>
      </c>
      <c r="Z57" s="71">
        <f t="shared" si="2"/>
        <v>3373200</v>
      </c>
      <c r="AA57" s="66">
        <f t="shared" si="2"/>
        <v>0</v>
      </c>
      <c r="AB57" s="71">
        <f t="shared" si="2"/>
        <v>18681691</v>
      </c>
    </row>
    <row r="58" spans="1:28">
      <c r="F58" s="183">
        <f>F33+F44+F45+F46+F47+F48+F50+F53</f>
        <v>18681691</v>
      </c>
      <c r="J58" s="676" t="s">
        <v>1125</v>
      </c>
    </row>
    <row r="59" spans="1:28">
      <c r="C59" s="669" t="s">
        <v>248</v>
      </c>
      <c r="F59" s="67">
        <f>'338888_TV'!H19</f>
        <v>41168920</v>
      </c>
      <c r="J59" s="669" t="s">
        <v>249</v>
      </c>
      <c r="T59" s="66">
        <f>L57+AB57</f>
        <v>57295011</v>
      </c>
    </row>
    <row r="60" spans="1:28">
      <c r="C60" s="669" t="s">
        <v>250</v>
      </c>
      <c r="F60" s="67">
        <f>F58+F59</f>
        <v>59850611</v>
      </c>
      <c r="J60" s="669" t="s">
        <v>251</v>
      </c>
      <c r="T60" s="67">
        <f>T59+F40</f>
        <v>59569811</v>
      </c>
    </row>
    <row r="61" spans="1:28">
      <c r="L61" s="96">
        <f>L33+L40+L44+L45+L46+L47+L48+L50+L53</f>
        <v>38613320</v>
      </c>
      <c r="M61" s="96">
        <f t="shared" ref="M61:AB61" si="3">M33+M40+M44+M45+M46+M47+M48+M50+M53</f>
        <v>109091</v>
      </c>
      <c r="N61" s="96">
        <f t="shared" si="3"/>
        <v>2200000</v>
      </c>
      <c r="O61" s="96">
        <f t="shared" si="3"/>
        <v>0</v>
      </c>
      <c r="P61" s="96">
        <f t="shared" si="3"/>
        <v>5223400</v>
      </c>
      <c r="Q61" s="96">
        <f t="shared" si="3"/>
        <v>0</v>
      </c>
      <c r="R61" s="96">
        <f t="shared" si="3"/>
        <v>0</v>
      </c>
      <c r="S61" s="96">
        <f t="shared" si="3"/>
        <v>0</v>
      </c>
      <c r="T61" s="96">
        <f t="shared" si="3"/>
        <v>110000</v>
      </c>
      <c r="U61" s="96">
        <f t="shared" si="3"/>
        <v>0</v>
      </c>
      <c r="V61" s="96">
        <f t="shared" si="3"/>
        <v>3000000</v>
      </c>
      <c r="W61" s="96">
        <f t="shared" si="3"/>
        <v>4336000</v>
      </c>
      <c r="X61" s="96">
        <f t="shared" si="3"/>
        <v>0</v>
      </c>
      <c r="Y61" s="96">
        <f t="shared" si="3"/>
        <v>330000</v>
      </c>
      <c r="Z61" s="96">
        <f t="shared" si="3"/>
        <v>3373200</v>
      </c>
      <c r="AA61" s="96">
        <f t="shared" si="3"/>
        <v>0</v>
      </c>
      <c r="AB61" s="96">
        <f t="shared" si="3"/>
        <v>18681691</v>
      </c>
    </row>
    <row r="62" spans="1:28">
      <c r="T62" s="67"/>
    </row>
    <row r="63" spans="1:28">
      <c r="AB63" s="64">
        <f>AB61+L61</f>
        <v>57295011</v>
      </c>
    </row>
    <row r="64" spans="1:28">
      <c r="F64" s="67">
        <f>F56-F40</f>
        <v>61557328</v>
      </c>
      <c r="AB64" s="64">
        <v>59850611</v>
      </c>
    </row>
    <row r="65" spans="1:28">
      <c r="C65" s="669" t="s">
        <v>252</v>
      </c>
      <c r="J65" s="669" t="s">
        <v>253</v>
      </c>
      <c r="AB65" s="64">
        <f>AB64-AB63</f>
        <v>2555600</v>
      </c>
    </row>
    <row r="66" spans="1:28" ht="30" customHeight="1">
      <c r="A66" s="20" t="s">
        <v>1108</v>
      </c>
      <c r="B66" s="20" t="s">
        <v>1158</v>
      </c>
      <c r="C66" s="681" t="s">
        <v>1159</v>
      </c>
      <c r="D66">
        <v>0</v>
      </c>
      <c r="E66">
        <v>0</v>
      </c>
      <c r="F66" s="682"/>
      <c r="G66">
        <v>0</v>
      </c>
      <c r="H66">
        <v>0</v>
      </c>
      <c r="I66">
        <v>0</v>
      </c>
      <c r="J66">
        <v>198000</v>
      </c>
      <c r="K66">
        <v>0</v>
      </c>
      <c r="AB66" s="64"/>
    </row>
  </sheetData>
  <autoFilter ref="A9:AC61">
    <filterColumn colId="5">
      <filters blank="1">
        <filter val="1,017,500"/>
        <filter val="1,209,800"/>
        <filter val="1,710,000"/>
        <filter val="1,930,000"/>
        <filter val="109,091"/>
        <filter val="12,035,260"/>
        <filter val="142,000"/>
        <filter val="167,200"/>
        <filter val="18,681,691"/>
        <filter val="2,274,800"/>
        <filter val="2,864,400"/>
        <filter val="3,100,000"/>
        <filter val="3,760,000"/>
        <filter val="327,000"/>
        <filter val="4,035,000"/>
        <filter val="4,392,377"/>
        <filter val="4,851,000"/>
        <filter val="400,000"/>
        <filter val="41,168,920"/>
        <filter val="520,000"/>
        <filter val="59,850,611"/>
        <filter val="625,000"/>
        <filter val="63,832,128"/>
        <filter val="9,136,700"/>
        <filter val="9,225,000"/>
      </filters>
    </filterColumn>
  </autoFilter>
  <pageMargins left="0.2" right="0.2" top="0.2" bottom="0.2" header="0.3" footer="0.3"/>
  <pageSetup paperSize="9" scale="85" orientation="landscape"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J30"/>
  <sheetViews>
    <sheetView workbookViewId="0">
      <selection activeCell="D19" sqref="D19"/>
    </sheetView>
  </sheetViews>
  <sheetFormatPr defaultRowHeight="15"/>
  <cols>
    <col min="3" max="3" width="17.85546875" bestFit="1" customWidth="1"/>
    <col min="4" max="4" width="13.28515625" style="561" bestFit="1" customWidth="1"/>
    <col min="5" max="5" width="20.42578125" customWidth="1"/>
    <col min="6" max="6" width="14.85546875" customWidth="1"/>
    <col min="7" max="7" width="10.42578125" customWidth="1"/>
    <col min="8" max="8" width="15.140625" customWidth="1"/>
    <col min="9" max="9" width="11.140625" customWidth="1"/>
    <col min="10" max="10" width="14.85546875" customWidth="1"/>
    <col min="11" max="11" width="13.85546875" customWidth="1"/>
    <col min="12" max="13" width="14.5703125" customWidth="1"/>
    <col min="14" max="14" width="12.140625" customWidth="1"/>
    <col min="18" max="18" width="10.7109375" customWidth="1"/>
    <col min="19" max="19" width="11.85546875" customWidth="1"/>
    <col min="22" max="25" width="11.42578125" customWidth="1"/>
    <col min="26" max="26" width="15" customWidth="1"/>
    <col min="27" max="28" width="11.42578125" customWidth="1"/>
    <col min="35" max="35" width="15.42578125" customWidth="1"/>
  </cols>
  <sheetData>
    <row r="3" spans="1:36" ht="16.5" customHeight="1">
      <c r="A3" s="623" t="s">
        <v>1098</v>
      </c>
      <c r="D3"/>
    </row>
    <row r="4" spans="1:36">
      <c r="D4"/>
      <c r="V4" t="s">
        <v>1099</v>
      </c>
      <c r="W4" t="s">
        <v>1099</v>
      </c>
      <c r="X4" t="s">
        <v>1099</v>
      </c>
    </row>
    <row r="5" spans="1:36" ht="47.25">
      <c r="A5" s="564" t="s">
        <v>1100</v>
      </c>
      <c r="B5" s="564"/>
      <c r="C5" s="564"/>
      <c r="D5" s="564" t="s">
        <v>976</v>
      </c>
      <c r="E5" s="564" t="s">
        <v>976</v>
      </c>
      <c r="F5" s="564" t="s">
        <v>976</v>
      </c>
      <c r="G5" s="564"/>
      <c r="H5" s="564" t="s">
        <v>977</v>
      </c>
      <c r="I5" s="564" t="s">
        <v>978</v>
      </c>
      <c r="J5" s="564" t="s">
        <v>979</v>
      </c>
      <c r="K5" s="564" t="s">
        <v>980</v>
      </c>
      <c r="L5" s="564" t="s">
        <v>981</v>
      </c>
      <c r="M5" s="564" t="s">
        <v>982</v>
      </c>
      <c r="N5" s="564" t="s">
        <v>983</v>
      </c>
      <c r="O5" s="564" t="s">
        <v>984</v>
      </c>
      <c r="P5" s="564" t="s">
        <v>985</v>
      </c>
      <c r="Q5" s="564" t="s">
        <v>986</v>
      </c>
      <c r="R5" s="564" t="s">
        <v>987</v>
      </c>
      <c r="S5" s="564" t="s">
        <v>988</v>
      </c>
      <c r="T5" s="564"/>
      <c r="U5" s="564"/>
      <c r="V5" s="564" t="s">
        <v>509</v>
      </c>
      <c r="W5" s="564" t="s">
        <v>989</v>
      </c>
      <c r="X5" s="564" t="s">
        <v>990</v>
      </c>
      <c r="Y5" s="564" t="s">
        <v>991</v>
      </c>
      <c r="Z5" s="564" t="s">
        <v>506</v>
      </c>
      <c r="AA5" s="565" t="s">
        <v>507</v>
      </c>
      <c r="AB5" s="564" t="s">
        <v>992</v>
      </c>
      <c r="AC5" s="564"/>
      <c r="AD5" s="564"/>
      <c r="AE5" s="564"/>
      <c r="AF5" s="564"/>
      <c r="AG5" s="564"/>
      <c r="AH5" s="564"/>
      <c r="AI5" s="564"/>
    </row>
    <row r="6" spans="1:36" ht="82.5">
      <c r="A6" s="624" t="s">
        <v>0</v>
      </c>
      <c r="B6" s="624" t="s">
        <v>632</v>
      </c>
      <c r="C6" s="624" t="s">
        <v>1106</v>
      </c>
      <c r="D6" s="625" t="s">
        <v>1030</v>
      </c>
      <c r="E6" s="625" t="s">
        <v>1031</v>
      </c>
      <c r="F6" s="625" t="s">
        <v>1032</v>
      </c>
      <c r="G6" s="626" t="s">
        <v>1006</v>
      </c>
      <c r="H6" s="626" t="s">
        <v>1007</v>
      </c>
      <c r="I6" s="626" t="s">
        <v>1008</v>
      </c>
      <c r="J6" s="626" t="s">
        <v>1009</v>
      </c>
      <c r="K6" s="626" t="s">
        <v>1010</v>
      </c>
      <c r="L6" s="626" t="s">
        <v>1011</v>
      </c>
      <c r="M6" s="626" t="s">
        <v>1012</v>
      </c>
      <c r="N6" s="626" t="s">
        <v>1013</v>
      </c>
      <c r="O6" s="626" t="s">
        <v>1014</v>
      </c>
      <c r="P6" s="626" t="s">
        <v>1015</v>
      </c>
      <c r="Q6" s="625" t="s">
        <v>1033</v>
      </c>
      <c r="R6" s="625" t="s">
        <v>1034</v>
      </c>
      <c r="S6" s="625" t="s">
        <v>1035</v>
      </c>
      <c r="T6" s="626" t="s">
        <v>1017</v>
      </c>
      <c r="U6" s="626" t="s">
        <v>1018</v>
      </c>
      <c r="V6" s="626" t="s">
        <v>1019</v>
      </c>
      <c r="W6" s="626" t="s">
        <v>1020</v>
      </c>
      <c r="X6" s="626" t="s">
        <v>1021</v>
      </c>
      <c r="Y6" s="625" t="s">
        <v>1036</v>
      </c>
      <c r="Z6" s="625" t="s">
        <v>1037</v>
      </c>
      <c r="AA6" s="625" t="s">
        <v>1038</v>
      </c>
      <c r="AB6" s="625" t="s">
        <v>1039</v>
      </c>
      <c r="AC6" s="626" t="s">
        <v>1023</v>
      </c>
      <c r="AD6" s="626" t="s">
        <v>1024</v>
      </c>
      <c r="AE6" s="626" t="s">
        <v>1025</v>
      </c>
      <c r="AF6" s="626" t="s">
        <v>1026</v>
      </c>
      <c r="AG6" s="626" t="s">
        <v>1027</v>
      </c>
      <c r="AH6" s="626" t="s">
        <v>1028</v>
      </c>
      <c r="AI6" s="627" t="s">
        <v>676</v>
      </c>
    </row>
    <row r="7" spans="1:36" ht="16.5">
      <c r="A7" s="628">
        <v>1</v>
      </c>
      <c r="B7" s="629" t="s">
        <v>15</v>
      </c>
      <c r="C7" s="637">
        <v>8076192</v>
      </c>
      <c r="D7" s="619">
        <f>$C7*'tỷ lệ dt'!C47</f>
        <v>0</v>
      </c>
      <c r="E7" s="619">
        <f>$C7*'tỷ lệ dt'!D47</f>
        <v>926429.49139139976</v>
      </c>
      <c r="F7" s="619">
        <f>$C7*'tỷ lệ dt'!E47</f>
        <v>67581.333237413608</v>
      </c>
      <c r="G7" s="619">
        <f>$C7*'tỷ lệ dt'!F47</f>
        <v>0</v>
      </c>
      <c r="H7" s="619">
        <f>$C7*'tỷ lệ dt'!G47</f>
        <v>0</v>
      </c>
      <c r="I7" s="619">
        <f>$C7*'tỷ lệ dt'!H47</f>
        <v>0</v>
      </c>
      <c r="J7" s="619">
        <f>$C7*'tỷ lệ dt'!I47</f>
        <v>4193556.771314241</v>
      </c>
      <c r="K7" s="619">
        <f>$C7*'tỷ lệ dt'!J47</f>
        <v>2888624.4040569458</v>
      </c>
      <c r="L7" s="619">
        <f>$C7*'tỷ lệ dt'!K47</f>
        <v>0</v>
      </c>
      <c r="M7" s="619">
        <f>$C7*'tỷ lệ dt'!L47</f>
        <v>0</v>
      </c>
      <c r="N7" s="619">
        <f>$C7*'tỷ lệ dt'!M47</f>
        <v>0</v>
      </c>
      <c r="O7" s="619">
        <f>$C7*'tỷ lệ dt'!N47</f>
        <v>0</v>
      </c>
      <c r="P7" s="619">
        <f>$C7*'tỷ lệ dt'!O47</f>
        <v>0</v>
      </c>
      <c r="Q7" s="619">
        <f>$C7*'tỷ lệ dt'!P47</f>
        <v>0</v>
      </c>
      <c r="R7" s="619">
        <f>$C7*'tỷ lệ dt'!Q47</f>
        <v>0</v>
      </c>
      <c r="S7" s="619">
        <f>$C7*'tỷ lệ dt'!R47</f>
        <v>0</v>
      </c>
      <c r="T7" s="619">
        <f>$C7*'tỷ lệ dt'!S47</f>
        <v>0</v>
      </c>
      <c r="U7" s="619">
        <f>$C7*'tỷ lệ dt'!T47</f>
        <v>0</v>
      </c>
      <c r="V7" s="619">
        <f>$C7*'tỷ lệ dt'!U47</f>
        <v>0</v>
      </c>
      <c r="W7" s="619">
        <f>$C7*'tỷ lệ dt'!V47</f>
        <v>0</v>
      </c>
      <c r="X7" s="619">
        <f>$C7*'tỷ lệ dt'!W47</f>
        <v>0</v>
      </c>
      <c r="Y7" s="619">
        <f>$C7*'tỷ lệ dt'!X47</f>
        <v>0</v>
      </c>
      <c r="Z7" s="619">
        <f>$C7*'tỷ lệ dt'!Y47</f>
        <v>0</v>
      </c>
      <c r="AA7" s="619">
        <f>$C7*'tỷ lệ dt'!Z47</f>
        <v>0</v>
      </c>
      <c r="AB7" s="619">
        <f>$C7*'tỷ lệ dt'!AA47</f>
        <v>0</v>
      </c>
      <c r="AC7" s="619">
        <f>$C7*'tỷ lệ dt'!AB47</f>
        <v>0</v>
      </c>
      <c r="AD7" s="619">
        <f>$C7*'tỷ lệ dt'!AC47</f>
        <v>0</v>
      </c>
      <c r="AE7" s="619">
        <f>$C7*'tỷ lệ dt'!AD47</f>
        <v>0</v>
      </c>
      <c r="AF7" s="619">
        <f>$C7*'tỷ lệ dt'!AE47</f>
        <v>0</v>
      </c>
      <c r="AG7" s="619">
        <f>$C7*'tỷ lệ dt'!AF47</f>
        <v>0</v>
      </c>
      <c r="AH7" s="619">
        <f>$C7*'tỷ lệ dt'!AG47</f>
        <v>0</v>
      </c>
      <c r="AI7" s="630">
        <f>SUM(D7:AH7)</f>
        <v>8076192</v>
      </c>
    </row>
    <row r="8" spans="1:36" ht="16.5">
      <c r="A8" s="628">
        <v>2</v>
      </c>
      <c r="B8" s="629" t="s">
        <v>23</v>
      </c>
      <c r="C8" s="637">
        <v>17269596.5</v>
      </c>
      <c r="D8" s="619">
        <f>$C8*'tỷ lệ dt'!C48</f>
        <v>2672878.5436302014</v>
      </c>
      <c r="E8" s="619">
        <f>$C8*'tỷ lệ dt'!D48</f>
        <v>7286796.5495416578</v>
      </c>
      <c r="F8" s="619">
        <f>$C8*'tỷ lệ dt'!E48</f>
        <v>40848.027417947196</v>
      </c>
      <c r="G8" s="619">
        <f>$C8*'tỷ lệ dt'!F48</f>
        <v>0</v>
      </c>
      <c r="H8" s="619">
        <f>$C8*'tỷ lệ dt'!G48</f>
        <v>5176743.6443727771</v>
      </c>
      <c r="I8" s="619">
        <f>$C8*'tỷ lệ dt'!H48</f>
        <v>0</v>
      </c>
      <c r="J8" s="619">
        <f>$C8*'tỷ lệ dt'!I48</f>
        <v>1023485.6562136081</v>
      </c>
      <c r="K8" s="619">
        <f>$C8*'tỷ lệ dt'!J48</f>
        <v>0</v>
      </c>
      <c r="L8" s="619">
        <f>$C8*'tỷ lệ dt'!K48</f>
        <v>636293.32929615816</v>
      </c>
      <c r="M8" s="619">
        <f>$C8*'tỷ lệ dt'!L48</f>
        <v>260007.29566113467</v>
      </c>
      <c r="N8" s="619">
        <f>$C8*'tỷ lệ dt'!M48</f>
        <v>0</v>
      </c>
      <c r="O8" s="619">
        <f>$C8*'tỷ lệ dt'!N48</f>
        <v>966.52028009856849</v>
      </c>
      <c r="P8" s="619">
        <f>$C8*'tỷ lệ dt'!O48</f>
        <v>51872.302347184195</v>
      </c>
      <c r="Q8" s="619">
        <f>$C8*'tỷ lệ dt'!P48</f>
        <v>0</v>
      </c>
      <c r="R8" s="619">
        <f>$C8*'tỷ lệ dt'!Q48</f>
        <v>0</v>
      </c>
      <c r="S8" s="619">
        <f>$C8*'tỷ lệ dt'!R48</f>
        <v>0</v>
      </c>
      <c r="T8" s="619">
        <f>$C8*'tỷ lệ dt'!S48</f>
        <v>0</v>
      </c>
      <c r="U8" s="619">
        <f>$C8*'tỷ lệ dt'!T48</f>
        <v>0</v>
      </c>
      <c r="V8" s="619">
        <f>$C8*'tỷ lệ dt'!U48</f>
        <v>28705.99679088897</v>
      </c>
      <c r="W8" s="619">
        <f>$C8*'tỷ lệ dt'!V48</f>
        <v>8197.7974304007585</v>
      </c>
      <c r="X8" s="619">
        <f>$C8*'tỷ lệ dt'!W48</f>
        <v>18181.434790602707</v>
      </c>
      <c r="Y8" s="619">
        <f>$C8*'tỷ lệ dt'!X48</f>
        <v>42009.684685119835</v>
      </c>
      <c r="Z8" s="619">
        <f>$C8*'tỷ lệ dt'!Y48</f>
        <v>14673.282896676164</v>
      </c>
      <c r="AA8" s="619">
        <f>$C8*'tỷ lệ dt'!Z48</f>
        <v>4658.6829293800429</v>
      </c>
      <c r="AB8" s="619">
        <f>$C8*'tỷ lệ dt'!AA48</f>
        <v>3277.7517161650044</v>
      </c>
      <c r="AC8" s="619">
        <f>$C8*'tỷ lệ dt'!AB48</f>
        <v>0</v>
      </c>
      <c r="AD8" s="619">
        <f>$C8*'tỷ lệ dt'!AC48</f>
        <v>0</v>
      </c>
      <c r="AE8" s="619">
        <f>$C8*'tỷ lệ dt'!AD48</f>
        <v>0</v>
      </c>
      <c r="AF8" s="619">
        <f>$C8*'tỷ lệ dt'!AE48</f>
        <v>0</v>
      </c>
      <c r="AG8" s="619">
        <f>$C8*'tỷ lệ dt'!AF48</f>
        <v>0</v>
      </c>
      <c r="AH8" s="619">
        <f>$C8*'tỷ lệ dt'!AG48</f>
        <v>0</v>
      </c>
      <c r="AI8" s="630">
        <f t="shared" ref="AI8:AI17" si="0">SUM(D8:AH8)</f>
        <v>17269596.500000004</v>
      </c>
    </row>
    <row r="9" spans="1:36" ht="16.5">
      <c r="A9" s="628">
        <v>3</v>
      </c>
      <c r="B9" s="629" t="s">
        <v>42</v>
      </c>
      <c r="C9" s="637">
        <v>17013892</v>
      </c>
      <c r="D9" s="619">
        <f>$C9*'tỷ lệ dt'!C49</f>
        <v>1036410.4893707521</v>
      </c>
      <c r="E9" s="619">
        <f>$C9*'tỷ lệ dt'!D49</f>
        <v>4485699.8339756485</v>
      </c>
      <c r="F9" s="619">
        <f>$C9*'tỷ lệ dt'!E49</f>
        <v>35313.313861107024</v>
      </c>
      <c r="G9" s="619">
        <f>$C9*'tỷ lệ dt'!F49</f>
        <v>0</v>
      </c>
      <c r="H9" s="619">
        <f>$C9*'tỷ lệ dt'!G49</f>
        <v>7872141.713808801</v>
      </c>
      <c r="I9" s="619">
        <f>$C9*'tỷ lệ dt'!H49</f>
        <v>0</v>
      </c>
      <c r="J9" s="619">
        <f>$C9*'tỷ lệ dt'!I49</f>
        <v>2471691.5759714618</v>
      </c>
      <c r="K9" s="619">
        <f>$C9*'tỷ lệ dt'!J49</f>
        <v>0</v>
      </c>
      <c r="L9" s="619">
        <f>$C9*'tỷ lệ dt'!K49</f>
        <v>171807.1647475221</v>
      </c>
      <c r="M9" s="619">
        <f>$C9*'tỷ lệ dt'!L49</f>
        <v>12131.646088215512</v>
      </c>
      <c r="N9" s="619">
        <f>$C9*'tỷ lệ dt'!M49</f>
        <v>0</v>
      </c>
      <c r="O9" s="619">
        <f>$C9*'tỷ lệ dt'!N49</f>
        <v>1379.5105668389062</v>
      </c>
      <c r="P9" s="619">
        <f>$C9*'tỷ lệ dt'!O49</f>
        <v>18552.282895808949</v>
      </c>
      <c r="Q9" s="619">
        <f>$C9*'tỷ lệ dt'!P49</f>
        <v>0</v>
      </c>
      <c r="R9" s="619">
        <f>$C9*'tỷ lệ dt'!Q49</f>
        <v>0</v>
      </c>
      <c r="S9" s="619">
        <f>$C9*'tỷ lệ dt'!R49</f>
        <v>0</v>
      </c>
      <c r="T9" s="619">
        <f>$C9*'tỷ lệ dt'!S49</f>
        <v>0</v>
      </c>
      <c r="U9" s="619">
        <f>$C9*'tỷ lệ dt'!T49</f>
        <v>0</v>
      </c>
      <c r="V9" s="619">
        <f>$C9*'tỷ lệ dt'!U49</f>
        <v>57910.59542139183</v>
      </c>
      <c r="W9" s="619">
        <f>$C9*'tỷ lệ dt'!V49</f>
        <v>683721.18053276557</v>
      </c>
      <c r="X9" s="619">
        <f>$C9*'tỷ lệ dt'!W49</f>
        <v>24318.53591468891</v>
      </c>
      <c r="Y9" s="619">
        <f>$C9*'tỷ lệ dt'!X49</f>
        <v>127388.34523525031</v>
      </c>
      <c r="Z9" s="619">
        <f>$C9*'tỷ lệ dt'!Y49</f>
        <v>-3615.8366057914841</v>
      </c>
      <c r="AA9" s="619">
        <f>$C9*'tỷ lệ dt'!Z49</f>
        <v>8350.461368512395</v>
      </c>
      <c r="AB9" s="619">
        <f>$C9*'tỷ lệ dt'!AA49</f>
        <v>10691.186847026185</v>
      </c>
      <c r="AC9" s="619">
        <f>$C9*'tỷ lệ dt'!AB49</f>
        <v>0</v>
      </c>
      <c r="AD9" s="619">
        <f>$C9*'tỷ lệ dt'!AC49</f>
        <v>0</v>
      </c>
      <c r="AE9" s="619">
        <f>$C9*'tỷ lệ dt'!AD49</f>
        <v>0</v>
      </c>
      <c r="AF9" s="619">
        <f>$C9*'tỷ lệ dt'!AE49</f>
        <v>0</v>
      </c>
      <c r="AG9" s="619">
        <f>$C9*'tỷ lệ dt'!AF49</f>
        <v>0</v>
      </c>
      <c r="AH9" s="619">
        <f>$C9*'tỷ lệ dt'!AG49</f>
        <v>0</v>
      </c>
      <c r="AI9" s="630">
        <f t="shared" si="0"/>
        <v>17013892</v>
      </c>
    </row>
    <row r="10" spans="1:36" ht="16.5">
      <c r="A10" s="628">
        <v>4</v>
      </c>
      <c r="B10" s="629" t="s">
        <v>63</v>
      </c>
      <c r="C10" s="637">
        <v>6703275</v>
      </c>
      <c r="D10" s="619">
        <f>$C10*'tỷ lệ dt'!C50</f>
        <v>357645.59374563955</v>
      </c>
      <c r="E10" s="619">
        <f>$C10*'tỷ lệ dt'!D50</f>
        <v>2266337.1103950841</v>
      </c>
      <c r="F10" s="619">
        <f>$C10*'tỷ lệ dt'!E50</f>
        <v>10339.801897975614</v>
      </c>
      <c r="G10" s="619">
        <f>$C10*'tỷ lệ dt'!F50</f>
        <v>0</v>
      </c>
      <c r="H10" s="619">
        <f>$C10*'tỷ lệ dt'!G50</f>
        <v>3009116.3778209714</v>
      </c>
      <c r="I10" s="619">
        <f>$C10*'tỷ lệ dt'!H50</f>
        <v>0</v>
      </c>
      <c r="J10" s="619">
        <f>$C10*'tỷ lệ dt'!I50</f>
        <v>721779.78469737747</v>
      </c>
      <c r="K10" s="619">
        <f>$C10*'tỷ lệ dt'!J50</f>
        <v>0</v>
      </c>
      <c r="L10" s="619">
        <f>$C10*'tỷ lệ dt'!K50</f>
        <v>45616.780440594463</v>
      </c>
      <c r="M10" s="619">
        <f>$C10*'tỷ lệ dt'!L50</f>
        <v>7252.2576971245389</v>
      </c>
      <c r="N10" s="619">
        <f>$C10*'tỷ lệ dt'!M50</f>
        <v>0</v>
      </c>
      <c r="O10" s="619">
        <f>$C10*'tỷ lệ dt'!N50</f>
        <v>183.49440786787559</v>
      </c>
      <c r="P10" s="619">
        <f>$C10*'tỷ lệ dt'!O50</f>
        <v>7793.5389516876903</v>
      </c>
      <c r="Q10" s="619">
        <f>$C10*'tỷ lệ dt'!P50</f>
        <v>0</v>
      </c>
      <c r="R10" s="619">
        <f>$C10*'tỷ lệ dt'!Q50</f>
        <v>0</v>
      </c>
      <c r="S10" s="619">
        <f>$C10*'tỷ lệ dt'!R50</f>
        <v>0</v>
      </c>
      <c r="T10" s="619">
        <f>$C10*'tỷ lệ dt'!S50</f>
        <v>0</v>
      </c>
      <c r="U10" s="619">
        <f>$C10*'tỷ lệ dt'!T50</f>
        <v>0</v>
      </c>
      <c r="V10" s="619">
        <f>$C10*'tỷ lệ dt'!U50</f>
        <v>179235.54524988838</v>
      </c>
      <c r="W10" s="619">
        <f>$C10*'tỷ lệ dt'!V50</f>
        <v>7706.6843937186813</v>
      </c>
      <c r="X10" s="619">
        <f>$C10*'tỷ lệ dt'!W50</f>
        <v>2652.2016493057813</v>
      </c>
      <c r="Y10" s="619">
        <f>$C10*'tỷ lệ dt'!X50</f>
        <v>26499.228550424126</v>
      </c>
      <c r="Z10" s="619">
        <f>$C10*'tỷ lệ dt'!Y50</f>
        <v>775.07262810762552</v>
      </c>
      <c r="AA10" s="619">
        <f>$C10*'tỷ lệ dt'!Z50</f>
        <v>0</v>
      </c>
      <c r="AB10" s="619">
        <f>$C10*'tỷ lệ dt'!AA50</f>
        <v>60341.527474232731</v>
      </c>
      <c r="AC10" s="619">
        <f>$C10*'tỷ lệ dt'!AB50</f>
        <v>0</v>
      </c>
      <c r="AD10" s="619">
        <f>$C10*'tỷ lệ dt'!AC50</f>
        <v>0</v>
      </c>
      <c r="AE10" s="619">
        <f>$C10*'tỷ lệ dt'!AD50</f>
        <v>0</v>
      </c>
      <c r="AF10" s="619">
        <f>$C10*'tỷ lệ dt'!AE50</f>
        <v>0</v>
      </c>
      <c r="AG10" s="619">
        <f>$C10*'tỷ lệ dt'!AF50</f>
        <v>0</v>
      </c>
      <c r="AH10" s="619">
        <f>$C10*'tỷ lệ dt'!AG50</f>
        <v>0</v>
      </c>
      <c r="AI10" s="630">
        <f t="shared" si="0"/>
        <v>6703275</v>
      </c>
    </row>
    <row r="11" spans="1:36" ht="16.5">
      <c r="A11" s="628">
        <v>5</v>
      </c>
      <c r="B11" s="629" t="s">
        <v>70</v>
      </c>
      <c r="C11" s="637">
        <v>9979053.5</v>
      </c>
      <c r="D11" s="619">
        <f>$C11*'tỷ lệ dt'!C51</f>
        <v>592243.69656938524</v>
      </c>
      <c r="E11" s="619">
        <f>$C11*'tỷ lệ dt'!D51</f>
        <v>3612866.626224055</v>
      </c>
      <c r="F11" s="619">
        <f>$C11*'tỷ lệ dt'!E51</f>
        <v>21275.416917361337</v>
      </c>
      <c r="G11" s="619">
        <f>$C11*'tỷ lệ dt'!F51</f>
        <v>0</v>
      </c>
      <c r="H11" s="619">
        <f>$C11*'tỷ lệ dt'!G51</f>
        <v>4248592.9802961815</v>
      </c>
      <c r="I11" s="619">
        <f>$C11*'tỷ lệ dt'!H51</f>
        <v>0</v>
      </c>
      <c r="J11" s="619">
        <f>$C11*'tỷ lệ dt'!I51</f>
        <v>1162502.1804598127</v>
      </c>
      <c r="K11" s="619">
        <f>$C11*'tỷ lệ dt'!J51</f>
        <v>0</v>
      </c>
      <c r="L11" s="619">
        <f>$C11*'tỷ lệ dt'!K51</f>
        <v>108595.53436250183</v>
      </c>
      <c r="M11" s="619">
        <f>$C11*'tỷ lệ dt'!L51</f>
        <v>1956.5433794177866</v>
      </c>
      <c r="N11" s="619">
        <f>$C11*'tỷ lệ dt'!M51</f>
        <v>0</v>
      </c>
      <c r="O11" s="619">
        <f>$C11*'tỷ lệ dt'!N51</f>
        <v>4575.8181080431186</v>
      </c>
      <c r="P11" s="619">
        <f>$C11*'tỷ lệ dt'!O51</f>
        <v>7803.0608548232276</v>
      </c>
      <c r="Q11" s="619">
        <f>$C11*'tỷ lệ dt'!P51</f>
        <v>0</v>
      </c>
      <c r="R11" s="619">
        <f>$C11*'tỷ lệ dt'!Q51</f>
        <v>0</v>
      </c>
      <c r="S11" s="619">
        <f>$C11*'tỷ lệ dt'!R51</f>
        <v>0</v>
      </c>
      <c r="T11" s="619">
        <f>$C11*'tỷ lệ dt'!S51</f>
        <v>0</v>
      </c>
      <c r="U11" s="619">
        <f>$C11*'tỷ lệ dt'!T51</f>
        <v>0</v>
      </c>
      <c r="V11" s="619">
        <f>$C11*'tỷ lệ dt'!U51</f>
        <v>5965.0712787127641</v>
      </c>
      <c r="W11" s="619">
        <f>$C11*'tỷ lệ dt'!V51</f>
        <v>46006.94443632444</v>
      </c>
      <c r="X11" s="619">
        <f>$C11*'tỷ lệ dt'!W51</f>
        <v>42868.978923015726</v>
      </c>
      <c r="Y11" s="619">
        <f>$C11*'tỷ lệ dt'!X51</f>
        <v>101418.98096736762</v>
      </c>
      <c r="Z11" s="619">
        <f>$C11*'tỷ lệ dt'!Y51</f>
        <v>15588.719608369358</v>
      </c>
      <c r="AA11" s="619">
        <f>$C11*'tỷ lệ dt'!Z51</f>
        <v>6594.1119053381399</v>
      </c>
      <c r="AB11" s="619">
        <f>$C11*'tỷ lệ dt'!AA51</f>
        <v>198.83570929042548</v>
      </c>
      <c r="AC11" s="619">
        <f>$C11*'tỷ lệ dt'!AB51</f>
        <v>0</v>
      </c>
      <c r="AD11" s="619">
        <f>$C11*'tỷ lệ dt'!AC51</f>
        <v>0</v>
      </c>
      <c r="AE11" s="619">
        <f>$C11*'tỷ lệ dt'!AD51</f>
        <v>0</v>
      </c>
      <c r="AF11" s="619">
        <f>$C11*'tỷ lệ dt'!AE51</f>
        <v>0</v>
      </c>
      <c r="AG11" s="619">
        <f>$C11*'tỷ lệ dt'!AF51</f>
        <v>0</v>
      </c>
      <c r="AH11" s="619">
        <f>$C11*'tỷ lệ dt'!AG51</f>
        <v>0</v>
      </c>
      <c r="AI11" s="630">
        <f t="shared" si="0"/>
        <v>9979053.5000000019</v>
      </c>
    </row>
    <row r="12" spans="1:36" ht="16.5">
      <c r="A12" s="628">
        <v>6</v>
      </c>
      <c r="B12" s="629" t="s">
        <v>79</v>
      </c>
      <c r="C12" s="637">
        <v>10768256</v>
      </c>
      <c r="D12" s="619">
        <f>$C12*'tỷ lệ dt'!C52</f>
        <v>696324.26032026927</v>
      </c>
      <c r="E12" s="619">
        <f>$C12*'tỷ lệ dt'!D52</f>
        <v>4143838.5656814072</v>
      </c>
      <c r="F12" s="619">
        <f>$C12*'tỷ lệ dt'!E52</f>
        <v>25973.809417213397</v>
      </c>
      <c r="G12" s="619">
        <f>$C12*'tỷ lệ dt'!F52</f>
        <v>0</v>
      </c>
      <c r="H12" s="619">
        <f>$C12*'tỷ lệ dt'!G52</f>
        <v>4502624.5639711861</v>
      </c>
      <c r="I12" s="619">
        <f>$C12*'tỷ lệ dt'!H52</f>
        <v>77940.096803264445</v>
      </c>
      <c r="J12" s="619">
        <f>$C12*'tỷ lệ dt'!I52</f>
        <v>896612.89732979704</v>
      </c>
      <c r="K12" s="619">
        <f>$C12*'tỷ lệ dt'!J52</f>
        <v>0</v>
      </c>
      <c r="L12" s="619">
        <f>$C12*'tỷ lệ dt'!K52</f>
        <v>126440.40902092055</v>
      </c>
      <c r="M12" s="619">
        <f>$C12*'tỷ lệ dt'!L52</f>
        <v>11062.280284094628</v>
      </c>
      <c r="N12" s="619">
        <f>$C12*'tỷ lệ dt'!M52</f>
        <v>0</v>
      </c>
      <c r="O12" s="619">
        <f>$C12*'tỷ lệ dt'!N52</f>
        <v>0</v>
      </c>
      <c r="P12" s="619">
        <f>$C12*'tỷ lệ dt'!O52</f>
        <v>12629.080630263257</v>
      </c>
      <c r="Q12" s="619">
        <f>$C12*'tỷ lệ dt'!P52</f>
        <v>0</v>
      </c>
      <c r="R12" s="619">
        <f>$C12*'tỷ lệ dt'!Q52</f>
        <v>0</v>
      </c>
      <c r="S12" s="619">
        <f>$C12*'tỷ lệ dt'!R52</f>
        <v>0</v>
      </c>
      <c r="T12" s="619">
        <f>$C12*'tỷ lệ dt'!S52</f>
        <v>0</v>
      </c>
      <c r="U12" s="619">
        <f>$C12*'tỷ lệ dt'!T52</f>
        <v>0</v>
      </c>
      <c r="V12" s="619">
        <f>$C12*'tỷ lệ dt'!U52</f>
        <v>508.61058777446561</v>
      </c>
      <c r="W12" s="619">
        <f>$C12*'tỷ lệ dt'!V52</f>
        <v>73427.937629399763</v>
      </c>
      <c r="X12" s="619">
        <f>$C12*'tỷ lệ dt'!W52</f>
        <v>23829.7920010854</v>
      </c>
      <c r="Y12" s="619">
        <f>$C12*'tỷ lệ dt'!X52</f>
        <v>59669.782183124211</v>
      </c>
      <c r="Z12" s="619">
        <f>$C12*'tỷ lệ dt'!Y52</f>
        <v>23324.881555336997</v>
      </c>
      <c r="AA12" s="619">
        <f>$C12*'tỷ lệ dt'!Z52</f>
        <v>1932.7202335429695</v>
      </c>
      <c r="AB12" s="619">
        <f>$C12*'tỷ lệ dt'!AA52</f>
        <v>92116.312351320041</v>
      </c>
      <c r="AC12" s="619">
        <f>$C12*'tỷ lệ dt'!AB52</f>
        <v>0</v>
      </c>
      <c r="AD12" s="619">
        <f>$C12*'tỷ lệ dt'!AC52</f>
        <v>0</v>
      </c>
      <c r="AE12" s="619">
        <f>$C12*'tỷ lệ dt'!AD52</f>
        <v>0</v>
      </c>
      <c r="AF12" s="619">
        <f>$C12*'tỷ lệ dt'!AE52</f>
        <v>0</v>
      </c>
      <c r="AG12" s="619">
        <f>$C12*'tỷ lệ dt'!AF52</f>
        <v>0</v>
      </c>
      <c r="AH12" s="619">
        <f>$C12*'tỷ lệ dt'!AG52</f>
        <v>0</v>
      </c>
      <c r="AI12" s="630">
        <f t="shared" si="0"/>
        <v>10768256.000000002</v>
      </c>
    </row>
    <row r="13" spans="1:36" ht="16.5">
      <c r="A13" s="628">
        <v>7</v>
      </c>
      <c r="B13" s="629" t="s">
        <v>87</v>
      </c>
      <c r="C13" s="637">
        <v>3351637.5</v>
      </c>
      <c r="D13" s="619">
        <f>$C13*'tỷ lệ dt'!C53</f>
        <v>212319.60693192866</v>
      </c>
      <c r="E13" s="619">
        <f>$C13*'tỷ lệ dt'!D53</f>
        <v>961051.7745322081</v>
      </c>
      <c r="F13" s="619">
        <f>$C13*'tỷ lệ dt'!E53</f>
        <v>8112.3690267965076</v>
      </c>
      <c r="G13" s="619">
        <f>$C13*'tỷ lệ dt'!F53</f>
        <v>0</v>
      </c>
      <c r="H13" s="619">
        <f>$C13*'tỷ lệ dt'!G53</f>
        <v>1592379.6275243287</v>
      </c>
      <c r="I13" s="619">
        <f>$C13*'tỷ lệ dt'!H53</f>
        <v>0</v>
      </c>
      <c r="J13" s="619">
        <f>$C13*'tỷ lệ dt'!I53</f>
        <v>501193.96296227735</v>
      </c>
      <c r="K13" s="619">
        <f>$C13*'tỷ lệ dt'!J53</f>
        <v>0</v>
      </c>
      <c r="L13" s="619">
        <f>$C13*'tỷ lệ dt'!K53</f>
        <v>41430.991894602281</v>
      </c>
      <c r="M13" s="619">
        <f>$C13*'tỷ lệ dt'!L53</f>
        <v>523.9159595992536</v>
      </c>
      <c r="N13" s="619">
        <f>$C13*'tỷ lệ dt'!M53</f>
        <v>0</v>
      </c>
      <c r="O13" s="619">
        <f>$C13*'tỷ lệ dt'!N53</f>
        <v>0</v>
      </c>
      <c r="P13" s="619">
        <f>$C13*'tỷ lệ dt'!O53</f>
        <v>2714.7365665934008</v>
      </c>
      <c r="Q13" s="619">
        <f>$C13*'tỷ lệ dt'!P53</f>
        <v>0</v>
      </c>
      <c r="R13" s="619">
        <f>$C13*'tỷ lệ dt'!Q53</f>
        <v>0</v>
      </c>
      <c r="S13" s="619">
        <f>$C13*'tỷ lệ dt'!R53</f>
        <v>0</v>
      </c>
      <c r="T13" s="619">
        <f>$C13*'tỷ lệ dt'!S53</f>
        <v>0</v>
      </c>
      <c r="U13" s="619">
        <f>$C13*'tỷ lệ dt'!T53</f>
        <v>0</v>
      </c>
      <c r="V13" s="619">
        <f>$C13*'tỷ lệ dt'!U53</f>
        <v>1277.8438039006185</v>
      </c>
      <c r="W13" s="619">
        <f>$C13*'tỷ lệ dt'!V53</f>
        <v>2507.2828845094814</v>
      </c>
      <c r="X13" s="619">
        <f>$C13*'tỷ lệ dt'!W53</f>
        <v>116.16771534276863</v>
      </c>
      <c r="Y13" s="619">
        <f>$C13*'tỷ lệ dt'!X53</f>
        <v>18037.34458124833</v>
      </c>
      <c r="Z13" s="619">
        <f>$C13*'tỷ lệ dt'!Y53</f>
        <v>568.10805781748331</v>
      </c>
      <c r="AA13" s="619">
        <f>$C13*'tỷ lệ dt'!Z53</f>
        <v>2578.9198730259868</v>
      </c>
      <c r="AB13" s="619">
        <f>$C13*'tỷ lệ dt'!AA53</f>
        <v>6824.8476858210151</v>
      </c>
      <c r="AC13" s="619">
        <f>$C13*'tỷ lệ dt'!AB53</f>
        <v>0</v>
      </c>
      <c r="AD13" s="619">
        <f>$C13*'tỷ lệ dt'!AC53</f>
        <v>0</v>
      </c>
      <c r="AE13" s="619">
        <f>$C13*'tỷ lệ dt'!AD53</f>
        <v>0</v>
      </c>
      <c r="AF13" s="619">
        <f>$C13*'tỷ lệ dt'!AE53</f>
        <v>0</v>
      </c>
      <c r="AG13" s="619">
        <f>$C13*'tỷ lệ dt'!AF53</f>
        <v>0</v>
      </c>
      <c r="AH13" s="619">
        <f>$C13*'tỷ lệ dt'!AG53</f>
        <v>0</v>
      </c>
      <c r="AI13" s="630">
        <f t="shared" si="0"/>
        <v>3351637.5</v>
      </c>
    </row>
    <row r="14" spans="1:36" ht="16.5">
      <c r="A14" s="628">
        <v>8</v>
      </c>
      <c r="B14" s="629" t="s">
        <v>92</v>
      </c>
      <c r="C14" s="637">
        <v>6076390</v>
      </c>
      <c r="D14" s="619">
        <f>$C14*'tỷ lệ dt'!C54</f>
        <v>550735.81466337934</v>
      </c>
      <c r="E14" s="619">
        <f>$C14*'tỷ lệ dt'!D54</f>
        <v>2626230.9368138583</v>
      </c>
      <c r="F14" s="619">
        <f>$C14*'tỷ lệ dt'!E54</f>
        <v>13548.915334648764</v>
      </c>
      <c r="G14" s="619">
        <f>$C14*'tỷ lệ dt'!F54</f>
        <v>0</v>
      </c>
      <c r="H14" s="619">
        <f>$C14*'tỷ lệ dt'!G54</f>
        <v>2180891.6022073901</v>
      </c>
      <c r="I14" s="619">
        <f>$C14*'tỷ lệ dt'!H54</f>
        <v>19581.64320270508</v>
      </c>
      <c r="J14" s="619">
        <f>$C14*'tỷ lệ dt'!I54</f>
        <v>499042.98540221428</v>
      </c>
      <c r="K14" s="619">
        <f>$C14*'tỷ lệ dt'!J54</f>
        <v>0</v>
      </c>
      <c r="L14" s="619">
        <f>$C14*'tỷ lệ dt'!K54</f>
        <v>68648.702478937252</v>
      </c>
      <c r="M14" s="619">
        <f>$C14*'tỷ lệ dt'!L54</f>
        <v>7817.5141436719405</v>
      </c>
      <c r="N14" s="619">
        <f>$C14*'tỷ lệ dt'!M54</f>
        <v>0</v>
      </c>
      <c r="O14" s="619">
        <f>$C14*'tỷ lệ dt'!N54</f>
        <v>0</v>
      </c>
      <c r="P14" s="619">
        <f>$C14*'tỷ lệ dt'!O54</f>
        <v>5830.6366072518658</v>
      </c>
      <c r="Q14" s="619">
        <f>$C14*'tỷ lệ dt'!P54</f>
        <v>0</v>
      </c>
      <c r="R14" s="619">
        <f>$C14*'tỷ lệ dt'!Q54</f>
        <v>0</v>
      </c>
      <c r="S14" s="619">
        <f>$C14*'tỷ lệ dt'!R54</f>
        <v>0</v>
      </c>
      <c r="T14" s="619">
        <f>$C14*'tỷ lệ dt'!S54</f>
        <v>0</v>
      </c>
      <c r="U14" s="619">
        <f>$C14*'tỷ lệ dt'!T54</f>
        <v>0</v>
      </c>
      <c r="V14" s="619">
        <f>$C14*'tỷ lệ dt'!U54</f>
        <v>0</v>
      </c>
      <c r="W14" s="619">
        <f>$C14*'tỷ lệ dt'!V54</f>
        <v>21843.740734339175</v>
      </c>
      <c r="X14" s="619">
        <f>$C14*'tỷ lệ dt'!W54</f>
        <v>3214.9489928302582</v>
      </c>
      <c r="Y14" s="619">
        <f>$C14*'tỷ lệ dt'!X54</f>
        <v>54676.033858167546</v>
      </c>
      <c r="Z14" s="619">
        <f>$C14*'tỷ lệ dt'!Y54</f>
        <v>3489.883966348772</v>
      </c>
      <c r="AA14" s="619">
        <f>$C14*'tỷ lệ dt'!Z54</f>
        <v>12728.061554543901</v>
      </c>
      <c r="AB14" s="619">
        <f>$C14*'tỷ lệ dt'!AA54</f>
        <v>8108.5800397132152</v>
      </c>
      <c r="AC14" s="619">
        <f>$C14*'tỷ lệ dt'!AB54</f>
        <v>0</v>
      </c>
      <c r="AD14" s="619">
        <f>$C14*'tỷ lệ dt'!AC54</f>
        <v>0</v>
      </c>
      <c r="AE14" s="619">
        <f>$C14*'tỷ lệ dt'!AD54</f>
        <v>0</v>
      </c>
      <c r="AF14" s="619">
        <f>$C14*'tỷ lệ dt'!AE54</f>
        <v>0</v>
      </c>
      <c r="AG14" s="619">
        <f>$C14*'tỷ lệ dt'!AF54</f>
        <v>0</v>
      </c>
      <c r="AH14" s="619">
        <f>$C14*'tỷ lệ dt'!AG54</f>
        <v>0</v>
      </c>
      <c r="AI14" s="630">
        <f t="shared" si="0"/>
        <v>6076390.0000000009</v>
      </c>
    </row>
    <row r="15" spans="1:36" ht="16.5">
      <c r="A15" s="628">
        <v>9</v>
      </c>
      <c r="B15" s="629" t="s">
        <v>20</v>
      </c>
      <c r="C15" s="637">
        <v>9930874</v>
      </c>
      <c r="D15" s="619">
        <f>$C15*'tỷ lệ dt'!C55</f>
        <v>675374.62731445627</v>
      </c>
      <c r="E15" s="619">
        <f>$C15*'tỷ lệ dt'!D55</f>
        <v>4143918.5199314854</v>
      </c>
      <c r="F15" s="619">
        <f>$C15*'tỷ lệ dt'!E55</f>
        <v>21195.884741464601</v>
      </c>
      <c r="G15" s="619">
        <f>$C15*'tỷ lệ dt'!F55</f>
        <v>0</v>
      </c>
      <c r="H15" s="619">
        <f>$C15*'tỷ lệ dt'!G55</f>
        <v>3701424.703906436</v>
      </c>
      <c r="I15" s="619">
        <f>$C15*'tỷ lệ dt'!H55</f>
        <v>0</v>
      </c>
      <c r="J15" s="619">
        <f>$C15*'tỷ lệ dt'!I55</f>
        <v>1002070.969704202</v>
      </c>
      <c r="K15" s="619">
        <f>$C15*'tỷ lệ dt'!J55</f>
        <v>0</v>
      </c>
      <c r="L15" s="619">
        <f>$C15*'tỷ lệ dt'!K55</f>
        <v>86773.967738671417</v>
      </c>
      <c r="M15" s="619">
        <f>$C15*'tỷ lệ dt'!L55</f>
        <v>1201.8037116282635</v>
      </c>
      <c r="N15" s="619">
        <f>$C15*'tỷ lệ dt'!M55</f>
        <v>0</v>
      </c>
      <c r="O15" s="619">
        <f>$C15*'tỷ lệ dt'!N55</f>
        <v>0</v>
      </c>
      <c r="P15" s="619">
        <f>$C15*'tỷ lệ dt'!O55</f>
        <v>12997.265314903063</v>
      </c>
      <c r="Q15" s="619">
        <f>$C15*'tỷ lệ dt'!P55</f>
        <v>0</v>
      </c>
      <c r="R15" s="619">
        <f>$C15*'tỷ lệ dt'!Q55</f>
        <v>0</v>
      </c>
      <c r="S15" s="619">
        <f>$C15*'tỷ lệ dt'!R55</f>
        <v>0</v>
      </c>
      <c r="T15" s="619">
        <f>$C15*'tỷ lệ dt'!S55</f>
        <v>0</v>
      </c>
      <c r="U15" s="619">
        <f>$C15*'tỷ lệ dt'!T55</f>
        <v>0</v>
      </c>
      <c r="V15" s="619">
        <f>$C15*'tỷ lệ dt'!U55</f>
        <v>3932.7316579705375</v>
      </c>
      <c r="W15" s="619">
        <f>$C15*'tỷ lệ dt'!V55</f>
        <v>26586.084309188547</v>
      </c>
      <c r="X15" s="619">
        <f>$C15*'tỷ lệ dt'!W55</f>
        <v>186618.88943567817</v>
      </c>
      <c r="Y15" s="619">
        <f>$C15*'tỷ lệ dt'!X55</f>
        <v>48177.787499920756</v>
      </c>
      <c r="Z15" s="619">
        <f>$C15*'tỷ lệ dt'!Y55</f>
        <v>3053.3630884864419</v>
      </c>
      <c r="AA15" s="619">
        <f>$C15*'tỷ lệ dt'!Z55</f>
        <v>515.18540450366959</v>
      </c>
      <c r="AB15" s="619">
        <f>$C15*'tỷ lệ dt'!AA55</f>
        <v>17032.216241004713</v>
      </c>
      <c r="AC15" s="619">
        <f>$C15*'tỷ lệ dt'!AB55</f>
        <v>0</v>
      </c>
      <c r="AD15" s="619">
        <f>$C15*'tỷ lệ dt'!AC55</f>
        <v>0</v>
      </c>
      <c r="AE15" s="619">
        <f>$C15*'tỷ lệ dt'!AD55</f>
        <v>0</v>
      </c>
      <c r="AF15" s="619">
        <f>$C15*'tỷ lệ dt'!AE55</f>
        <v>0</v>
      </c>
      <c r="AG15" s="619">
        <f>$C15*'tỷ lệ dt'!AF55</f>
        <v>0</v>
      </c>
      <c r="AH15" s="619">
        <f>$C15*'tỷ lệ dt'!AG55</f>
        <v>0</v>
      </c>
      <c r="AI15" s="630">
        <f t="shared" si="0"/>
        <v>9930874</v>
      </c>
    </row>
    <row r="16" spans="1:36" s="65" customFormat="1" ht="16.5">
      <c r="A16" s="628">
        <v>10</v>
      </c>
      <c r="B16" s="629" t="s">
        <v>109</v>
      </c>
      <c r="C16" s="637">
        <v>1346032</v>
      </c>
      <c r="D16" s="619">
        <f>$C16*'tỷ lệ dt'!C56</f>
        <v>0</v>
      </c>
      <c r="E16" s="619">
        <f>$C16*'tỷ lệ dt'!D56</f>
        <v>0</v>
      </c>
      <c r="F16" s="619">
        <f>$C16*'tỷ lệ dt'!E56</f>
        <v>748.35589736285829</v>
      </c>
      <c r="G16" s="619">
        <f>$C16*'tỷ lệ dt'!F56</f>
        <v>0</v>
      </c>
      <c r="H16" s="619">
        <f>$C16*'tỷ lệ dt'!G56</f>
        <v>3168.3805762903989</v>
      </c>
      <c r="I16" s="619">
        <f>$C16*'tỷ lệ dt'!H56</f>
        <v>8057.9927593641141</v>
      </c>
      <c r="J16" s="619">
        <f>$C16*'tỷ lệ dt'!I56</f>
        <v>0</v>
      </c>
      <c r="K16" s="619">
        <f>$C16*'tỷ lệ dt'!J56</f>
        <v>0</v>
      </c>
      <c r="L16" s="619">
        <f>$C16*'tỷ lệ dt'!K56</f>
        <v>0</v>
      </c>
      <c r="M16" s="619">
        <f>$C16*'tỷ lệ dt'!L56</f>
        <v>740967.15455415228</v>
      </c>
      <c r="N16" s="619">
        <f>$C16*'tỷ lệ dt'!M56</f>
        <v>203997.99606643381</v>
      </c>
      <c r="O16" s="619">
        <f>$C16*'tỷ lệ dt'!N56</f>
        <v>5486.015685337351</v>
      </c>
      <c r="P16" s="619">
        <f>$C16*'tỷ lệ dt'!O56</f>
        <v>2694.6097866061191</v>
      </c>
      <c r="Q16" s="619">
        <f>$C16*'tỷ lệ dt'!P56</f>
        <v>2309.2256788664131</v>
      </c>
      <c r="R16" s="619">
        <f>$C16*'tỷ lệ dt'!Q56</f>
        <v>10523.54767125997</v>
      </c>
      <c r="S16" s="619">
        <f>$C16*'tỷ lệ dt'!R56</f>
        <v>13591.289840476255</v>
      </c>
      <c r="T16" s="619">
        <f>$C16*'tỷ lệ dt'!S56</f>
        <v>0</v>
      </c>
      <c r="U16" s="619">
        <f>$C16*'tỷ lệ dt'!T56</f>
        <v>0</v>
      </c>
      <c r="V16" s="619">
        <f>$C16*'tỷ lệ dt'!U56</f>
        <v>51850.669178250479</v>
      </c>
      <c r="W16" s="619">
        <f>$C16*'tỷ lệ dt'!V56</f>
        <v>641.45157746289249</v>
      </c>
      <c r="X16" s="619">
        <f>$C16*'tỷ lệ dt'!W56</f>
        <v>0</v>
      </c>
      <c r="Y16" s="619">
        <f>$C16*'tỷ lệ dt'!X56</f>
        <v>64951.064679182084</v>
      </c>
      <c r="Z16" s="619">
        <f>$C16*'tỷ lệ dt'!Y56</f>
        <v>210521.200465434</v>
      </c>
      <c r="AA16" s="619">
        <f>$C16*'tỷ lệ dt'!Z56</f>
        <v>10699.6015402964</v>
      </c>
      <c r="AB16" s="619">
        <f>$C16*'tỷ lệ dt'!AA56</f>
        <v>15823.444043224537</v>
      </c>
      <c r="AC16" s="619">
        <f>$C16*'tỷ lệ dt'!AB56</f>
        <v>0</v>
      </c>
      <c r="AD16" s="619">
        <f>$C16*'tỷ lệ dt'!AC56</f>
        <v>0</v>
      </c>
      <c r="AE16" s="619">
        <f>$C16*'tỷ lệ dt'!AD56</f>
        <v>0</v>
      </c>
      <c r="AF16" s="619">
        <f>$C16*'tỷ lệ dt'!AE56</f>
        <v>0</v>
      </c>
      <c r="AG16" s="619">
        <f>$C16*'tỷ lệ dt'!AF56</f>
        <v>0</v>
      </c>
      <c r="AH16" s="619">
        <f>$C16*'tỷ lệ dt'!AG56</f>
        <v>0</v>
      </c>
      <c r="AI16" s="630">
        <f t="shared" si="0"/>
        <v>1346031.9999999998</v>
      </c>
      <c r="AJ16"/>
    </row>
    <row r="17" spans="1:35" ht="16.5">
      <c r="A17" s="628">
        <v>11</v>
      </c>
      <c r="B17" s="629" t="s">
        <v>194</v>
      </c>
      <c r="C17" s="637">
        <v>2692064</v>
      </c>
      <c r="D17" s="619">
        <f>$C17*'tỷ lệ dt'!C57</f>
        <v>0</v>
      </c>
      <c r="E17" s="619">
        <f>$C17*'tỷ lệ dt'!D57</f>
        <v>0</v>
      </c>
      <c r="F17" s="619">
        <f>$C17*'tỷ lệ dt'!E57</f>
        <v>2692064</v>
      </c>
      <c r="G17" s="619">
        <f>$C17*'tỷ lệ dt'!F57</f>
        <v>0</v>
      </c>
      <c r="H17" s="619">
        <f>$C17*'tỷ lệ dt'!G57</f>
        <v>0</v>
      </c>
      <c r="I17" s="619">
        <f>$C17*'tỷ lệ dt'!H57</f>
        <v>0</v>
      </c>
      <c r="J17" s="619">
        <f>$C17*'tỷ lệ dt'!I57</f>
        <v>0</v>
      </c>
      <c r="K17" s="619">
        <f>$C17*'tỷ lệ dt'!J57</f>
        <v>0</v>
      </c>
      <c r="L17" s="619">
        <f>$C17*'tỷ lệ dt'!K57</f>
        <v>0</v>
      </c>
      <c r="M17" s="619">
        <f>$C17*'tỷ lệ dt'!L57</f>
        <v>0</v>
      </c>
      <c r="N17" s="619">
        <f>$C17*'tỷ lệ dt'!M57</f>
        <v>0</v>
      </c>
      <c r="O17" s="619">
        <f>$C17*'tỷ lệ dt'!N57</f>
        <v>0</v>
      </c>
      <c r="P17" s="619">
        <f>$C17*'tỷ lệ dt'!O57</f>
        <v>0</v>
      </c>
      <c r="Q17" s="619">
        <f>$C17*'tỷ lệ dt'!P57</f>
        <v>0</v>
      </c>
      <c r="R17" s="619">
        <f>$C17*'tỷ lệ dt'!Q57</f>
        <v>0</v>
      </c>
      <c r="S17" s="619">
        <f>$C17*'tỷ lệ dt'!R57</f>
        <v>0</v>
      </c>
      <c r="T17" s="619">
        <f>$C17*'tỷ lệ dt'!S57</f>
        <v>0</v>
      </c>
      <c r="U17" s="619">
        <f>$C17*'tỷ lệ dt'!T57</f>
        <v>0</v>
      </c>
      <c r="V17" s="619">
        <f>$C17*'tỷ lệ dt'!U57</f>
        <v>0</v>
      </c>
      <c r="W17" s="619">
        <f>$C17*'tỷ lệ dt'!V57</f>
        <v>0</v>
      </c>
      <c r="X17" s="619">
        <f>$C17*'tỷ lệ dt'!W57</f>
        <v>0</v>
      </c>
      <c r="Y17" s="619">
        <f>$C17*'tỷ lệ dt'!X57</f>
        <v>0</v>
      </c>
      <c r="Z17" s="619">
        <f>$C17*'tỷ lệ dt'!Y57</f>
        <v>0</v>
      </c>
      <c r="AA17" s="619">
        <f>$C17*'tỷ lệ dt'!Z57</f>
        <v>0</v>
      </c>
      <c r="AB17" s="619">
        <f>$C17*'tỷ lệ dt'!AA57</f>
        <v>0</v>
      </c>
      <c r="AC17" s="619">
        <f>$C17*'tỷ lệ dt'!AB57</f>
        <v>0</v>
      </c>
      <c r="AD17" s="619">
        <f>$C17*'tỷ lệ dt'!AC57</f>
        <v>0</v>
      </c>
      <c r="AE17" s="619">
        <f>$C17*'tỷ lệ dt'!AD57</f>
        <v>0</v>
      </c>
      <c r="AF17" s="619">
        <f>$C17*'tỷ lệ dt'!AE57</f>
        <v>0</v>
      </c>
      <c r="AG17" s="619">
        <f>$C17*'tỷ lệ dt'!AF57</f>
        <v>0</v>
      </c>
      <c r="AH17" s="619">
        <f>$C17*'tỷ lệ dt'!AG57</f>
        <v>0</v>
      </c>
      <c r="AI17" s="630">
        <f t="shared" si="0"/>
        <v>2692064</v>
      </c>
    </row>
    <row r="18" spans="1:35" ht="16.5">
      <c r="A18" s="631" t="s">
        <v>132</v>
      </c>
      <c r="B18" s="631"/>
      <c r="C18" s="638">
        <f>SUM(C7:C17)</f>
        <v>93207262.5</v>
      </c>
      <c r="D18" s="638">
        <f t="shared" ref="D18:AH18" si="1">SUM(D7:D17)</f>
        <v>6793932.6325460114</v>
      </c>
      <c r="E18" s="638">
        <f t="shared" si="1"/>
        <v>30453169.408486798</v>
      </c>
      <c r="F18" s="638">
        <f t="shared" si="1"/>
        <v>2937001.2277492909</v>
      </c>
      <c r="G18" s="638">
        <f t="shared" si="1"/>
        <v>0</v>
      </c>
      <c r="H18" s="638">
        <f t="shared" si="1"/>
        <v>32287083.594484355</v>
      </c>
      <c r="I18" s="638">
        <f t="shared" si="1"/>
        <v>105579.73276533364</v>
      </c>
      <c r="J18" s="638">
        <f t="shared" si="1"/>
        <v>12471936.784054991</v>
      </c>
      <c r="K18" s="638">
        <f t="shared" si="1"/>
        <v>2888624.4040569458</v>
      </c>
      <c r="L18" s="638">
        <f t="shared" si="1"/>
        <v>1285606.8799799082</v>
      </c>
      <c r="M18" s="638">
        <f t="shared" si="1"/>
        <v>1042920.4114790389</v>
      </c>
      <c r="N18" s="638">
        <f t="shared" si="1"/>
        <v>203997.99606643381</v>
      </c>
      <c r="O18" s="638">
        <f t="shared" si="1"/>
        <v>12591.359048185819</v>
      </c>
      <c r="P18" s="638">
        <f t="shared" si="1"/>
        <v>122887.51395512177</v>
      </c>
      <c r="Q18" s="638">
        <f t="shared" si="1"/>
        <v>2309.2256788664131</v>
      </c>
      <c r="R18" s="638">
        <f t="shared" si="1"/>
        <v>10523.54767125997</v>
      </c>
      <c r="S18" s="638">
        <f t="shared" si="1"/>
        <v>13591.289840476255</v>
      </c>
      <c r="T18" s="638">
        <f t="shared" si="1"/>
        <v>0</v>
      </c>
      <c r="U18" s="638">
        <f t="shared" si="1"/>
        <v>0</v>
      </c>
      <c r="V18" s="638">
        <f t="shared" si="1"/>
        <v>329387.06396877806</v>
      </c>
      <c r="W18" s="638">
        <f t="shared" si="1"/>
        <v>870639.1039281094</v>
      </c>
      <c r="X18" s="638">
        <f t="shared" si="1"/>
        <v>301800.94942254975</v>
      </c>
      <c r="Y18" s="638">
        <f t="shared" si="1"/>
        <v>542828.25223980483</v>
      </c>
      <c r="Z18" s="638">
        <f t="shared" si="1"/>
        <v>268378.67566078535</v>
      </c>
      <c r="AA18" s="638">
        <f t="shared" si="1"/>
        <v>48057.744809143507</v>
      </c>
      <c r="AB18" s="638">
        <f t="shared" si="1"/>
        <v>214414.70210779784</v>
      </c>
      <c r="AC18" s="638">
        <f t="shared" si="1"/>
        <v>0</v>
      </c>
      <c r="AD18" s="638">
        <f t="shared" si="1"/>
        <v>0</v>
      </c>
      <c r="AE18" s="638">
        <f t="shared" si="1"/>
        <v>0</v>
      </c>
      <c r="AF18" s="638">
        <f t="shared" si="1"/>
        <v>0</v>
      </c>
      <c r="AG18" s="638">
        <f t="shared" si="1"/>
        <v>0</v>
      </c>
      <c r="AH18" s="638">
        <f t="shared" si="1"/>
        <v>0</v>
      </c>
      <c r="AI18" s="632">
        <f>SUM(AI7:AI17)</f>
        <v>93207262.5</v>
      </c>
    </row>
    <row r="19" spans="1:35" ht="16.5">
      <c r="A19" s="633"/>
      <c r="B19" s="633"/>
      <c r="C19" s="633"/>
      <c r="D19" s="634"/>
      <c r="E19" s="634" t="s">
        <v>15</v>
      </c>
      <c r="F19" s="634">
        <f>D7+E7+F7</f>
        <v>994010.82462881343</v>
      </c>
      <c r="G19" s="634"/>
      <c r="H19" s="634"/>
      <c r="I19" s="634"/>
      <c r="J19" s="634"/>
      <c r="K19" s="634"/>
      <c r="L19" s="634"/>
      <c r="M19" s="634"/>
      <c r="N19" s="634"/>
      <c r="O19" s="634"/>
      <c r="P19" s="634"/>
      <c r="Q19" s="634"/>
      <c r="R19" s="634"/>
      <c r="S19" s="634"/>
      <c r="T19" s="634"/>
      <c r="U19" s="634"/>
      <c r="V19" s="634"/>
      <c r="W19" s="634"/>
      <c r="X19" s="634"/>
      <c r="Y19" s="634"/>
      <c r="Z19" s="634"/>
      <c r="AA19" s="634"/>
      <c r="AB19" s="634"/>
      <c r="AC19" s="634"/>
      <c r="AD19" s="634"/>
      <c r="AE19" s="634"/>
      <c r="AF19" s="634"/>
      <c r="AG19" s="634"/>
      <c r="AH19" s="633"/>
      <c r="AI19" s="635">
        <f>C18</f>
        <v>93207262.5</v>
      </c>
    </row>
    <row r="20" spans="1:35" ht="16.5">
      <c r="A20" s="633"/>
      <c r="B20" s="633"/>
      <c r="C20" s="633"/>
      <c r="D20" s="633"/>
      <c r="E20" s="633" t="s">
        <v>23</v>
      </c>
      <c r="F20" s="634">
        <f t="shared" ref="F20:F30" si="2">D8+E8+F8</f>
        <v>10000523.120589806</v>
      </c>
      <c r="G20" s="633"/>
      <c r="H20" s="633"/>
      <c r="I20" s="633"/>
      <c r="J20" s="633"/>
      <c r="K20" s="633"/>
      <c r="L20" s="633"/>
      <c r="M20" s="633"/>
      <c r="N20" s="633"/>
      <c r="O20" s="633"/>
      <c r="P20" s="633"/>
      <c r="Q20" s="633"/>
      <c r="R20" s="633"/>
      <c r="S20" s="633"/>
      <c r="T20" s="633"/>
      <c r="U20" s="633"/>
      <c r="V20" s="633"/>
      <c r="W20" s="633"/>
      <c r="X20" s="633"/>
      <c r="Y20" s="633"/>
      <c r="Z20" s="633"/>
      <c r="AA20" s="633"/>
      <c r="AB20" s="633"/>
      <c r="AC20" s="633"/>
      <c r="AD20" s="633"/>
      <c r="AE20" s="633"/>
      <c r="AF20" s="633"/>
      <c r="AG20" s="633"/>
      <c r="AI20" s="636">
        <f>AI18-AI19</f>
        <v>0</v>
      </c>
    </row>
    <row r="21" spans="1:35" ht="16.5">
      <c r="E21" t="s">
        <v>42</v>
      </c>
      <c r="F21" s="634">
        <f t="shared" si="2"/>
        <v>5557423.6372075081</v>
      </c>
    </row>
    <row r="22" spans="1:35" ht="16.5">
      <c r="E22" t="s">
        <v>63</v>
      </c>
      <c r="F22" s="634">
        <f t="shared" si="2"/>
        <v>2634322.5060386993</v>
      </c>
    </row>
    <row r="23" spans="1:35" ht="16.5">
      <c r="E23" t="s">
        <v>70</v>
      </c>
      <c r="F23" s="634">
        <f t="shared" si="2"/>
        <v>4226385.7397108013</v>
      </c>
    </row>
    <row r="24" spans="1:35" ht="16.5">
      <c r="E24" t="s">
        <v>79</v>
      </c>
      <c r="F24" s="634">
        <f t="shared" si="2"/>
        <v>4866136.63541889</v>
      </c>
    </row>
    <row r="25" spans="1:35" ht="16.5">
      <c r="E25" t="s">
        <v>87</v>
      </c>
      <c r="F25" s="634">
        <f t="shared" si="2"/>
        <v>1181483.7504909332</v>
      </c>
    </row>
    <row r="26" spans="1:35" ht="16.5">
      <c r="E26" t="s">
        <v>92</v>
      </c>
      <c r="F26" s="634">
        <f t="shared" si="2"/>
        <v>3190515.6668118867</v>
      </c>
    </row>
    <row r="27" spans="1:35" ht="16.5">
      <c r="E27" t="s">
        <v>20</v>
      </c>
      <c r="F27" s="634">
        <f t="shared" si="2"/>
        <v>4840489.0319874063</v>
      </c>
    </row>
    <row r="28" spans="1:35" ht="16.5">
      <c r="E28" t="s">
        <v>109</v>
      </c>
      <c r="F28" s="634">
        <f t="shared" si="2"/>
        <v>748.35589736285829</v>
      </c>
    </row>
    <row r="29" spans="1:35" ht="16.5">
      <c r="E29" t="s">
        <v>194</v>
      </c>
      <c r="F29" s="634">
        <f t="shared" si="2"/>
        <v>2692064</v>
      </c>
    </row>
    <row r="30" spans="1:35" ht="16.5">
      <c r="F30" s="644">
        <f t="shared" si="2"/>
        <v>40184103.268782094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4"/>
  <sheetViews>
    <sheetView workbookViewId="0">
      <selection activeCell="D19" sqref="D19"/>
    </sheetView>
  </sheetViews>
  <sheetFormatPr defaultColWidth="11.140625" defaultRowHeight="16.5"/>
  <cols>
    <col min="1" max="1" width="9.42578125" style="520" customWidth="1"/>
    <col min="2" max="2" width="12.42578125" style="520" customWidth="1"/>
    <col min="3" max="3" width="20.140625" style="551" customWidth="1"/>
    <col min="4" max="6" width="19.85546875" style="551" customWidth="1"/>
    <col min="7" max="7" width="17.85546875" style="551" bestFit="1" customWidth="1"/>
    <col min="8" max="8" width="15.85546875" style="551" customWidth="1"/>
    <col min="9" max="9" width="21.28515625" style="551" customWidth="1"/>
    <col min="10" max="10" width="14.5703125" style="551" customWidth="1"/>
    <col min="11" max="11" width="16.85546875" style="551" bestFit="1" customWidth="1"/>
    <col min="12" max="12" width="18.7109375" style="551" customWidth="1"/>
    <col min="13" max="14" width="16" style="551" customWidth="1"/>
    <col min="15" max="17" width="14.5703125" style="551" customWidth="1"/>
    <col min="18" max="18" width="15" style="551" customWidth="1"/>
    <col min="19" max="19" width="9.85546875" style="551" customWidth="1"/>
    <col min="20" max="20" width="8.85546875" style="520" customWidth="1"/>
    <col min="21" max="21" width="17.42578125" style="611" customWidth="1"/>
    <col min="22" max="22" width="17.5703125" style="520" customWidth="1"/>
    <col min="23" max="26" width="18.140625" style="520" customWidth="1"/>
    <col min="27" max="27" width="17.140625" style="520" customWidth="1"/>
    <col min="28" max="29" width="11" style="520" customWidth="1"/>
    <col min="30" max="30" width="9.85546875" style="520" customWidth="1"/>
    <col min="31" max="31" width="12.7109375" style="520" bestFit="1" customWidth="1"/>
    <col min="32" max="32" width="11.140625" style="520" customWidth="1"/>
    <col min="33" max="33" width="12.140625" style="520" customWidth="1"/>
    <col min="34" max="35" width="19.7109375" style="520" customWidth="1"/>
    <col min="36" max="36" width="18.85546875" style="520" customWidth="1"/>
    <col min="37" max="256" width="11.140625" style="520"/>
    <col min="257" max="257" width="9.42578125" style="520" customWidth="1"/>
    <col min="258" max="258" width="12.42578125" style="520" customWidth="1"/>
    <col min="259" max="259" width="20.140625" style="520" customWidth="1"/>
    <col min="260" max="262" width="19.85546875" style="520" customWidth="1"/>
    <col min="263" max="263" width="17.85546875" style="520" bestFit="1" customWidth="1"/>
    <col min="264" max="264" width="15.85546875" style="520" customWidth="1"/>
    <col min="265" max="265" width="21.28515625" style="520" customWidth="1"/>
    <col min="266" max="266" width="14.5703125" style="520" customWidth="1"/>
    <col min="267" max="267" width="16.85546875" style="520" bestFit="1" customWidth="1"/>
    <col min="268" max="268" width="18.7109375" style="520" customWidth="1"/>
    <col min="269" max="270" width="16" style="520" customWidth="1"/>
    <col min="271" max="273" width="14.5703125" style="520" customWidth="1"/>
    <col min="274" max="274" width="15" style="520" customWidth="1"/>
    <col min="275" max="275" width="9.85546875" style="520" customWidth="1"/>
    <col min="276" max="276" width="8.85546875" style="520" customWidth="1"/>
    <col min="277" max="277" width="17.42578125" style="520" customWidth="1"/>
    <col min="278" max="278" width="17.5703125" style="520" customWidth="1"/>
    <col min="279" max="282" width="18.140625" style="520" customWidth="1"/>
    <col min="283" max="283" width="17.140625" style="520" customWidth="1"/>
    <col min="284" max="285" width="11" style="520" customWidth="1"/>
    <col min="286" max="286" width="9.85546875" style="520" customWidth="1"/>
    <col min="287" max="287" width="12.7109375" style="520" bestFit="1" customWidth="1"/>
    <col min="288" max="288" width="11.140625" style="520" customWidth="1"/>
    <col min="289" max="289" width="12.140625" style="520" customWidth="1"/>
    <col min="290" max="291" width="19.7109375" style="520" customWidth="1"/>
    <col min="292" max="292" width="18.85546875" style="520" customWidth="1"/>
    <col min="293" max="512" width="11.140625" style="520"/>
    <col min="513" max="513" width="9.42578125" style="520" customWidth="1"/>
    <col min="514" max="514" width="12.42578125" style="520" customWidth="1"/>
    <col min="515" max="515" width="20.140625" style="520" customWidth="1"/>
    <col min="516" max="518" width="19.85546875" style="520" customWidth="1"/>
    <col min="519" max="519" width="17.85546875" style="520" bestFit="1" customWidth="1"/>
    <col min="520" max="520" width="15.85546875" style="520" customWidth="1"/>
    <col min="521" max="521" width="21.28515625" style="520" customWidth="1"/>
    <col min="522" max="522" width="14.5703125" style="520" customWidth="1"/>
    <col min="523" max="523" width="16.85546875" style="520" bestFit="1" customWidth="1"/>
    <col min="524" max="524" width="18.7109375" style="520" customWidth="1"/>
    <col min="525" max="526" width="16" style="520" customWidth="1"/>
    <col min="527" max="529" width="14.5703125" style="520" customWidth="1"/>
    <col min="530" max="530" width="15" style="520" customWidth="1"/>
    <col min="531" max="531" width="9.85546875" style="520" customWidth="1"/>
    <col min="532" max="532" width="8.85546875" style="520" customWidth="1"/>
    <col min="533" max="533" width="17.42578125" style="520" customWidth="1"/>
    <col min="534" max="534" width="17.5703125" style="520" customWidth="1"/>
    <col min="535" max="538" width="18.140625" style="520" customWidth="1"/>
    <col min="539" max="539" width="17.140625" style="520" customWidth="1"/>
    <col min="540" max="541" width="11" style="520" customWidth="1"/>
    <col min="542" max="542" width="9.85546875" style="520" customWidth="1"/>
    <col min="543" max="543" width="12.7109375" style="520" bestFit="1" customWidth="1"/>
    <col min="544" max="544" width="11.140625" style="520" customWidth="1"/>
    <col min="545" max="545" width="12.140625" style="520" customWidth="1"/>
    <col min="546" max="547" width="19.7109375" style="520" customWidth="1"/>
    <col min="548" max="548" width="18.85546875" style="520" customWidth="1"/>
    <col min="549" max="768" width="11.140625" style="520"/>
    <col min="769" max="769" width="9.42578125" style="520" customWidth="1"/>
    <col min="770" max="770" width="12.42578125" style="520" customWidth="1"/>
    <col min="771" max="771" width="20.140625" style="520" customWidth="1"/>
    <col min="772" max="774" width="19.85546875" style="520" customWidth="1"/>
    <col min="775" max="775" width="17.85546875" style="520" bestFit="1" customWidth="1"/>
    <col min="776" max="776" width="15.85546875" style="520" customWidth="1"/>
    <col min="777" max="777" width="21.28515625" style="520" customWidth="1"/>
    <col min="778" max="778" width="14.5703125" style="520" customWidth="1"/>
    <col min="779" max="779" width="16.85546875" style="520" bestFit="1" customWidth="1"/>
    <col min="780" max="780" width="18.7109375" style="520" customWidth="1"/>
    <col min="781" max="782" width="16" style="520" customWidth="1"/>
    <col min="783" max="785" width="14.5703125" style="520" customWidth="1"/>
    <col min="786" max="786" width="15" style="520" customWidth="1"/>
    <col min="787" max="787" width="9.85546875" style="520" customWidth="1"/>
    <col min="788" max="788" width="8.85546875" style="520" customWidth="1"/>
    <col min="789" max="789" width="17.42578125" style="520" customWidth="1"/>
    <col min="790" max="790" width="17.5703125" style="520" customWidth="1"/>
    <col min="791" max="794" width="18.140625" style="520" customWidth="1"/>
    <col min="795" max="795" width="17.140625" style="520" customWidth="1"/>
    <col min="796" max="797" width="11" style="520" customWidth="1"/>
    <col min="798" max="798" width="9.85546875" style="520" customWidth="1"/>
    <col min="799" max="799" width="12.7109375" style="520" bestFit="1" customWidth="1"/>
    <col min="800" max="800" width="11.140625" style="520" customWidth="1"/>
    <col min="801" max="801" width="12.140625" style="520" customWidth="1"/>
    <col min="802" max="803" width="19.7109375" style="520" customWidth="1"/>
    <col min="804" max="804" width="18.85546875" style="520" customWidth="1"/>
    <col min="805" max="1024" width="11.140625" style="520"/>
    <col min="1025" max="1025" width="9.42578125" style="520" customWidth="1"/>
    <col min="1026" max="1026" width="12.42578125" style="520" customWidth="1"/>
    <col min="1027" max="1027" width="20.140625" style="520" customWidth="1"/>
    <col min="1028" max="1030" width="19.85546875" style="520" customWidth="1"/>
    <col min="1031" max="1031" width="17.85546875" style="520" bestFit="1" customWidth="1"/>
    <col min="1032" max="1032" width="15.85546875" style="520" customWidth="1"/>
    <col min="1033" max="1033" width="21.28515625" style="520" customWidth="1"/>
    <col min="1034" max="1034" width="14.5703125" style="520" customWidth="1"/>
    <col min="1035" max="1035" width="16.85546875" style="520" bestFit="1" customWidth="1"/>
    <col min="1036" max="1036" width="18.7109375" style="520" customWidth="1"/>
    <col min="1037" max="1038" width="16" style="520" customWidth="1"/>
    <col min="1039" max="1041" width="14.5703125" style="520" customWidth="1"/>
    <col min="1042" max="1042" width="15" style="520" customWidth="1"/>
    <col min="1043" max="1043" width="9.85546875" style="520" customWidth="1"/>
    <col min="1044" max="1044" width="8.85546875" style="520" customWidth="1"/>
    <col min="1045" max="1045" width="17.42578125" style="520" customWidth="1"/>
    <col min="1046" max="1046" width="17.5703125" style="520" customWidth="1"/>
    <col min="1047" max="1050" width="18.140625" style="520" customWidth="1"/>
    <col min="1051" max="1051" width="17.140625" style="520" customWidth="1"/>
    <col min="1052" max="1053" width="11" style="520" customWidth="1"/>
    <col min="1054" max="1054" width="9.85546875" style="520" customWidth="1"/>
    <col min="1055" max="1055" width="12.7109375" style="520" bestFit="1" customWidth="1"/>
    <col min="1056" max="1056" width="11.140625" style="520" customWidth="1"/>
    <col min="1057" max="1057" width="12.140625" style="520" customWidth="1"/>
    <col min="1058" max="1059" width="19.7109375" style="520" customWidth="1"/>
    <col min="1060" max="1060" width="18.85546875" style="520" customWidth="1"/>
    <col min="1061" max="1280" width="11.140625" style="520"/>
    <col min="1281" max="1281" width="9.42578125" style="520" customWidth="1"/>
    <col min="1282" max="1282" width="12.42578125" style="520" customWidth="1"/>
    <col min="1283" max="1283" width="20.140625" style="520" customWidth="1"/>
    <col min="1284" max="1286" width="19.85546875" style="520" customWidth="1"/>
    <col min="1287" max="1287" width="17.85546875" style="520" bestFit="1" customWidth="1"/>
    <col min="1288" max="1288" width="15.85546875" style="520" customWidth="1"/>
    <col min="1289" max="1289" width="21.28515625" style="520" customWidth="1"/>
    <col min="1290" max="1290" width="14.5703125" style="520" customWidth="1"/>
    <col min="1291" max="1291" width="16.85546875" style="520" bestFit="1" customWidth="1"/>
    <col min="1292" max="1292" width="18.7109375" style="520" customWidth="1"/>
    <col min="1293" max="1294" width="16" style="520" customWidth="1"/>
    <col min="1295" max="1297" width="14.5703125" style="520" customWidth="1"/>
    <col min="1298" max="1298" width="15" style="520" customWidth="1"/>
    <col min="1299" max="1299" width="9.85546875" style="520" customWidth="1"/>
    <col min="1300" max="1300" width="8.85546875" style="520" customWidth="1"/>
    <col min="1301" max="1301" width="17.42578125" style="520" customWidth="1"/>
    <col min="1302" max="1302" width="17.5703125" style="520" customWidth="1"/>
    <col min="1303" max="1306" width="18.140625" style="520" customWidth="1"/>
    <col min="1307" max="1307" width="17.140625" style="520" customWidth="1"/>
    <col min="1308" max="1309" width="11" style="520" customWidth="1"/>
    <col min="1310" max="1310" width="9.85546875" style="520" customWidth="1"/>
    <col min="1311" max="1311" width="12.7109375" style="520" bestFit="1" customWidth="1"/>
    <col min="1312" max="1312" width="11.140625" style="520" customWidth="1"/>
    <col min="1313" max="1313" width="12.140625" style="520" customWidth="1"/>
    <col min="1314" max="1315" width="19.7109375" style="520" customWidth="1"/>
    <col min="1316" max="1316" width="18.85546875" style="520" customWidth="1"/>
    <col min="1317" max="1536" width="11.140625" style="520"/>
    <col min="1537" max="1537" width="9.42578125" style="520" customWidth="1"/>
    <col min="1538" max="1538" width="12.42578125" style="520" customWidth="1"/>
    <col min="1539" max="1539" width="20.140625" style="520" customWidth="1"/>
    <col min="1540" max="1542" width="19.85546875" style="520" customWidth="1"/>
    <col min="1543" max="1543" width="17.85546875" style="520" bestFit="1" customWidth="1"/>
    <col min="1544" max="1544" width="15.85546875" style="520" customWidth="1"/>
    <col min="1545" max="1545" width="21.28515625" style="520" customWidth="1"/>
    <col min="1546" max="1546" width="14.5703125" style="520" customWidth="1"/>
    <col min="1547" max="1547" width="16.85546875" style="520" bestFit="1" customWidth="1"/>
    <col min="1548" max="1548" width="18.7109375" style="520" customWidth="1"/>
    <col min="1549" max="1550" width="16" style="520" customWidth="1"/>
    <col min="1551" max="1553" width="14.5703125" style="520" customWidth="1"/>
    <col min="1554" max="1554" width="15" style="520" customWidth="1"/>
    <col min="1555" max="1555" width="9.85546875" style="520" customWidth="1"/>
    <col min="1556" max="1556" width="8.85546875" style="520" customWidth="1"/>
    <col min="1557" max="1557" width="17.42578125" style="520" customWidth="1"/>
    <col min="1558" max="1558" width="17.5703125" style="520" customWidth="1"/>
    <col min="1559" max="1562" width="18.140625" style="520" customWidth="1"/>
    <col min="1563" max="1563" width="17.140625" style="520" customWidth="1"/>
    <col min="1564" max="1565" width="11" style="520" customWidth="1"/>
    <col min="1566" max="1566" width="9.85546875" style="520" customWidth="1"/>
    <col min="1567" max="1567" width="12.7109375" style="520" bestFit="1" customWidth="1"/>
    <col min="1568" max="1568" width="11.140625" style="520" customWidth="1"/>
    <col min="1569" max="1569" width="12.140625" style="520" customWidth="1"/>
    <col min="1570" max="1571" width="19.7109375" style="520" customWidth="1"/>
    <col min="1572" max="1572" width="18.85546875" style="520" customWidth="1"/>
    <col min="1573" max="1792" width="11.140625" style="520"/>
    <col min="1793" max="1793" width="9.42578125" style="520" customWidth="1"/>
    <col min="1794" max="1794" width="12.42578125" style="520" customWidth="1"/>
    <col min="1795" max="1795" width="20.140625" style="520" customWidth="1"/>
    <col min="1796" max="1798" width="19.85546875" style="520" customWidth="1"/>
    <col min="1799" max="1799" width="17.85546875" style="520" bestFit="1" customWidth="1"/>
    <col min="1800" max="1800" width="15.85546875" style="520" customWidth="1"/>
    <col min="1801" max="1801" width="21.28515625" style="520" customWidth="1"/>
    <col min="1802" max="1802" width="14.5703125" style="520" customWidth="1"/>
    <col min="1803" max="1803" width="16.85546875" style="520" bestFit="1" customWidth="1"/>
    <col min="1804" max="1804" width="18.7109375" style="520" customWidth="1"/>
    <col min="1805" max="1806" width="16" style="520" customWidth="1"/>
    <col min="1807" max="1809" width="14.5703125" style="520" customWidth="1"/>
    <col min="1810" max="1810" width="15" style="520" customWidth="1"/>
    <col min="1811" max="1811" width="9.85546875" style="520" customWidth="1"/>
    <col min="1812" max="1812" width="8.85546875" style="520" customWidth="1"/>
    <col min="1813" max="1813" width="17.42578125" style="520" customWidth="1"/>
    <col min="1814" max="1814" width="17.5703125" style="520" customWidth="1"/>
    <col min="1815" max="1818" width="18.140625" style="520" customWidth="1"/>
    <col min="1819" max="1819" width="17.140625" style="520" customWidth="1"/>
    <col min="1820" max="1821" width="11" style="520" customWidth="1"/>
    <col min="1822" max="1822" width="9.85546875" style="520" customWidth="1"/>
    <col min="1823" max="1823" width="12.7109375" style="520" bestFit="1" customWidth="1"/>
    <col min="1824" max="1824" width="11.140625" style="520" customWidth="1"/>
    <col min="1825" max="1825" width="12.140625" style="520" customWidth="1"/>
    <col min="1826" max="1827" width="19.7109375" style="520" customWidth="1"/>
    <col min="1828" max="1828" width="18.85546875" style="520" customWidth="1"/>
    <col min="1829" max="2048" width="11.140625" style="520"/>
    <col min="2049" max="2049" width="9.42578125" style="520" customWidth="1"/>
    <col min="2050" max="2050" width="12.42578125" style="520" customWidth="1"/>
    <col min="2051" max="2051" width="20.140625" style="520" customWidth="1"/>
    <col min="2052" max="2054" width="19.85546875" style="520" customWidth="1"/>
    <col min="2055" max="2055" width="17.85546875" style="520" bestFit="1" customWidth="1"/>
    <col min="2056" max="2056" width="15.85546875" style="520" customWidth="1"/>
    <col min="2057" max="2057" width="21.28515625" style="520" customWidth="1"/>
    <col min="2058" max="2058" width="14.5703125" style="520" customWidth="1"/>
    <col min="2059" max="2059" width="16.85546875" style="520" bestFit="1" customWidth="1"/>
    <col min="2060" max="2060" width="18.7109375" style="520" customWidth="1"/>
    <col min="2061" max="2062" width="16" style="520" customWidth="1"/>
    <col min="2063" max="2065" width="14.5703125" style="520" customWidth="1"/>
    <col min="2066" max="2066" width="15" style="520" customWidth="1"/>
    <col min="2067" max="2067" width="9.85546875" style="520" customWidth="1"/>
    <col min="2068" max="2068" width="8.85546875" style="520" customWidth="1"/>
    <col min="2069" max="2069" width="17.42578125" style="520" customWidth="1"/>
    <col min="2070" max="2070" width="17.5703125" style="520" customWidth="1"/>
    <col min="2071" max="2074" width="18.140625" style="520" customWidth="1"/>
    <col min="2075" max="2075" width="17.140625" style="520" customWidth="1"/>
    <col min="2076" max="2077" width="11" style="520" customWidth="1"/>
    <col min="2078" max="2078" width="9.85546875" style="520" customWidth="1"/>
    <col min="2079" max="2079" width="12.7109375" style="520" bestFit="1" customWidth="1"/>
    <col min="2080" max="2080" width="11.140625" style="520" customWidth="1"/>
    <col min="2081" max="2081" width="12.140625" style="520" customWidth="1"/>
    <col min="2082" max="2083" width="19.7109375" style="520" customWidth="1"/>
    <col min="2084" max="2084" width="18.85546875" style="520" customWidth="1"/>
    <col min="2085" max="2304" width="11.140625" style="520"/>
    <col min="2305" max="2305" width="9.42578125" style="520" customWidth="1"/>
    <col min="2306" max="2306" width="12.42578125" style="520" customWidth="1"/>
    <col min="2307" max="2307" width="20.140625" style="520" customWidth="1"/>
    <col min="2308" max="2310" width="19.85546875" style="520" customWidth="1"/>
    <col min="2311" max="2311" width="17.85546875" style="520" bestFit="1" customWidth="1"/>
    <col min="2312" max="2312" width="15.85546875" style="520" customWidth="1"/>
    <col min="2313" max="2313" width="21.28515625" style="520" customWidth="1"/>
    <col min="2314" max="2314" width="14.5703125" style="520" customWidth="1"/>
    <col min="2315" max="2315" width="16.85546875" style="520" bestFit="1" customWidth="1"/>
    <col min="2316" max="2316" width="18.7109375" style="520" customWidth="1"/>
    <col min="2317" max="2318" width="16" style="520" customWidth="1"/>
    <col min="2319" max="2321" width="14.5703125" style="520" customWidth="1"/>
    <col min="2322" max="2322" width="15" style="520" customWidth="1"/>
    <col min="2323" max="2323" width="9.85546875" style="520" customWidth="1"/>
    <col min="2324" max="2324" width="8.85546875" style="520" customWidth="1"/>
    <col min="2325" max="2325" width="17.42578125" style="520" customWidth="1"/>
    <col min="2326" max="2326" width="17.5703125" style="520" customWidth="1"/>
    <col min="2327" max="2330" width="18.140625" style="520" customWidth="1"/>
    <col min="2331" max="2331" width="17.140625" style="520" customWidth="1"/>
    <col min="2332" max="2333" width="11" style="520" customWidth="1"/>
    <col min="2334" max="2334" width="9.85546875" style="520" customWidth="1"/>
    <col min="2335" max="2335" width="12.7109375" style="520" bestFit="1" customWidth="1"/>
    <col min="2336" max="2336" width="11.140625" style="520" customWidth="1"/>
    <col min="2337" max="2337" width="12.140625" style="520" customWidth="1"/>
    <col min="2338" max="2339" width="19.7109375" style="520" customWidth="1"/>
    <col min="2340" max="2340" width="18.85546875" style="520" customWidth="1"/>
    <col min="2341" max="2560" width="11.140625" style="520"/>
    <col min="2561" max="2561" width="9.42578125" style="520" customWidth="1"/>
    <col min="2562" max="2562" width="12.42578125" style="520" customWidth="1"/>
    <col min="2563" max="2563" width="20.140625" style="520" customWidth="1"/>
    <col min="2564" max="2566" width="19.85546875" style="520" customWidth="1"/>
    <col min="2567" max="2567" width="17.85546875" style="520" bestFit="1" customWidth="1"/>
    <col min="2568" max="2568" width="15.85546875" style="520" customWidth="1"/>
    <col min="2569" max="2569" width="21.28515625" style="520" customWidth="1"/>
    <col min="2570" max="2570" width="14.5703125" style="520" customWidth="1"/>
    <col min="2571" max="2571" width="16.85546875" style="520" bestFit="1" customWidth="1"/>
    <col min="2572" max="2572" width="18.7109375" style="520" customWidth="1"/>
    <col min="2573" max="2574" width="16" style="520" customWidth="1"/>
    <col min="2575" max="2577" width="14.5703125" style="520" customWidth="1"/>
    <col min="2578" max="2578" width="15" style="520" customWidth="1"/>
    <col min="2579" max="2579" width="9.85546875" style="520" customWidth="1"/>
    <col min="2580" max="2580" width="8.85546875" style="520" customWidth="1"/>
    <col min="2581" max="2581" width="17.42578125" style="520" customWidth="1"/>
    <col min="2582" max="2582" width="17.5703125" style="520" customWidth="1"/>
    <col min="2583" max="2586" width="18.140625" style="520" customWidth="1"/>
    <col min="2587" max="2587" width="17.140625" style="520" customWidth="1"/>
    <col min="2588" max="2589" width="11" style="520" customWidth="1"/>
    <col min="2590" max="2590" width="9.85546875" style="520" customWidth="1"/>
    <col min="2591" max="2591" width="12.7109375" style="520" bestFit="1" customWidth="1"/>
    <col min="2592" max="2592" width="11.140625" style="520" customWidth="1"/>
    <col min="2593" max="2593" width="12.140625" style="520" customWidth="1"/>
    <col min="2594" max="2595" width="19.7109375" style="520" customWidth="1"/>
    <col min="2596" max="2596" width="18.85546875" style="520" customWidth="1"/>
    <col min="2597" max="2816" width="11.140625" style="520"/>
    <col min="2817" max="2817" width="9.42578125" style="520" customWidth="1"/>
    <col min="2818" max="2818" width="12.42578125" style="520" customWidth="1"/>
    <col min="2819" max="2819" width="20.140625" style="520" customWidth="1"/>
    <col min="2820" max="2822" width="19.85546875" style="520" customWidth="1"/>
    <col min="2823" max="2823" width="17.85546875" style="520" bestFit="1" customWidth="1"/>
    <col min="2824" max="2824" width="15.85546875" style="520" customWidth="1"/>
    <col min="2825" max="2825" width="21.28515625" style="520" customWidth="1"/>
    <col min="2826" max="2826" width="14.5703125" style="520" customWidth="1"/>
    <col min="2827" max="2827" width="16.85546875" style="520" bestFit="1" customWidth="1"/>
    <col min="2828" max="2828" width="18.7109375" style="520" customWidth="1"/>
    <col min="2829" max="2830" width="16" style="520" customWidth="1"/>
    <col min="2831" max="2833" width="14.5703125" style="520" customWidth="1"/>
    <col min="2834" max="2834" width="15" style="520" customWidth="1"/>
    <col min="2835" max="2835" width="9.85546875" style="520" customWidth="1"/>
    <col min="2836" max="2836" width="8.85546875" style="520" customWidth="1"/>
    <col min="2837" max="2837" width="17.42578125" style="520" customWidth="1"/>
    <col min="2838" max="2838" width="17.5703125" style="520" customWidth="1"/>
    <col min="2839" max="2842" width="18.140625" style="520" customWidth="1"/>
    <col min="2843" max="2843" width="17.140625" style="520" customWidth="1"/>
    <col min="2844" max="2845" width="11" style="520" customWidth="1"/>
    <col min="2846" max="2846" width="9.85546875" style="520" customWidth="1"/>
    <col min="2847" max="2847" width="12.7109375" style="520" bestFit="1" customWidth="1"/>
    <col min="2848" max="2848" width="11.140625" style="520" customWidth="1"/>
    <col min="2849" max="2849" width="12.140625" style="520" customWidth="1"/>
    <col min="2850" max="2851" width="19.7109375" style="520" customWidth="1"/>
    <col min="2852" max="2852" width="18.85546875" style="520" customWidth="1"/>
    <col min="2853" max="3072" width="11.140625" style="520"/>
    <col min="3073" max="3073" width="9.42578125" style="520" customWidth="1"/>
    <col min="3074" max="3074" width="12.42578125" style="520" customWidth="1"/>
    <col min="3075" max="3075" width="20.140625" style="520" customWidth="1"/>
    <col min="3076" max="3078" width="19.85546875" style="520" customWidth="1"/>
    <col min="3079" max="3079" width="17.85546875" style="520" bestFit="1" customWidth="1"/>
    <col min="3080" max="3080" width="15.85546875" style="520" customWidth="1"/>
    <col min="3081" max="3081" width="21.28515625" style="520" customWidth="1"/>
    <col min="3082" max="3082" width="14.5703125" style="520" customWidth="1"/>
    <col min="3083" max="3083" width="16.85546875" style="520" bestFit="1" customWidth="1"/>
    <col min="3084" max="3084" width="18.7109375" style="520" customWidth="1"/>
    <col min="3085" max="3086" width="16" style="520" customWidth="1"/>
    <col min="3087" max="3089" width="14.5703125" style="520" customWidth="1"/>
    <col min="3090" max="3090" width="15" style="520" customWidth="1"/>
    <col min="3091" max="3091" width="9.85546875" style="520" customWidth="1"/>
    <col min="3092" max="3092" width="8.85546875" style="520" customWidth="1"/>
    <col min="3093" max="3093" width="17.42578125" style="520" customWidth="1"/>
    <col min="3094" max="3094" width="17.5703125" style="520" customWidth="1"/>
    <col min="3095" max="3098" width="18.140625" style="520" customWidth="1"/>
    <col min="3099" max="3099" width="17.140625" style="520" customWidth="1"/>
    <col min="3100" max="3101" width="11" style="520" customWidth="1"/>
    <col min="3102" max="3102" width="9.85546875" style="520" customWidth="1"/>
    <col min="3103" max="3103" width="12.7109375" style="520" bestFit="1" customWidth="1"/>
    <col min="3104" max="3104" width="11.140625" style="520" customWidth="1"/>
    <col min="3105" max="3105" width="12.140625" style="520" customWidth="1"/>
    <col min="3106" max="3107" width="19.7109375" style="520" customWidth="1"/>
    <col min="3108" max="3108" width="18.85546875" style="520" customWidth="1"/>
    <col min="3109" max="3328" width="11.140625" style="520"/>
    <col min="3329" max="3329" width="9.42578125" style="520" customWidth="1"/>
    <col min="3330" max="3330" width="12.42578125" style="520" customWidth="1"/>
    <col min="3331" max="3331" width="20.140625" style="520" customWidth="1"/>
    <col min="3332" max="3334" width="19.85546875" style="520" customWidth="1"/>
    <col min="3335" max="3335" width="17.85546875" style="520" bestFit="1" customWidth="1"/>
    <col min="3336" max="3336" width="15.85546875" style="520" customWidth="1"/>
    <col min="3337" max="3337" width="21.28515625" style="520" customWidth="1"/>
    <col min="3338" max="3338" width="14.5703125" style="520" customWidth="1"/>
    <col min="3339" max="3339" width="16.85546875" style="520" bestFit="1" customWidth="1"/>
    <col min="3340" max="3340" width="18.7109375" style="520" customWidth="1"/>
    <col min="3341" max="3342" width="16" style="520" customWidth="1"/>
    <col min="3343" max="3345" width="14.5703125" style="520" customWidth="1"/>
    <col min="3346" max="3346" width="15" style="520" customWidth="1"/>
    <col min="3347" max="3347" width="9.85546875" style="520" customWidth="1"/>
    <col min="3348" max="3348" width="8.85546875" style="520" customWidth="1"/>
    <col min="3349" max="3349" width="17.42578125" style="520" customWidth="1"/>
    <col min="3350" max="3350" width="17.5703125" style="520" customWidth="1"/>
    <col min="3351" max="3354" width="18.140625" style="520" customWidth="1"/>
    <col min="3355" max="3355" width="17.140625" style="520" customWidth="1"/>
    <col min="3356" max="3357" width="11" style="520" customWidth="1"/>
    <col min="3358" max="3358" width="9.85546875" style="520" customWidth="1"/>
    <col min="3359" max="3359" width="12.7109375" style="520" bestFit="1" customWidth="1"/>
    <col min="3360" max="3360" width="11.140625" style="520" customWidth="1"/>
    <col min="3361" max="3361" width="12.140625" style="520" customWidth="1"/>
    <col min="3362" max="3363" width="19.7109375" style="520" customWidth="1"/>
    <col min="3364" max="3364" width="18.85546875" style="520" customWidth="1"/>
    <col min="3365" max="3584" width="11.140625" style="520"/>
    <col min="3585" max="3585" width="9.42578125" style="520" customWidth="1"/>
    <col min="3586" max="3586" width="12.42578125" style="520" customWidth="1"/>
    <col min="3587" max="3587" width="20.140625" style="520" customWidth="1"/>
    <col min="3588" max="3590" width="19.85546875" style="520" customWidth="1"/>
    <col min="3591" max="3591" width="17.85546875" style="520" bestFit="1" customWidth="1"/>
    <col min="3592" max="3592" width="15.85546875" style="520" customWidth="1"/>
    <col min="3593" max="3593" width="21.28515625" style="520" customWidth="1"/>
    <col min="3594" max="3594" width="14.5703125" style="520" customWidth="1"/>
    <col min="3595" max="3595" width="16.85546875" style="520" bestFit="1" customWidth="1"/>
    <col min="3596" max="3596" width="18.7109375" style="520" customWidth="1"/>
    <col min="3597" max="3598" width="16" style="520" customWidth="1"/>
    <col min="3599" max="3601" width="14.5703125" style="520" customWidth="1"/>
    <col min="3602" max="3602" width="15" style="520" customWidth="1"/>
    <col min="3603" max="3603" width="9.85546875" style="520" customWidth="1"/>
    <col min="3604" max="3604" width="8.85546875" style="520" customWidth="1"/>
    <col min="3605" max="3605" width="17.42578125" style="520" customWidth="1"/>
    <col min="3606" max="3606" width="17.5703125" style="520" customWidth="1"/>
    <col min="3607" max="3610" width="18.140625" style="520" customWidth="1"/>
    <col min="3611" max="3611" width="17.140625" style="520" customWidth="1"/>
    <col min="3612" max="3613" width="11" style="520" customWidth="1"/>
    <col min="3614" max="3614" width="9.85546875" style="520" customWidth="1"/>
    <col min="3615" max="3615" width="12.7109375" style="520" bestFit="1" customWidth="1"/>
    <col min="3616" max="3616" width="11.140625" style="520" customWidth="1"/>
    <col min="3617" max="3617" width="12.140625" style="520" customWidth="1"/>
    <col min="3618" max="3619" width="19.7109375" style="520" customWidth="1"/>
    <col min="3620" max="3620" width="18.85546875" style="520" customWidth="1"/>
    <col min="3621" max="3840" width="11.140625" style="520"/>
    <col min="3841" max="3841" width="9.42578125" style="520" customWidth="1"/>
    <col min="3842" max="3842" width="12.42578125" style="520" customWidth="1"/>
    <col min="3843" max="3843" width="20.140625" style="520" customWidth="1"/>
    <col min="3844" max="3846" width="19.85546875" style="520" customWidth="1"/>
    <col min="3847" max="3847" width="17.85546875" style="520" bestFit="1" customWidth="1"/>
    <col min="3848" max="3848" width="15.85546875" style="520" customWidth="1"/>
    <col min="3849" max="3849" width="21.28515625" style="520" customWidth="1"/>
    <col min="3850" max="3850" width="14.5703125" style="520" customWidth="1"/>
    <col min="3851" max="3851" width="16.85546875" style="520" bestFit="1" customWidth="1"/>
    <col min="3852" max="3852" width="18.7109375" style="520" customWidth="1"/>
    <col min="3853" max="3854" width="16" style="520" customWidth="1"/>
    <col min="3855" max="3857" width="14.5703125" style="520" customWidth="1"/>
    <col min="3858" max="3858" width="15" style="520" customWidth="1"/>
    <col min="3859" max="3859" width="9.85546875" style="520" customWidth="1"/>
    <col min="3860" max="3860" width="8.85546875" style="520" customWidth="1"/>
    <col min="3861" max="3861" width="17.42578125" style="520" customWidth="1"/>
    <col min="3862" max="3862" width="17.5703125" style="520" customWidth="1"/>
    <col min="3863" max="3866" width="18.140625" style="520" customWidth="1"/>
    <col min="3867" max="3867" width="17.140625" style="520" customWidth="1"/>
    <col min="3868" max="3869" width="11" style="520" customWidth="1"/>
    <col min="3870" max="3870" width="9.85546875" style="520" customWidth="1"/>
    <col min="3871" max="3871" width="12.7109375" style="520" bestFit="1" customWidth="1"/>
    <col min="3872" max="3872" width="11.140625" style="520" customWidth="1"/>
    <col min="3873" max="3873" width="12.140625" style="520" customWidth="1"/>
    <col min="3874" max="3875" width="19.7109375" style="520" customWidth="1"/>
    <col min="3876" max="3876" width="18.85546875" style="520" customWidth="1"/>
    <col min="3877" max="4096" width="11.140625" style="520"/>
    <col min="4097" max="4097" width="9.42578125" style="520" customWidth="1"/>
    <col min="4098" max="4098" width="12.42578125" style="520" customWidth="1"/>
    <col min="4099" max="4099" width="20.140625" style="520" customWidth="1"/>
    <col min="4100" max="4102" width="19.85546875" style="520" customWidth="1"/>
    <col min="4103" max="4103" width="17.85546875" style="520" bestFit="1" customWidth="1"/>
    <col min="4104" max="4104" width="15.85546875" style="520" customWidth="1"/>
    <col min="4105" max="4105" width="21.28515625" style="520" customWidth="1"/>
    <col min="4106" max="4106" width="14.5703125" style="520" customWidth="1"/>
    <col min="4107" max="4107" width="16.85546875" style="520" bestFit="1" customWidth="1"/>
    <col min="4108" max="4108" width="18.7109375" style="520" customWidth="1"/>
    <col min="4109" max="4110" width="16" style="520" customWidth="1"/>
    <col min="4111" max="4113" width="14.5703125" style="520" customWidth="1"/>
    <col min="4114" max="4114" width="15" style="520" customWidth="1"/>
    <col min="4115" max="4115" width="9.85546875" style="520" customWidth="1"/>
    <col min="4116" max="4116" width="8.85546875" style="520" customWidth="1"/>
    <col min="4117" max="4117" width="17.42578125" style="520" customWidth="1"/>
    <col min="4118" max="4118" width="17.5703125" style="520" customWidth="1"/>
    <col min="4119" max="4122" width="18.140625" style="520" customWidth="1"/>
    <col min="4123" max="4123" width="17.140625" style="520" customWidth="1"/>
    <col min="4124" max="4125" width="11" style="520" customWidth="1"/>
    <col min="4126" max="4126" width="9.85546875" style="520" customWidth="1"/>
    <col min="4127" max="4127" width="12.7109375" style="520" bestFit="1" customWidth="1"/>
    <col min="4128" max="4128" width="11.140625" style="520" customWidth="1"/>
    <col min="4129" max="4129" width="12.140625" style="520" customWidth="1"/>
    <col min="4130" max="4131" width="19.7109375" style="520" customWidth="1"/>
    <col min="4132" max="4132" width="18.85546875" style="520" customWidth="1"/>
    <col min="4133" max="4352" width="11.140625" style="520"/>
    <col min="4353" max="4353" width="9.42578125" style="520" customWidth="1"/>
    <col min="4354" max="4354" width="12.42578125" style="520" customWidth="1"/>
    <col min="4355" max="4355" width="20.140625" style="520" customWidth="1"/>
    <col min="4356" max="4358" width="19.85546875" style="520" customWidth="1"/>
    <col min="4359" max="4359" width="17.85546875" style="520" bestFit="1" customWidth="1"/>
    <col min="4360" max="4360" width="15.85546875" style="520" customWidth="1"/>
    <col min="4361" max="4361" width="21.28515625" style="520" customWidth="1"/>
    <col min="4362" max="4362" width="14.5703125" style="520" customWidth="1"/>
    <col min="4363" max="4363" width="16.85546875" style="520" bestFit="1" customWidth="1"/>
    <col min="4364" max="4364" width="18.7109375" style="520" customWidth="1"/>
    <col min="4365" max="4366" width="16" style="520" customWidth="1"/>
    <col min="4367" max="4369" width="14.5703125" style="520" customWidth="1"/>
    <col min="4370" max="4370" width="15" style="520" customWidth="1"/>
    <col min="4371" max="4371" width="9.85546875" style="520" customWidth="1"/>
    <col min="4372" max="4372" width="8.85546875" style="520" customWidth="1"/>
    <col min="4373" max="4373" width="17.42578125" style="520" customWidth="1"/>
    <col min="4374" max="4374" width="17.5703125" style="520" customWidth="1"/>
    <col min="4375" max="4378" width="18.140625" style="520" customWidth="1"/>
    <col min="4379" max="4379" width="17.140625" style="520" customWidth="1"/>
    <col min="4380" max="4381" width="11" style="520" customWidth="1"/>
    <col min="4382" max="4382" width="9.85546875" style="520" customWidth="1"/>
    <col min="4383" max="4383" width="12.7109375" style="520" bestFit="1" customWidth="1"/>
    <col min="4384" max="4384" width="11.140625" style="520" customWidth="1"/>
    <col min="4385" max="4385" width="12.140625" style="520" customWidth="1"/>
    <col min="4386" max="4387" width="19.7109375" style="520" customWidth="1"/>
    <col min="4388" max="4388" width="18.85546875" style="520" customWidth="1"/>
    <col min="4389" max="4608" width="11.140625" style="520"/>
    <col min="4609" max="4609" width="9.42578125" style="520" customWidth="1"/>
    <col min="4610" max="4610" width="12.42578125" style="520" customWidth="1"/>
    <col min="4611" max="4611" width="20.140625" style="520" customWidth="1"/>
    <col min="4612" max="4614" width="19.85546875" style="520" customWidth="1"/>
    <col min="4615" max="4615" width="17.85546875" style="520" bestFit="1" customWidth="1"/>
    <col min="4616" max="4616" width="15.85546875" style="520" customWidth="1"/>
    <col min="4617" max="4617" width="21.28515625" style="520" customWidth="1"/>
    <col min="4618" max="4618" width="14.5703125" style="520" customWidth="1"/>
    <col min="4619" max="4619" width="16.85546875" style="520" bestFit="1" customWidth="1"/>
    <col min="4620" max="4620" width="18.7109375" style="520" customWidth="1"/>
    <col min="4621" max="4622" width="16" style="520" customWidth="1"/>
    <col min="4623" max="4625" width="14.5703125" style="520" customWidth="1"/>
    <col min="4626" max="4626" width="15" style="520" customWidth="1"/>
    <col min="4627" max="4627" width="9.85546875" style="520" customWidth="1"/>
    <col min="4628" max="4628" width="8.85546875" style="520" customWidth="1"/>
    <col min="4629" max="4629" width="17.42578125" style="520" customWidth="1"/>
    <col min="4630" max="4630" width="17.5703125" style="520" customWidth="1"/>
    <col min="4631" max="4634" width="18.140625" style="520" customWidth="1"/>
    <col min="4635" max="4635" width="17.140625" style="520" customWidth="1"/>
    <col min="4636" max="4637" width="11" style="520" customWidth="1"/>
    <col min="4638" max="4638" width="9.85546875" style="520" customWidth="1"/>
    <col min="4639" max="4639" width="12.7109375" style="520" bestFit="1" customWidth="1"/>
    <col min="4640" max="4640" width="11.140625" style="520" customWidth="1"/>
    <col min="4641" max="4641" width="12.140625" style="520" customWidth="1"/>
    <col min="4642" max="4643" width="19.7109375" style="520" customWidth="1"/>
    <col min="4644" max="4644" width="18.85546875" style="520" customWidth="1"/>
    <col min="4645" max="4864" width="11.140625" style="520"/>
    <col min="4865" max="4865" width="9.42578125" style="520" customWidth="1"/>
    <col min="4866" max="4866" width="12.42578125" style="520" customWidth="1"/>
    <col min="4867" max="4867" width="20.140625" style="520" customWidth="1"/>
    <col min="4868" max="4870" width="19.85546875" style="520" customWidth="1"/>
    <col min="4871" max="4871" width="17.85546875" style="520" bestFit="1" customWidth="1"/>
    <col min="4872" max="4872" width="15.85546875" style="520" customWidth="1"/>
    <col min="4873" max="4873" width="21.28515625" style="520" customWidth="1"/>
    <col min="4874" max="4874" width="14.5703125" style="520" customWidth="1"/>
    <col min="4875" max="4875" width="16.85546875" style="520" bestFit="1" customWidth="1"/>
    <col min="4876" max="4876" width="18.7109375" style="520" customWidth="1"/>
    <col min="4877" max="4878" width="16" style="520" customWidth="1"/>
    <col min="4879" max="4881" width="14.5703125" style="520" customWidth="1"/>
    <col min="4882" max="4882" width="15" style="520" customWidth="1"/>
    <col min="4883" max="4883" width="9.85546875" style="520" customWidth="1"/>
    <col min="4884" max="4884" width="8.85546875" style="520" customWidth="1"/>
    <col min="4885" max="4885" width="17.42578125" style="520" customWidth="1"/>
    <col min="4886" max="4886" width="17.5703125" style="520" customWidth="1"/>
    <col min="4887" max="4890" width="18.140625" style="520" customWidth="1"/>
    <col min="4891" max="4891" width="17.140625" style="520" customWidth="1"/>
    <col min="4892" max="4893" width="11" style="520" customWidth="1"/>
    <col min="4894" max="4894" width="9.85546875" style="520" customWidth="1"/>
    <col min="4895" max="4895" width="12.7109375" style="520" bestFit="1" customWidth="1"/>
    <col min="4896" max="4896" width="11.140625" style="520" customWidth="1"/>
    <col min="4897" max="4897" width="12.140625" style="520" customWidth="1"/>
    <col min="4898" max="4899" width="19.7109375" style="520" customWidth="1"/>
    <col min="4900" max="4900" width="18.85546875" style="520" customWidth="1"/>
    <col min="4901" max="5120" width="11.140625" style="520"/>
    <col min="5121" max="5121" width="9.42578125" style="520" customWidth="1"/>
    <col min="5122" max="5122" width="12.42578125" style="520" customWidth="1"/>
    <col min="5123" max="5123" width="20.140625" style="520" customWidth="1"/>
    <col min="5124" max="5126" width="19.85546875" style="520" customWidth="1"/>
    <col min="5127" max="5127" width="17.85546875" style="520" bestFit="1" customWidth="1"/>
    <col min="5128" max="5128" width="15.85546875" style="520" customWidth="1"/>
    <col min="5129" max="5129" width="21.28515625" style="520" customWidth="1"/>
    <col min="5130" max="5130" width="14.5703125" style="520" customWidth="1"/>
    <col min="5131" max="5131" width="16.85546875" style="520" bestFit="1" customWidth="1"/>
    <col min="5132" max="5132" width="18.7109375" style="520" customWidth="1"/>
    <col min="5133" max="5134" width="16" style="520" customWidth="1"/>
    <col min="5135" max="5137" width="14.5703125" style="520" customWidth="1"/>
    <col min="5138" max="5138" width="15" style="520" customWidth="1"/>
    <col min="5139" max="5139" width="9.85546875" style="520" customWidth="1"/>
    <col min="5140" max="5140" width="8.85546875" style="520" customWidth="1"/>
    <col min="5141" max="5141" width="17.42578125" style="520" customWidth="1"/>
    <col min="5142" max="5142" width="17.5703125" style="520" customWidth="1"/>
    <col min="5143" max="5146" width="18.140625" style="520" customWidth="1"/>
    <col min="5147" max="5147" width="17.140625" style="520" customWidth="1"/>
    <col min="5148" max="5149" width="11" style="520" customWidth="1"/>
    <col min="5150" max="5150" width="9.85546875" style="520" customWidth="1"/>
    <col min="5151" max="5151" width="12.7109375" style="520" bestFit="1" customWidth="1"/>
    <col min="5152" max="5152" width="11.140625" style="520" customWidth="1"/>
    <col min="5153" max="5153" width="12.140625" style="520" customWidth="1"/>
    <col min="5154" max="5155" width="19.7109375" style="520" customWidth="1"/>
    <col min="5156" max="5156" width="18.85546875" style="520" customWidth="1"/>
    <col min="5157" max="5376" width="11.140625" style="520"/>
    <col min="5377" max="5377" width="9.42578125" style="520" customWidth="1"/>
    <col min="5378" max="5378" width="12.42578125" style="520" customWidth="1"/>
    <col min="5379" max="5379" width="20.140625" style="520" customWidth="1"/>
    <col min="5380" max="5382" width="19.85546875" style="520" customWidth="1"/>
    <col min="5383" max="5383" width="17.85546875" style="520" bestFit="1" customWidth="1"/>
    <col min="5384" max="5384" width="15.85546875" style="520" customWidth="1"/>
    <col min="5385" max="5385" width="21.28515625" style="520" customWidth="1"/>
    <col min="5386" max="5386" width="14.5703125" style="520" customWidth="1"/>
    <col min="5387" max="5387" width="16.85546875" style="520" bestFit="1" customWidth="1"/>
    <col min="5388" max="5388" width="18.7109375" style="520" customWidth="1"/>
    <col min="5389" max="5390" width="16" style="520" customWidth="1"/>
    <col min="5391" max="5393" width="14.5703125" style="520" customWidth="1"/>
    <col min="5394" max="5394" width="15" style="520" customWidth="1"/>
    <col min="5395" max="5395" width="9.85546875" style="520" customWidth="1"/>
    <col min="5396" max="5396" width="8.85546875" style="520" customWidth="1"/>
    <col min="5397" max="5397" width="17.42578125" style="520" customWidth="1"/>
    <col min="5398" max="5398" width="17.5703125" style="520" customWidth="1"/>
    <col min="5399" max="5402" width="18.140625" style="520" customWidth="1"/>
    <col min="5403" max="5403" width="17.140625" style="520" customWidth="1"/>
    <col min="5404" max="5405" width="11" style="520" customWidth="1"/>
    <col min="5406" max="5406" width="9.85546875" style="520" customWidth="1"/>
    <col min="5407" max="5407" width="12.7109375" style="520" bestFit="1" customWidth="1"/>
    <col min="5408" max="5408" width="11.140625" style="520" customWidth="1"/>
    <col min="5409" max="5409" width="12.140625" style="520" customWidth="1"/>
    <col min="5410" max="5411" width="19.7109375" style="520" customWidth="1"/>
    <col min="5412" max="5412" width="18.85546875" style="520" customWidth="1"/>
    <col min="5413" max="5632" width="11.140625" style="520"/>
    <col min="5633" max="5633" width="9.42578125" style="520" customWidth="1"/>
    <col min="5634" max="5634" width="12.42578125" style="520" customWidth="1"/>
    <col min="5635" max="5635" width="20.140625" style="520" customWidth="1"/>
    <col min="5636" max="5638" width="19.85546875" style="520" customWidth="1"/>
    <col min="5639" max="5639" width="17.85546875" style="520" bestFit="1" customWidth="1"/>
    <col min="5640" max="5640" width="15.85546875" style="520" customWidth="1"/>
    <col min="5641" max="5641" width="21.28515625" style="520" customWidth="1"/>
    <col min="5642" max="5642" width="14.5703125" style="520" customWidth="1"/>
    <col min="5643" max="5643" width="16.85546875" style="520" bestFit="1" customWidth="1"/>
    <col min="5644" max="5644" width="18.7109375" style="520" customWidth="1"/>
    <col min="5645" max="5646" width="16" style="520" customWidth="1"/>
    <col min="5647" max="5649" width="14.5703125" style="520" customWidth="1"/>
    <col min="5650" max="5650" width="15" style="520" customWidth="1"/>
    <col min="5651" max="5651" width="9.85546875" style="520" customWidth="1"/>
    <col min="5652" max="5652" width="8.85546875" style="520" customWidth="1"/>
    <col min="5653" max="5653" width="17.42578125" style="520" customWidth="1"/>
    <col min="5654" max="5654" width="17.5703125" style="520" customWidth="1"/>
    <col min="5655" max="5658" width="18.140625" style="520" customWidth="1"/>
    <col min="5659" max="5659" width="17.140625" style="520" customWidth="1"/>
    <col min="5660" max="5661" width="11" style="520" customWidth="1"/>
    <col min="5662" max="5662" width="9.85546875" style="520" customWidth="1"/>
    <col min="5663" max="5663" width="12.7109375" style="520" bestFit="1" customWidth="1"/>
    <col min="5664" max="5664" width="11.140625" style="520" customWidth="1"/>
    <col min="5665" max="5665" width="12.140625" style="520" customWidth="1"/>
    <col min="5666" max="5667" width="19.7109375" style="520" customWidth="1"/>
    <col min="5668" max="5668" width="18.85546875" style="520" customWidth="1"/>
    <col min="5669" max="5888" width="11.140625" style="520"/>
    <col min="5889" max="5889" width="9.42578125" style="520" customWidth="1"/>
    <col min="5890" max="5890" width="12.42578125" style="520" customWidth="1"/>
    <col min="5891" max="5891" width="20.140625" style="520" customWidth="1"/>
    <col min="5892" max="5894" width="19.85546875" style="520" customWidth="1"/>
    <col min="5895" max="5895" width="17.85546875" style="520" bestFit="1" customWidth="1"/>
    <col min="5896" max="5896" width="15.85546875" style="520" customWidth="1"/>
    <col min="5897" max="5897" width="21.28515625" style="520" customWidth="1"/>
    <col min="5898" max="5898" width="14.5703125" style="520" customWidth="1"/>
    <col min="5899" max="5899" width="16.85546875" style="520" bestFit="1" customWidth="1"/>
    <col min="5900" max="5900" width="18.7109375" style="520" customWidth="1"/>
    <col min="5901" max="5902" width="16" style="520" customWidth="1"/>
    <col min="5903" max="5905" width="14.5703125" style="520" customWidth="1"/>
    <col min="5906" max="5906" width="15" style="520" customWidth="1"/>
    <col min="5907" max="5907" width="9.85546875" style="520" customWidth="1"/>
    <col min="5908" max="5908" width="8.85546875" style="520" customWidth="1"/>
    <col min="5909" max="5909" width="17.42578125" style="520" customWidth="1"/>
    <col min="5910" max="5910" width="17.5703125" style="520" customWidth="1"/>
    <col min="5911" max="5914" width="18.140625" style="520" customWidth="1"/>
    <col min="5915" max="5915" width="17.140625" style="520" customWidth="1"/>
    <col min="5916" max="5917" width="11" style="520" customWidth="1"/>
    <col min="5918" max="5918" width="9.85546875" style="520" customWidth="1"/>
    <col min="5919" max="5919" width="12.7109375" style="520" bestFit="1" customWidth="1"/>
    <col min="5920" max="5920" width="11.140625" style="520" customWidth="1"/>
    <col min="5921" max="5921" width="12.140625" style="520" customWidth="1"/>
    <col min="5922" max="5923" width="19.7109375" style="520" customWidth="1"/>
    <col min="5924" max="5924" width="18.85546875" style="520" customWidth="1"/>
    <col min="5925" max="6144" width="11.140625" style="520"/>
    <col min="6145" max="6145" width="9.42578125" style="520" customWidth="1"/>
    <col min="6146" max="6146" width="12.42578125" style="520" customWidth="1"/>
    <col min="6147" max="6147" width="20.140625" style="520" customWidth="1"/>
    <col min="6148" max="6150" width="19.85546875" style="520" customWidth="1"/>
    <col min="6151" max="6151" width="17.85546875" style="520" bestFit="1" customWidth="1"/>
    <col min="6152" max="6152" width="15.85546875" style="520" customWidth="1"/>
    <col min="6153" max="6153" width="21.28515625" style="520" customWidth="1"/>
    <col min="6154" max="6154" width="14.5703125" style="520" customWidth="1"/>
    <col min="6155" max="6155" width="16.85546875" style="520" bestFit="1" customWidth="1"/>
    <col min="6156" max="6156" width="18.7109375" style="520" customWidth="1"/>
    <col min="6157" max="6158" width="16" style="520" customWidth="1"/>
    <col min="6159" max="6161" width="14.5703125" style="520" customWidth="1"/>
    <col min="6162" max="6162" width="15" style="520" customWidth="1"/>
    <col min="6163" max="6163" width="9.85546875" style="520" customWidth="1"/>
    <col min="6164" max="6164" width="8.85546875" style="520" customWidth="1"/>
    <col min="6165" max="6165" width="17.42578125" style="520" customWidth="1"/>
    <col min="6166" max="6166" width="17.5703125" style="520" customWidth="1"/>
    <col min="6167" max="6170" width="18.140625" style="520" customWidth="1"/>
    <col min="6171" max="6171" width="17.140625" style="520" customWidth="1"/>
    <col min="6172" max="6173" width="11" style="520" customWidth="1"/>
    <col min="6174" max="6174" width="9.85546875" style="520" customWidth="1"/>
    <col min="6175" max="6175" width="12.7109375" style="520" bestFit="1" customWidth="1"/>
    <col min="6176" max="6176" width="11.140625" style="520" customWidth="1"/>
    <col min="6177" max="6177" width="12.140625" style="520" customWidth="1"/>
    <col min="6178" max="6179" width="19.7109375" style="520" customWidth="1"/>
    <col min="6180" max="6180" width="18.85546875" style="520" customWidth="1"/>
    <col min="6181" max="6400" width="11.140625" style="520"/>
    <col min="6401" max="6401" width="9.42578125" style="520" customWidth="1"/>
    <col min="6402" max="6402" width="12.42578125" style="520" customWidth="1"/>
    <col min="6403" max="6403" width="20.140625" style="520" customWidth="1"/>
    <col min="6404" max="6406" width="19.85546875" style="520" customWidth="1"/>
    <col min="6407" max="6407" width="17.85546875" style="520" bestFit="1" customWidth="1"/>
    <col min="6408" max="6408" width="15.85546875" style="520" customWidth="1"/>
    <col min="6409" max="6409" width="21.28515625" style="520" customWidth="1"/>
    <col min="6410" max="6410" width="14.5703125" style="520" customWidth="1"/>
    <col min="6411" max="6411" width="16.85546875" style="520" bestFit="1" customWidth="1"/>
    <col min="6412" max="6412" width="18.7109375" style="520" customWidth="1"/>
    <col min="6413" max="6414" width="16" style="520" customWidth="1"/>
    <col min="6415" max="6417" width="14.5703125" style="520" customWidth="1"/>
    <col min="6418" max="6418" width="15" style="520" customWidth="1"/>
    <col min="6419" max="6419" width="9.85546875" style="520" customWidth="1"/>
    <col min="6420" max="6420" width="8.85546875" style="520" customWidth="1"/>
    <col min="6421" max="6421" width="17.42578125" style="520" customWidth="1"/>
    <col min="6422" max="6422" width="17.5703125" style="520" customWidth="1"/>
    <col min="6423" max="6426" width="18.140625" style="520" customWidth="1"/>
    <col min="6427" max="6427" width="17.140625" style="520" customWidth="1"/>
    <col min="6428" max="6429" width="11" style="520" customWidth="1"/>
    <col min="6430" max="6430" width="9.85546875" style="520" customWidth="1"/>
    <col min="6431" max="6431" width="12.7109375" style="520" bestFit="1" customWidth="1"/>
    <col min="6432" max="6432" width="11.140625" style="520" customWidth="1"/>
    <col min="6433" max="6433" width="12.140625" style="520" customWidth="1"/>
    <col min="6434" max="6435" width="19.7109375" style="520" customWidth="1"/>
    <col min="6436" max="6436" width="18.85546875" style="520" customWidth="1"/>
    <col min="6437" max="6656" width="11.140625" style="520"/>
    <col min="6657" max="6657" width="9.42578125" style="520" customWidth="1"/>
    <col min="6658" max="6658" width="12.42578125" style="520" customWidth="1"/>
    <col min="6659" max="6659" width="20.140625" style="520" customWidth="1"/>
    <col min="6660" max="6662" width="19.85546875" style="520" customWidth="1"/>
    <col min="6663" max="6663" width="17.85546875" style="520" bestFit="1" customWidth="1"/>
    <col min="6664" max="6664" width="15.85546875" style="520" customWidth="1"/>
    <col min="6665" max="6665" width="21.28515625" style="520" customWidth="1"/>
    <col min="6666" max="6666" width="14.5703125" style="520" customWidth="1"/>
    <col min="6667" max="6667" width="16.85546875" style="520" bestFit="1" customWidth="1"/>
    <col min="6668" max="6668" width="18.7109375" style="520" customWidth="1"/>
    <col min="6669" max="6670" width="16" style="520" customWidth="1"/>
    <col min="6671" max="6673" width="14.5703125" style="520" customWidth="1"/>
    <col min="6674" max="6674" width="15" style="520" customWidth="1"/>
    <col min="6675" max="6675" width="9.85546875" style="520" customWidth="1"/>
    <col min="6676" max="6676" width="8.85546875" style="520" customWidth="1"/>
    <col min="6677" max="6677" width="17.42578125" style="520" customWidth="1"/>
    <col min="6678" max="6678" width="17.5703125" style="520" customWidth="1"/>
    <col min="6679" max="6682" width="18.140625" style="520" customWidth="1"/>
    <col min="6683" max="6683" width="17.140625" style="520" customWidth="1"/>
    <col min="6684" max="6685" width="11" style="520" customWidth="1"/>
    <col min="6686" max="6686" width="9.85546875" style="520" customWidth="1"/>
    <col min="6687" max="6687" width="12.7109375" style="520" bestFit="1" customWidth="1"/>
    <col min="6688" max="6688" width="11.140625" style="520" customWidth="1"/>
    <col min="6689" max="6689" width="12.140625" style="520" customWidth="1"/>
    <col min="6690" max="6691" width="19.7109375" style="520" customWidth="1"/>
    <col min="6692" max="6692" width="18.85546875" style="520" customWidth="1"/>
    <col min="6693" max="6912" width="11.140625" style="520"/>
    <col min="6913" max="6913" width="9.42578125" style="520" customWidth="1"/>
    <col min="6914" max="6914" width="12.42578125" style="520" customWidth="1"/>
    <col min="6915" max="6915" width="20.140625" style="520" customWidth="1"/>
    <col min="6916" max="6918" width="19.85546875" style="520" customWidth="1"/>
    <col min="6919" max="6919" width="17.85546875" style="520" bestFit="1" customWidth="1"/>
    <col min="6920" max="6920" width="15.85546875" style="520" customWidth="1"/>
    <col min="6921" max="6921" width="21.28515625" style="520" customWidth="1"/>
    <col min="6922" max="6922" width="14.5703125" style="520" customWidth="1"/>
    <col min="6923" max="6923" width="16.85546875" style="520" bestFit="1" customWidth="1"/>
    <col min="6924" max="6924" width="18.7109375" style="520" customWidth="1"/>
    <col min="6925" max="6926" width="16" style="520" customWidth="1"/>
    <col min="6927" max="6929" width="14.5703125" style="520" customWidth="1"/>
    <col min="6930" max="6930" width="15" style="520" customWidth="1"/>
    <col min="6931" max="6931" width="9.85546875" style="520" customWidth="1"/>
    <col min="6932" max="6932" width="8.85546875" style="520" customWidth="1"/>
    <col min="6933" max="6933" width="17.42578125" style="520" customWidth="1"/>
    <col min="6934" max="6934" width="17.5703125" style="520" customWidth="1"/>
    <col min="6935" max="6938" width="18.140625" style="520" customWidth="1"/>
    <col min="6939" max="6939" width="17.140625" style="520" customWidth="1"/>
    <col min="6940" max="6941" width="11" style="520" customWidth="1"/>
    <col min="6942" max="6942" width="9.85546875" style="520" customWidth="1"/>
    <col min="6943" max="6943" width="12.7109375" style="520" bestFit="1" customWidth="1"/>
    <col min="6944" max="6944" width="11.140625" style="520" customWidth="1"/>
    <col min="6945" max="6945" width="12.140625" style="520" customWidth="1"/>
    <col min="6946" max="6947" width="19.7109375" style="520" customWidth="1"/>
    <col min="6948" max="6948" width="18.85546875" style="520" customWidth="1"/>
    <col min="6949" max="7168" width="11.140625" style="520"/>
    <col min="7169" max="7169" width="9.42578125" style="520" customWidth="1"/>
    <col min="7170" max="7170" width="12.42578125" style="520" customWidth="1"/>
    <col min="7171" max="7171" width="20.140625" style="520" customWidth="1"/>
    <col min="7172" max="7174" width="19.85546875" style="520" customWidth="1"/>
    <col min="7175" max="7175" width="17.85546875" style="520" bestFit="1" customWidth="1"/>
    <col min="7176" max="7176" width="15.85546875" style="520" customWidth="1"/>
    <col min="7177" max="7177" width="21.28515625" style="520" customWidth="1"/>
    <col min="7178" max="7178" width="14.5703125" style="520" customWidth="1"/>
    <col min="7179" max="7179" width="16.85546875" style="520" bestFit="1" customWidth="1"/>
    <col min="7180" max="7180" width="18.7109375" style="520" customWidth="1"/>
    <col min="7181" max="7182" width="16" style="520" customWidth="1"/>
    <col min="7183" max="7185" width="14.5703125" style="520" customWidth="1"/>
    <col min="7186" max="7186" width="15" style="520" customWidth="1"/>
    <col min="7187" max="7187" width="9.85546875" style="520" customWidth="1"/>
    <col min="7188" max="7188" width="8.85546875" style="520" customWidth="1"/>
    <col min="7189" max="7189" width="17.42578125" style="520" customWidth="1"/>
    <col min="7190" max="7190" width="17.5703125" style="520" customWidth="1"/>
    <col min="7191" max="7194" width="18.140625" style="520" customWidth="1"/>
    <col min="7195" max="7195" width="17.140625" style="520" customWidth="1"/>
    <col min="7196" max="7197" width="11" style="520" customWidth="1"/>
    <col min="7198" max="7198" width="9.85546875" style="520" customWidth="1"/>
    <col min="7199" max="7199" width="12.7109375" style="520" bestFit="1" customWidth="1"/>
    <col min="7200" max="7200" width="11.140625" style="520" customWidth="1"/>
    <col min="7201" max="7201" width="12.140625" style="520" customWidth="1"/>
    <col min="7202" max="7203" width="19.7109375" style="520" customWidth="1"/>
    <col min="7204" max="7204" width="18.85546875" style="520" customWidth="1"/>
    <col min="7205" max="7424" width="11.140625" style="520"/>
    <col min="7425" max="7425" width="9.42578125" style="520" customWidth="1"/>
    <col min="7426" max="7426" width="12.42578125" style="520" customWidth="1"/>
    <col min="7427" max="7427" width="20.140625" style="520" customWidth="1"/>
    <col min="7428" max="7430" width="19.85546875" style="520" customWidth="1"/>
    <col min="7431" max="7431" width="17.85546875" style="520" bestFit="1" customWidth="1"/>
    <col min="7432" max="7432" width="15.85546875" style="520" customWidth="1"/>
    <col min="7433" max="7433" width="21.28515625" style="520" customWidth="1"/>
    <col min="7434" max="7434" width="14.5703125" style="520" customWidth="1"/>
    <col min="7435" max="7435" width="16.85546875" style="520" bestFit="1" customWidth="1"/>
    <col min="7436" max="7436" width="18.7109375" style="520" customWidth="1"/>
    <col min="7437" max="7438" width="16" style="520" customWidth="1"/>
    <col min="7439" max="7441" width="14.5703125" style="520" customWidth="1"/>
    <col min="7442" max="7442" width="15" style="520" customWidth="1"/>
    <col min="7443" max="7443" width="9.85546875" style="520" customWidth="1"/>
    <col min="7444" max="7444" width="8.85546875" style="520" customWidth="1"/>
    <col min="7445" max="7445" width="17.42578125" style="520" customWidth="1"/>
    <col min="7446" max="7446" width="17.5703125" style="520" customWidth="1"/>
    <col min="7447" max="7450" width="18.140625" style="520" customWidth="1"/>
    <col min="7451" max="7451" width="17.140625" style="520" customWidth="1"/>
    <col min="7452" max="7453" width="11" style="520" customWidth="1"/>
    <col min="7454" max="7454" width="9.85546875" style="520" customWidth="1"/>
    <col min="7455" max="7455" width="12.7109375" style="520" bestFit="1" customWidth="1"/>
    <col min="7456" max="7456" width="11.140625" style="520" customWidth="1"/>
    <col min="7457" max="7457" width="12.140625" style="520" customWidth="1"/>
    <col min="7458" max="7459" width="19.7109375" style="520" customWidth="1"/>
    <col min="7460" max="7460" width="18.85546875" style="520" customWidth="1"/>
    <col min="7461" max="7680" width="11.140625" style="520"/>
    <col min="7681" max="7681" width="9.42578125" style="520" customWidth="1"/>
    <col min="7682" max="7682" width="12.42578125" style="520" customWidth="1"/>
    <col min="7683" max="7683" width="20.140625" style="520" customWidth="1"/>
    <col min="7684" max="7686" width="19.85546875" style="520" customWidth="1"/>
    <col min="7687" max="7687" width="17.85546875" style="520" bestFit="1" customWidth="1"/>
    <col min="7688" max="7688" width="15.85546875" style="520" customWidth="1"/>
    <col min="7689" max="7689" width="21.28515625" style="520" customWidth="1"/>
    <col min="7690" max="7690" width="14.5703125" style="520" customWidth="1"/>
    <col min="7691" max="7691" width="16.85546875" style="520" bestFit="1" customWidth="1"/>
    <col min="7692" max="7692" width="18.7109375" style="520" customWidth="1"/>
    <col min="7693" max="7694" width="16" style="520" customWidth="1"/>
    <col min="7695" max="7697" width="14.5703125" style="520" customWidth="1"/>
    <col min="7698" max="7698" width="15" style="520" customWidth="1"/>
    <col min="7699" max="7699" width="9.85546875" style="520" customWidth="1"/>
    <col min="7700" max="7700" width="8.85546875" style="520" customWidth="1"/>
    <col min="7701" max="7701" width="17.42578125" style="520" customWidth="1"/>
    <col min="7702" max="7702" width="17.5703125" style="520" customWidth="1"/>
    <col min="7703" max="7706" width="18.140625" style="520" customWidth="1"/>
    <col min="7707" max="7707" width="17.140625" style="520" customWidth="1"/>
    <col min="7708" max="7709" width="11" style="520" customWidth="1"/>
    <col min="7710" max="7710" width="9.85546875" style="520" customWidth="1"/>
    <col min="7711" max="7711" width="12.7109375" style="520" bestFit="1" customWidth="1"/>
    <col min="7712" max="7712" width="11.140625" style="520" customWidth="1"/>
    <col min="7713" max="7713" width="12.140625" style="520" customWidth="1"/>
    <col min="7714" max="7715" width="19.7109375" style="520" customWidth="1"/>
    <col min="7716" max="7716" width="18.85546875" style="520" customWidth="1"/>
    <col min="7717" max="7936" width="11.140625" style="520"/>
    <col min="7937" max="7937" width="9.42578125" style="520" customWidth="1"/>
    <col min="7938" max="7938" width="12.42578125" style="520" customWidth="1"/>
    <col min="7939" max="7939" width="20.140625" style="520" customWidth="1"/>
    <col min="7940" max="7942" width="19.85546875" style="520" customWidth="1"/>
    <col min="7943" max="7943" width="17.85546875" style="520" bestFit="1" customWidth="1"/>
    <col min="7944" max="7944" width="15.85546875" style="520" customWidth="1"/>
    <col min="7945" max="7945" width="21.28515625" style="520" customWidth="1"/>
    <col min="7946" max="7946" width="14.5703125" style="520" customWidth="1"/>
    <col min="7947" max="7947" width="16.85546875" style="520" bestFit="1" customWidth="1"/>
    <col min="7948" max="7948" width="18.7109375" style="520" customWidth="1"/>
    <col min="7949" max="7950" width="16" style="520" customWidth="1"/>
    <col min="7951" max="7953" width="14.5703125" style="520" customWidth="1"/>
    <col min="7954" max="7954" width="15" style="520" customWidth="1"/>
    <col min="7955" max="7955" width="9.85546875" style="520" customWidth="1"/>
    <col min="7956" max="7956" width="8.85546875" style="520" customWidth="1"/>
    <col min="7957" max="7957" width="17.42578125" style="520" customWidth="1"/>
    <col min="7958" max="7958" width="17.5703125" style="520" customWidth="1"/>
    <col min="7959" max="7962" width="18.140625" style="520" customWidth="1"/>
    <col min="7963" max="7963" width="17.140625" style="520" customWidth="1"/>
    <col min="7964" max="7965" width="11" style="520" customWidth="1"/>
    <col min="7966" max="7966" width="9.85546875" style="520" customWidth="1"/>
    <col min="7967" max="7967" width="12.7109375" style="520" bestFit="1" customWidth="1"/>
    <col min="7968" max="7968" width="11.140625" style="520" customWidth="1"/>
    <col min="7969" max="7969" width="12.140625" style="520" customWidth="1"/>
    <col min="7970" max="7971" width="19.7109375" style="520" customWidth="1"/>
    <col min="7972" max="7972" width="18.85546875" style="520" customWidth="1"/>
    <col min="7973" max="8192" width="11.140625" style="520"/>
    <col min="8193" max="8193" width="9.42578125" style="520" customWidth="1"/>
    <col min="8194" max="8194" width="12.42578125" style="520" customWidth="1"/>
    <col min="8195" max="8195" width="20.140625" style="520" customWidth="1"/>
    <col min="8196" max="8198" width="19.85546875" style="520" customWidth="1"/>
    <col min="8199" max="8199" width="17.85546875" style="520" bestFit="1" customWidth="1"/>
    <col min="8200" max="8200" width="15.85546875" style="520" customWidth="1"/>
    <col min="8201" max="8201" width="21.28515625" style="520" customWidth="1"/>
    <col min="8202" max="8202" width="14.5703125" style="520" customWidth="1"/>
    <col min="8203" max="8203" width="16.85546875" style="520" bestFit="1" customWidth="1"/>
    <col min="8204" max="8204" width="18.7109375" style="520" customWidth="1"/>
    <col min="8205" max="8206" width="16" style="520" customWidth="1"/>
    <col min="8207" max="8209" width="14.5703125" style="520" customWidth="1"/>
    <col min="8210" max="8210" width="15" style="520" customWidth="1"/>
    <col min="8211" max="8211" width="9.85546875" style="520" customWidth="1"/>
    <col min="8212" max="8212" width="8.85546875" style="520" customWidth="1"/>
    <col min="8213" max="8213" width="17.42578125" style="520" customWidth="1"/>
    <col min="8214" max="8214" width="17.5703125" style="520" customWidth="1"/>
    <col min="8215" max="8218" width="18.140625" style="520" customWidth="1"/>
    <col min="8219" max="8219" width="17.140625" style="520" customWidth="1"/>
    <col min="8220" max="8221" width="11" style="520" customWidth="1"/>
    <col min="8222" max="8222" width="9.85546875" style="520" customWidth="1"/>
    <col min="8223" max="8223" width="12.7109375" style="520" bestFit="1" customWidth="1"/>
    <col min="8224" max="8224" width="11.140625" style="520" customWidth="1"/>
    <col min="8225" max="8225" width="12.140625" style="520" customWidth="1"/>
    <col min="8226" max="8227" width="19.7109375" style="520" customWidth="1"/>
    <col min="8228" max="8228" width="18.85546875" style="520" customWidth="1"/>
    <col min="8229" max="8448" width="11.140625" style="520"/>
    <col min="8449" max="8449" width="9.42578125" style="520" customWidth="1"/>
    <col min="8450" max="8450" width="12.42578125" style="520" customWidth="1"/>
    <col min="8451" max="8451" width="20.140625" style="520" customWidth="1"/>
    <col min="8452" max="8454" width="19.85546875" style="520" customWidth="1"/>
    <col min="8455" max="8455" width="17.85546875" style="520" bestFit="1" customWidth="1"/>
    <col min="8456" max="8456" width="15.85546875" style="520" customWidth="1"/>
    <col min="8457" max="8457" width="21.28515625" style="520" customWidth="1"/>
    <col min="8458" max="8458" width="14.5703125" style="520" customWidth="1"/>
    <col min="8459" max="8459" width="16.85546875" style="520" bestFit="1" customWidth="1"/>
    <col min="8460" max="8460" width="18.7109375" style="520" customWidth="1"/>
    <col min="8461" max="8462" width="16" style="520" customWidth="1"/>
    <col min="8463" max="8465" width="14.5703125" style="520" customWidth="1"/>
    <col min="8466" max="8466" width="15" style="520" customWidth="1"/>
    <col min="8467" max="8467" width="9.85546875" style="520" customWidth="1"/>
    <col min="8468" max="8468" width="8.85546875" style="520" customWidth="1"/>
    <col min="8469" max="8469" width="17.42578125" style="520" customWidth="1"/>
    <col min="8470" max="8470" width="17.5703125" style="520" customWidth="1"/>
    <col min="8471" max="8474" width="18.140625" style="520" customWidth="1"/>
    <col min="8475" max="8475" width="17.140625" style="520" customWidth="1"/>
    <col min="8476" max="8477" width="11" style="520" customWidth="1"/>
    <col min="8478" max="8478" width="9.85546875" style="520" customWidth="1"/>
    <col min="8479" max="8479" width="12.7109375" style="520" bestFit="1" customWidth="1"/>
    <col min="8480" max="8480" width="11.140625" style="520" customWidth="1"/>
    <col min="8481" max="8481" width="12.140625" style="520" customWidth="1"/>
    <col min="8482" max="8483" width="19.7109375" style="520" customWidth="1"/>
    <col min="8484" max="8484" width="18.85546875" style="520" customWidth="1"/>
    <col min="8485" max="8704" width="11.140625" style="520"/>
    <col min="8705" max="8705" width="9.42578125" style="520" customWidth="1"/>
    <col min="8706" max="8706" width="12.42578125" style="520" customWidth="1"/>
    <col min="8707" max="8707" width="20.140625" style="520" customWidth="1"/>
    <col min="8708" max="8710" width="19.85546875" style="520" customWidth="1"/>
    <col min="8711" max="8711" width="17.85546875" style="520" bestFit="1" customWidth="1"/>
    <col min="8712" max="8712" width="15.85546875" style="520" customWidth="1"/>
    <col min="8713" max="8713" width="21.28515625" style="520" customWidth="1"/>
    <col min="8714" max="8714" width="14.5703125" style="520" customWidth="1"/>
    <col min="8715" max="8715" width="16.85546875" style="520" bestFit="1" customWidth="1"/>
    <col min="8716" max="8716" width="18.7109375" style="520" customWidth="1"/>
    <col min="8717" max="8718" width="16" style="520" customWidth="1"/>
    <col min="8719" max="8721" width="14.5703125" style="520" customWidth="1"/>
    <col min="8722" max="8722" width="15" style="520" customWidth="1"/>
    <col min="8723" max="8723" width="9.85546875" style="520" customWidth="1"/>
    <col min="8724" max="8724" width="8.85546875" style="520" customWidth="1"/>
    <col min="8725" max="8725" width="17.42578125" style="520" customWidth="1"/>
    <col min="8726" max="8726" width="17.5703125" style="520" customWidth="1"/>
    <col min="8727" max="8730" width="18.140625" style="520" customWidth="1"/>
    <col min="8731" max="8731" width="17.140625" style="520" customWidth="1"/>
    <col min="8732" max="8733" width="11" style="520" customWidth="1"/>
    <col min="8734" max="8734" width="9.85546875" style="520" customWidth="1"/>
    <col min="8735" max="8735" width="12.7109375" style="520" bestFit="1" customWidth="1"/>
    <col min="8736" max="8736" width="11.140625" style="520" customWidth="1"/>
    <col min="8737" max="8737" width="12.140625" style="520" customWidth="1"/>
    <col min="8738" max="8739" width="19.7109375" style="520" customWidth="1"/>
    <col min="8740" max="8740" width="18.85546875" style="520" customWidth="1"/>
    <col min="8741" max="8960" width="11.140625" style="520"/>
    <col min="8961" max="8961" width="9.42578125" style="520" customWidth="1"/>
    <col min="8962" max="8962" width="12.42578125" style="520" customWidth="1"/>
    <col min="8963" max="8963" width="20.140625" style="520" customWidth="1"/>
    <col min="8964" max="8966" width="19.85546875" style="520" customWidth="1"/>
    <col min="8967" max="8967" width="17.85546875" style="520" bestFit="1" customWidth="1"/>
    <col min="8968" max="8968" width="15.85546875" style="520" customWidth="1"/>
    <col min="8969" max="8969" width="21.28515625" style="520" customWidth="1"/>
    <col min="8970" max="8970" width="14.5703125" style="520" customWidth="1"/>
    <col min="8971" max="8971" width="16.85546875" style="520" bestFit="1" customWidth="1"/>
    <col min="8972" max="8972" width="18.7109375" style="520" customWidth="1"/>
    <col min="8973" max="8974" width="16" style="520" customWidth="1"/>
    <col min="8975" max="8977" width="14.5703125" style="520" customWidth="1"/>
    <col min="8978" max="8978" width="15" style="520" customWidth="1"/>
    <col min="8979" max="8979" width="9.85546875" style="520" customWidth="1"/>
    <col min="8980" max="8980" width="8.85546875" style="520" customWidth="1"/>
    <col min="8981" max="8981" width="17.42578125" style="520" customWidth="1"/>
    <col min="8982" max="8982" width="17.5703125" style="520" customWidth="1"/>
    <col min="8983" max="8986" width="18.140625" style="520" customWidth="1"/>
    <col min="8987" max="8987" width="17.140625" style="520" customWidth="1"/>
    <col min="8988" max="8989" width="11" style="520" customWidth="1"/>
    <col min="8990" max="8990" width="9.85546875" style="520" customWidth="1"/>
    <col min="8991" max="8991" width="12.7109375" style="520" bestFit="1" customWidth="1"/>
    <col min="8992" max="8992" width="11.140625" style="520" customWidth="1"/>
    <col min="8993" max="8993" width="12.140625" style="520" customWidth="1"/>
    <col min="8994" max="8995" width="19.7109375" style="520" customWidth="1"/>
    <col min="8996" max="8996" width="18.85546875" style="520" customWidth="1"/>
    <col min="8997" max="9216" width="11.140625" style="520"/>
    <col min="9217" max="9217" width="9.42578125" style="520" customWidth="1"/>
    <col min="9218" max="9218" width="12.42578125" style="520" customWidth="1"/>
    <col min="9219" max="9219" width="20.140625" style="520" customWidth="1"/>
    <col min="9220" max="9222" width="19.85546875" style="520" customWidth="1"/>
    <col min="9223" max="9223" width="17.85546875" style="520" bestFit="1" customWidth="1"/>
    <col min="9224" max="9224" width="15.85546875" style="520" customWidth="1"/>
    <col min="9225" max="9225" width="21.28515625" style="520" customWidth="1"/>
    <col min="9226" max="9226" width="14.5703125" style="520" customWidth="1"/>
    <col min="9227" max="9227" width="16.85546875" style="520" bestFit="1" customWidth="1"/>
    <col min="9228" max="9228" width="18.7109375" style="520" customWidth="1"/>
    <col min="9229" max="9230" width="16" style="520" customWidth="1"/>
    <col min="9231" max="9233" width="14.5703125" style="520" customWidth="1"/>
    <col min="9234" max="9234" width="15" style="520" customWidth="1"/>
    <col min="9235" max="9235" width="9.85546875" style="520" customWidth="1"/>
    <col min="9236" max="9236" width="8.85546875" style="520" customWidth="1"/>
    <col min="9237" max="9237" width="17.42578125" style="520" customWidth="1"/>
    <col min="9238" max="9238" width="17.5703125" style="520" customWidth="1"/>
    <col min="9239" max="9242" width="18.140625" style="520" customWidth="1"/>
    <col min="9243" max="9243" width="17.140625" style="520" customWidth="1"/>
    <col min="9244" max="9245" width="11" style="520" customWidth="1"/>
    <col min="9246" max="9246" width="9.85546875" style="520" customWidth="1"/>
    <col min="9247" max="9247" width="12.7109375" style="520" bestFit="1" customWidth="1"/>
    <col min="9248" max="9248" width="11.140625" style="520" customWidth="1"/>
    <col min="9249" max="9249" width="12.140625" style="520" customWidth="1"/>
    <col min="9250" max="9251" width="19.7109375" style="520" customWidth="1"/>
    <col min="9252" max="9252" width="18.85546875" style="520" customWidth="1"/>
    <col min="9253" max="9472" width="11.140625" style="520"/>
    <col min="9473" max="9473" width="9.42578125" style="520" customWidth="1"/>
    <col min="9474" max="9474" width="12.42578125" style="520" customWidth="1"/>
    <col min="9475" max="9475" width="20.140625" style="520" customWidth="1"/>
    <col min="9476" max="9478" width="19.85546875" style="520" customWidth="1"/>
    <col min="9479" max="9479" width="17.85546875" style="520" bestFit="1" customWidth="1"/>
    <col min="9480" max="9480" width="15.85546875" style="520" customWidth="1"/>
    <col min="9481" max="9481" width="21.28515625" style="520" customWidth="1"/>
    <col min="9482" max="9482" width="14.5703125" style="520" customWidth="1"/>
    <col min="9483" max="9483" width="16.85546875" style="520" bestFit="1" customWidth="1"/>
    <col min="9484" max="9484" width="18.7109375" style="520" customWidth="1"/>
    <col min="9485" max="9486" width="16" style="520" customWidth="1"/>
    <col min="9487" max="9489" width="14.5703125" style="520" customWidth="1"/>
    <col min="9490" max="9490" width="15" style="520" customWidth="1"/>
    <col min="9491" max="9491" width="9.85546875" style="520" customWidth="1"/>
    <col min="9492" max="9492" width="8.85546875" style="520" customWidth="1"/>
    <col min="9493" max="9493" width="17.42578125" style="520" customWidth="1"/>
    <col min="9494" max="9494" width="17.5703125" style="520" customWidth="1"/>
    <col min="9495" max="9498" width="18.140625" style="520" customWidth="1"/>
    <col min="9499" max="9499" width="17.140625" style="520" customWidth="1"/>
    <col min="9500" max="9501" width="11" style="520" customWidth="1"/>
    <col min="9502" max="9502" width="9.85546875" style="520" customWidth="1"/>
    <col min="9503" max="9503" width="12.7109375" style="520" bestFit="1" customWidth="1"/>
    <col min="9504" max="9504" width="11.140625" style="520" customWidth="1"/>
    <col min="9505" max="9505" width="12.140625" style="520" customWidth="1"/>
    <col min="9506" max="9507" width="19.7109375" style="520" customWidth="1"/>
    <col min="9508" max="9508" width="18.85546875" style="520" customWidth="1"/>
    <col min="9509" max="9728" width="11.140625" style="520"/>
    <col min="9729" max="9729" width="9.42578125" style="520" customWidth="1"/>
    <col min="9730" max="9730" width="12.42578125" style="520" customWidth="1"/>
    <col min="9731" max="9731" width="20.140625" style="520" customWidth="1"/>
    <col min="9732" max="9734" width="19.85546875" style="520" customWidth="1"/>
    <col min="9735" max="9735" width="17.85546875" style="520" bestFit="1" customWidth="1"/>
    <col min="9736" max="9736" width="15.85546875" style="520" customWidth="1"/>
    <col min="9737" max="9737" width="21.28515625" style="520" customWidth="1"/>
    <col min="9738" max="9738" width="14.5703125" style="520" customWidth="1"/>
    <col min="9739" max="9739" width="16.85546875" style="520" bestFit="1" customWidth="1"/>
    <col min="9740" max="9740" width="18.7109375" style="520" customWidth="1"/>
    <col min="9741" max="9742" width="16" style="520" customWidth="1"/>
    <col min="9743" max="9745" width="14.5703125" style="520" customWidth="1"/>
    <col min="9746" max="9746" width="15" style="520" customWidth="1"/>
    <col min="9747" max="9747" width="9.85546875" style="520" customWidth="1"/>
    <col min="9748" max="9748" width="8.85546875" style="520" customWidth="1"/>
    <col min="9749" max="9749" width="17.42578125" style="520" customWidth="1"/>
    <col min="9750" max="9750" width="17.5703125" style="520" customWidth="1"/>
    <col min="9751" max="9754" width="18.140625" style="520" customWidth="1"/>
    <col min="9755" max="9755" width="17.140625" style="520" customWidth="1"/>
    <col min="9756" max="9757" width="11" style="520" customWidth="1"/>
    <col min="9758" max="9758" width="9.85546875" style="520" customWidth="1"/>
    <col min="9759" max="9759" width="12.7109375" style="520" bestFit="1" customWidth="1"/>
    <col min="9760" max="9760" width="11.140625" style="520" customWidth="1"/>
    <col min="9761" max="9761" width="12.140625" style="520" customWidth="1"/>
    <col min="9762" max="9763" width="19.7109375" style="520" customWidth="1"/>
    <col min="9764" max="9764" width="18.85546875" style="520" customWidth="1"/>
    <col min="9765" max="9984" width="11.140625" style="520"/>
    <col min="9985" max="9985" width="9.42578125" style="520" customWidth="1"/>
    <col min="9986" max="9986" width="12.42578125" style="520" customWidth="1"/>
    <col min="9987" max="9987" width="20.140625" style="520" customWidth="1"/>
    <col min="9988" max="9990" width="19.85546875" style="520" customWidth="1"/>
    <col min="9991" max="9991" width="17.85546875" style="520" bestFit="1" customWidth="1"/>
    <col min="9992" max="9992" width="15.85546875" style="520" customWidth="1"/>
    <col min="9993" max="9993" width="21.28515625" style="520" customWidth="1"/>
    <col min="9994" max="9994" width="14.5703125" style="520" customWidth="1"/>
    <col min="9995" max="9995" width="16.85546875" style="520" bestFit="1" customWidth="1"/>
    <col min="9996" max="9996" width="18.7109375" style="520" customWidth="1"/>
    <col min="9997" max="9998" width="16" style="520" customWidth="1"/>
    <col min="9999" max="10001" width="14.5703125" style="520" customWidth="1"/>
    <col min="10002" max="10002" width="15" style="520" customWidth="1"/>
    <col min="10003" max="10003" width="9.85546875" style="520" customWidth="1"/>
    <col min="10004" max="10004" width="8.85546875" style="520" customWidth="1"/>
    <col min="10005" max="10005" width="17.42578125" style="520" customWidth="1"/>
    <col min="10006" max="10006" width="17.5703125" style="520" customWidth="1"/>
    <col min="10007" max="10010" width="18.140625" style="520" customWidth="1"/>
    <col min="10011" max="10011" width="17.140625" style="520" customWidth="1"/>
    <col min="10012" max="10013" width="11" style="520" customWidth="1"/>
    <col min="10014" max="10014" width="9.85546875" style="520" customWidth="1"/>
    <col min="10015" max="10015" width="12.7109375" style="520" bestFit="1" customWidth="1"/>
    <col min="10016" max="10016" width="11.140625" style="520" customWidth="1"/>
    <col min="10017" max="10017" width="12.140625" style="520" customWidth="1"/>
    <col min="10018" max="10019" width="19.7109375" style="520" customWidth="1"/>
    <col min="10020" max="10020" width="18.85546875" style="520" customWidth="1"/>
    <col min="10021" max="10240" width="11.140625" style="520"/>
    <col min="10241" max="10241" width="9.42578125" style="520" customWidth="1"/>
    <col min="10242" max="10242" width="12.42578125" style="520" customWidth="1"/>
    <col min="10243" max="10243" width="20.140625" style="520" customWidth="1"/>
    <col min="10244" max="10246" width="19.85546875" style="520" customWidth="1"/>
    <col min="10247" max="10247" width="17.85546875" style="520" bestFit="1" customWidth="1"/>
    <col min="10248" max="10248" width="15.85546875" style="520" customWidth="1"/>
    <col min="10249" max="10249" width="21.28515625" style="520" customWidth="1"/>
    <col min="10250" max="10250" width="14.5703125" style="520" customWidth="1"/>
    <col min="10251" max="10251" width="16.85546875" style="520" bestFit="1" customWidth="1"/>
    <col min="10252" max="10252" width="18.7109375" style="520" customWidth="1"/>
    <col min="10253" max="10254" width="16" style="520" customWidth="1"/>
    <col min="10255" max="10257" width="14.5703125" style="520" customWidth="1"/>
    <col min="10258" max="10258" width="15" style="520" customWidth="1"/>
    <col min="10259" max="10259" width="9.85546875" style="520" customWidth="1"/>
    <col min="10260" max="10260" width="8.85546875" style="520" customWidth="1"/>
    <col min="10261" max="10261" width="17.42578125" style="520" customWidth="1"/>
    <col min="10262" max="10262" width="17.5703125" style="520" customWidth="1"/>
    <col min="10263" max="10266" width="18.140625" style="520" customWidth="1"/>
    <col min="10267" max="10267" width="17.140625" style="520" customWidth="1"/>
    <col min="10268" max="10269" width="11" style="520" customWidth="1"/>
    <col min="10270" max="10270" width="9.85546875" style="520" customWidth="1"/>
    <col min="10271" max="10271" width="12.7109375" style="520" bestFit="1" customWidth="1"/>
    <col min="10272" max="10272" width="11.140625" style="520" customWidth="1"/>
    <col min="10273" max="10273" width="12.140625" style="520" customWidth="1"/>
    <col min="10274" max="10275" width="19.7109375" style="520" customWidth="1"/>
    <col min="10276" max="10276" width="18.85546875" style="520" customWidth="1"/>
    <col min="10277" max="10496" width="11.140625" style="520"/>
    <col min="10497" max="10497" width="9.42578125" style="520" customWidth="1"/>
    <col min="10498" max="10498" width="12.42578125" style="520" customWidth="1"/>
    <col min="10499" max="10499" width="20.140625" style="520" customWidth="1"/>
    <col min="10500" max="10502" width="19.85546875" style="520" customWidth="1"/>
    <col min="10503" max="10503" width="17.85546875" style="520" bestFit="1" customWidth="1"/>
    <col min="10504" max="10504" width="15.85546875" style="520" customWidth="1"/>
    <col min="10505" max="10505" width="21.28515625" style="520" customWidth="1"/>
    <col min="10506" max="10506" width="14.5703125" style="520" customWidth="1"/>
    <col min="10507" max="10507" width="16.85546875" style="520" bestFit="1" customWidth="1"/>
    <col min="10508" max="10508" width="18.7109375" style="520" customWidth="1"/>
    <col min="10509" max="10510" width="16" style="520" customWidth="1"/>
    <col min="10511" max="10513" width="14.5703125" style="520" customWidth="1"/>
    <col min="10514" max="10514" width="15" style="520" customWidth="1"/>
    <col min="10515" max="10515" width="9.85546875" style="520" customWidth="1"/>
    <col min="10516" max="10516" width="8.85546875" style="520" customWidth="1"/>
    <col min="10517" max="10517" width="17.42578125" style="520" customWidth="1"/>
    <col min="10518" max="10518" width="17.5703125" style="520" customWidth="1"/>
    <col min="10519" max="10522" width="18.140625" style="520" customWidth="1"/>
    <col min="10523" max="10523" width="17.140625" style="520" customWidth="1"/>
    <col min="10524" max="10525" width="11" style="520" customWidth="1"/>
    <col min="10526" max="10526" width="9.85546875" style="520" customWidth="1"/>
    <col min="10527" max="10527" width="12.7109375" style="520" bestFit="1" customWidth="1"/>
    <col min="10528" max="10528" width="11.140625" style="520" customWidth="1"/>
    <col min="10529" max="10529" width="12.140625" style="520" customWidth="1"/>
    <col min="10530" max="10531" width="19.7109375" style="520" customWidth="1"/>
    <col min="10532" max="10532" width="18.85546875" style="520" customWidth="1"/>
    <col min="10533" max="10752" width="11.140625" style="520"/>
    <col min="10753" max="10753" width="9.42578125" style="520" customWidth="1"/>
    <col min="10754" max="10754" width="12.42578125" style="520" customWidth="1"/>
    <col min="10755" max="10755" width="20.140625" style="520" customWidth="1"/>
    <col min="10756" max="10758" width="19.85546875" style="520" customWidth="1"/>
    <col min="10759" max="10759" width="17.85546875" style="520" bestFit="1" customWidth="1"/>
    <col min="10760" max="10760" width="15.85546875" style="520" customWidth="1"/>
    <col min="10761" max="10761" width="21.28515625" style="520" customWidth="1"/>
    <col min="10762" max="10762" width="14.5703125" style="520" customWidth="1"/>
    <col min="10763" max="10763" width="16.85546875" style="520" bestFit="1" customWidth="1"/>
    <col min="10764" max="10764" width="18.7109375" style="520" customWidth="1"/>
    <col min="10765" max="10766" width="16" style="520" customWidth="1"/>
    <col min="10767" max="10769" width="14.5703125" style="520" customWidth="1"/>
    <col min="10770" max="10770" width="15" style="520" customWidth="1"/>
    <col min="10771" max="10771" width="9.85546875" style="520" customWidth="1"/>
    <col min="10772" max="10772" width="8.85546875" style="520" customWidth="1"/>
    <col min="10773" max="10773" width="17.42578125" style="520" customWidth="1"/>
    <col min="10774" max="10774" width="17.5703125" style="520" customWidth="1"/>
    <col min="10775" max="10778" width="18.140625" style="520" customWidth="1"/>
    <col min="10779" max="10779" width="17.140625" style="520" customWidth="1"/>
    <col min="10780" max="10781" width="11" style="520" customWidth="1"/>
    <col min="10782" max="10782" width="9.85546875" style="520" customWidth="1"/>
    <col min="10783" max="10783" width="12.7109375" style="520" bestFit="1" customWidth="1"/>
    <col min="10784" max="10784" width="11.140625" style="520" customWidth="1"/>
    <col min="10785" max="10785" width="12.140625" style="520" customWidth="1"/>
    <col min="10786" max="10787" width="19.7109375" style="520" customWidth="1"/>
    <col min="10788" max="10788" width="18.85546875" style="520" customWidth="1"/>
    <col min="10789" max="11008" width="11.140625" style="520"/>
    <col min="11009" max="11009" width="9.42578125" style="520" customWidth="1"/>
    <col min="11010" max="11010" width="12.42578125" style="520" customWidth="1"/>
    <col min="11011" max="11011" width="20.140625" style="520" customWidth="1"/>
    <col min="11012" max="11014" width="19.85546875" style="520" customWidth="1"/>
    <col min="11015" max="11015" width="17.85546875" style="520" bestFit="1" customWidth="1"/>
    <col min="11016" max="11016" width="15.85546875" style="520" customWidth="1"/>
    <col min="11017" max="11017" width="21.28515625" style="520" customWidth="1"/>
    <col min="11018" max="11018" width="14.5703125" style="520" customWidth="1"/>
    <col min="11019" max="11019" width="16.85546875" style="520" bestFit="1" customWidth="1"/>
    <col min="11020" max="11020" width="18.7109375" style="520" customWidth="1"/>
    <col min="11021" max="11022" width="16" style="520" customWidth="1"/>
    <col min="11023" max="11025" width="14.5703125" style="520" customWidth="1"/>
    <col min="11026" max="11026" width="15" style="520" customWidth="1"/>
    <col min="11027" max="11027" width="9.85546875" style="520" customWidth="1"/>
    <col min="11028" max="11028" width="8.85546875" style="520" customWidth="1"/>
    <col min="11029" max="11029" width="17.42578125" style="520" customWidth="1"/>
    <col min="11030" max="11030" width="17.5703125" style="520" customWidth="1"/>
    <col min="11031" max="11034" width="18.140625" style="520" customWidth="1"/>
    <col min="11035" max="11035" width="17.140625" style="520" customWidth="1"/>
    <col min="11036" max="11037" width="11" style="520" customWidth="1"/>
    <col min="11038" max="11038" width="9.85546875" style="520" customWidth="1"/>
    <col min="11039" max="11039" width="12.7109375" style="520" bestFit="1" customWidth="1"/>
    <col min="11040" max="11040" width="11.140625" style="520" customWidth="1"/>
    <col min="11041" max="11041" width="12.140625" style="520" customWidth="1"/>
    <col min="11042" max="11043" width="19.7109375" style="520" customWidth="1"/>
    <col min="11044" max="11044" width="18.85546875" style="520" customWidth="1"/>
    <col min="11045" max="11264" width="11.140625" style="520"/>
    <col min="11265" max="11265" width="9.42578125" style="520" customWidth="1"/>
    <col min="11266" max="11266" width="12.42578125" style="520" customWidth="1"/>
    <col min="11267" max="11267" width="20.140625" style="520" customWidth="1"/>
    <col min="11268" max="11270" width="19.85546875" style="520" customWidth="1"/>
    <col min="11271" max="11271" width="17.85546875" style="520" bestFit="1" customWidth="1"/>
    <col min="11272" max="11272" width="15.85546875" style="520" customWidth="1"/>
    <col min="11273" max="11273" width="21.28515625" style="520" customWidth="1"/>
    <col min="11274" max="11274" width="14.5703125" style="520" customWidth="1"/>
    <col min="11275" max="11275" width="16.85546875" style="520" bestFit="1" customWidth="1"/>
    <col min="11276" max="11276" width="18.7109375" style="520" customWidth="1"/>
    <col min="11277" max="11278" width="16" style="520" customWidth="1"/>
    <col min="11279" max="11281" width="14.5703125" style="520" customWidth="1"/>
    <col min="11282" max="11282" width="15" style="520" customWidth="1"/>
    <col min="11283" max="11283" width="9.85546875" style="520" customWidth="1"/>
    <col min="11284" max="11284" width="8.85546875" style="520" customWidth="1"/>
    <col min="11285" max="11285" width="17.42578125" style="520" customWidth="1"/>
    <col min="11286" max="11286" width="17.5703125" style="520" customWidth="1"/>
    <col min="11287" max="11290" width="18.140625" style="520" customWidth="1"/>
    <col min="11291" max="11291" width="17.140625" style="520" customWidth="1"/>
    <col min="11292" max="11293" width="11" style="520" customWidth="1"/>
    <col min="11294" max="11294" width="9.85546875" style="520" customWidth="1"/>
    <col min="11295" max="11295" width="12.7109375" style="520" bestFit="1" customWidth="1"/>
    <col min="11296" max="11296" width="11.140625" style="520" customWidth="1"/>
    <col min="11297" max="11297" width="12.140625" style="520" customWidth="1"/>
    <col min="11298" max="11299" width="19.7109375" style="520" customWidth="1"/>
    <col min="11300" max="11300" width="18.85546875" style="520" customWidth="1"/>
    <col min="11301" max="11520" width="11.140625" style="520"/>
    <col min="11521" max="11521" width="9.42578125" style="520" customWidth="1"/>
    <col min="11522" max="11522" width="12.42578125" style="520" customWidth="1"/>
    <col min="11523" max="11523" width="20.140625" style="520" customWidth="1"/>
    <col min="11524" max="11526" width="19.85546875" style="520" customWidth="1"/>
    <col min="11527" max="11527" width="17.85546875" style="520" bestFit="1" customWidth="1"/>
    <col min="11528" max="11528" width="15.85546875" style="520" customWidth="1"/>
    <col min="11529" max="11529" width="21.28515625" style="520" customWidth="1"/>
    <col min="11530" max="11530" width="14.5703125" style="520" customWidth="1"/>
    <col min="11531" max="11531" width="16.85546875" style="520" bestFit="1" customWidth="1"/>
    <col min="11532" max="11532" width="18.7109375" style="520" customWidth="1"/>
    <col min="11533" max="11534" width="16" style="520" customWidth="1"/>
    <col min="11535" max="11537" width="14.5703125" style="520" customWidth="1"/>
    <col min="11538" max="11538" width="15" style="520" customWidth="1"/>
    <col min="11539" max="11539" width="9.85546875" style="520" customWidth="1"/>
    <col min="11540" max="11540" width="8.85546875" style="520" customWidth="1"/>
    <col min="11541" max="11541" width="17.42578125" style="520" customWidth="1"/>
    <col min="11542" max="11542" width="17.5703125" style="520" customWidth="1"/>
    <col min="11543" max="11546" width="18.140625" style="520" customWidth="1"/>
    <col min="11547" max="11547" width="17.140625" style="520" customWidth="1"/>
    <col min="11548" max="11549" width="11" style="520" customWidth="1"/>
    <col min="11550" max="11550" width="9.85546875" style="520" customWidth="1"/>
    <col min="11551" max="11551" width="12.7109375" style="520" bestFit="1" customWidth="1"/>
    <col min="11552" max="11552" width="11.140625" style="520" customWidth="1"/>
    <col min="11553" max="11553" width="12.140625" style="520" customWidth="1"/>
    <col min="11554" max="11555" width="19.7109375" style="520" customWidth="1"/>
    <col min="11556" max="11556" width="18.85546875" style="520" customWidth="1"/>
    <col min="11557" max="11776" width="11.140625" style="520"/>
    <col min="11777" max="11777" width="9.42578125" style="520" customWidth="1"/>
    <col min="11778" max="11778" width="12.42578125" style="520" customWidth="1"/>
    <col min="11779" max="11779" width="20.140625" style="520" customWidth="1"/>
    <col min="11780" max="11782" width="19.85546875" style="520" customWidth="1"/>
    <col min="11783" max="11783" width="17.85546875" style="520" bestFit="1" customWidth="1"/>
    <col min="11784" max="11784" width="15.85546875" style="520" customWidth="1"/>
    <col min="11785" max="11785" width="21.28515625" style="520" customWidth="1"/>
    <col min="11786" max="11786" width="14.5703125" style="520" customWidth="1"/>
    <col min="11787" max="11787" width="16.85546875" style="520" bestFit="1" customWidth="1"/>
    <col min="11788" max="11788" width="18.7109375" style="520" customWidth="1"/>
    <col min="11789" max="11790" width="16" style="520" customWidth="1"/>
    <col min="11791" max="11793" width="14.5703125" style="520" customWidth="1"/>
    <col min="11794" max="11794" width="15" style="520" customWidth="1"/>
    <col min="11795" max="11795" width="9.85546875" style="520" customWidth="1"/>
    <col min="11796" max="11796" width="8.85546875" style="520" customWidth="1"/>
    <col min="11797" max="11797" width="17.42578125" style="520" customWidth="1"/>
    <col min="11798" max="11798" width="17.5703125" style="520" customWidth="1"/>
    <col min="11799" max="11802" width="18.140625" style="520" customWidth="1"/>
    <col min="11803" max="11803" width="17.140625" style="520" customWidth="1"/>
    <col min="11804" max="11805" width="11" style="520" customWidth="1"/>
    <col min="11806" max="11806" width="9.85546875" style="520" customWidth="1"/>
    <col min="11807" max="11807" width="12.7109375" style="520" bestFit="1" customWidth="1"/>
    <col min="11808" max="11808" width="11.140625" style="520" customWidth="1"/>
    <col min="11809" max="11809" width="12.140625" style="520" customWidth="1"/>
    <col min="11810" max="11811" width="19.7109375" style="520" customWidth="1"/>
    <col min="11812" max="11812" width="18.85546875" style="520" customWidth="1"/>
    <col min="11813" max="12032" width="11.140625" style="520"/>
    <col min="12033" max="12033" width="9.42578125" style="520" customWidth="1"/>
    <col min="12034" max="12034" width="12.42578125" style="520" customWidth="1"/>
    <col min="12035" max="12035" width="20.140625" style="520" customWidth="1"/>
    <col min="12036" max="12038" width="19.85546875" style="520" customWidth="1"/>
    <col min="12039" max="12039" width="17.85546875" style="520" bestFit="1" customWidth="1"/>
    <col min="12040" max="12040" width="15.85546875" style="520" customWidth="1"/>
    <col min="12041" max="12041" width="21.28515625" style="520" customWidth="1"/>
    <col min="12042" max="12042" width="14.5703125" style="520" customWidth="1"/>
    <col min="12043" max="12043" width="16.85546875" style="520" bestFit="1" customWidth="1"/>
    <col min="12044" max="12044" width="18.7109375" style="520" customWidth="1"/>
    <col min="12045" max="12046" width="16" style="520" customWidth="1"/>
    <col min="12047" max="12049" width="14.5703125" style="520" customWidth="1"/>
    <col min="12050" max="12050" width="15" style="520" customWidth="1"/>
    <col min="12051" max="12051" width="9.85546875" style="520" customWidth="1"/>
    <col min="12052" max="12052" width="8.85546875" style="520" customWidth="1"/>
    <col min="12053" max="12053" width="17.42578125" style="520" customWidth="1"/>
    <col min="12054" max="12054" width="17.5703125" style="520" customWidth="1"/>
    <col min="12055" max="12058" width="18.140625" style="520" customWidth="1"/>
    <col min="12059" max="12059" width="17.140625" style="520" customWidth="1"/>
    <col min="12060" max="12061" width="11" style="520" customWidth="1"/>
    <col min="12062" max="12062" width="9.85546875" style="520" customWidth="1"/>
    <col min="12063" max="12063" width="12.7109375" style="520" bestFit="1" customWidth="1"/>
    <col min="12064" max="12064" width="11.140625" style="520" customWidth="1"/>
    <col min="12065" max="12065" width="12.140625" style="520" customWidth="1"/>
    <col min="12066" max="12067" width="19.7109375" style="520" customWidth="1"/>
    <col min="12068" max="12068" width="18.85546875" style="520" customWidth="1"/>
    <col min="12069" max="12288" width="11.140625" style="520"/>
    <col min="12289" max="12289" width="9.42578125" style="520" customWidth="1"/>
    <col min="12290" max="12290" width="12.42578125" style="520" customWidth="1"/>
    <col min="12291" max="12291" width="20.140625" style="520" customWidth="1"/>
    <col min="12292" max="12294" width="19.85546875" style="520" customWidth="1"/>
    <col min="12295" max="12295" width="17.85546875" style="520" bestFit="1" customWidth="1"/>
    <col min="12296" max="12296" width="15.85546875" style="520" customWidth="1"/>
    <col min="12297" max="12297" width="21.28515625" style="520" customWidth="1"/>
    <col min="12298" max="12298" width="14.5703125" style="520" customWidth="1"/>
    <col min="12299" max="12299" width="16.85546875" style="520" bestFit="1" customWidth="1"/>
    <col min="12300" max="12300" width="18.7109375" style="520" customWidth="1"/>
    <col min="12301" max="12302" width="16" style="520" customWidth="1"/>
    <col min="12303" max="12305" width="14.5703125" style="520" customWidth="1"/>
    <col min="12306" max="12306" width="15" style="520" customWidth="1"/>
    <col min="12307" max="12307" width="9.85546875" style="520" customWidth="1"/>
    <col min="12308" max="12308" width="8.85546875" style="520" customWidth="1"/>
    <col min="12309" max="12309" width="17.42578125" style="520" customWidth="1"/>
    <col min="12310" max="12310" width="17.5703125" style="520" customWidth="1"/>
    <col min="12311" max="12314" width="18.140625" style="520" customWidth="1"/>
    <col min="12315" max="12315" width="17.140625" style="520" customWidth="1"/>
    <col min="12316" max="12317" width="11" style="520" customWidth="1"/>
    <col min="12318" max="12318" width="9.85546875" style="520" customWidth="1"/>
    <col min="12319" max="12319" width="12.7109375" style="520" bestFit="1" customWidth="1"/>
    <col min="12320" max="12320" width="11.140625" style="520" customWidth="1"/>
    <col min="12321" max="12321" width="12.140625" style="520" customWidth="1"/>
    <col min="12322" max="12323" width="19.7109375" style="520" customWidth="1"/>
    <col min="12324" max="12324" width="18.85546875" style="520" customWidth="1"/>
    <col min="12325" max="12544" width="11.140625" style="520"/>
    <col min="12545" max="12545" width="9.42578125" style="520" customWidth="1"/>
    <col min="12546" max="12546" width="12.42578125" style="520" customWidth="1"/>
    <col min="12547" max="12547" width="20.140625" style="520" customWidth="1"/>
    <col min="12548" max="12550" width="19.85546875" style="520" customWidth="1"/>
    <col min="12551" max="12551" width="17.85546875" style="520" bestFit="1" customWidth="1"/>
    <col min="12552" max="12552" width="15.85546875" style="520" customWidth="1"/>
    <col min="12553" max="12553" width="21.28515625" style="520" customWidth="1"/>
    <col min="12554" max="12554" width="14.5703125" style="520" customWidth="1"/>
    <col min="12555" max="12555" width="16.85546875" style="520" bestFit="1" customWidth="1"/>
    <col min="12556" max="12556" width="18.7109375" style="520" customWidth="1"/>
    <col min="12557" max="12558" width="16" style="520" customWidth="1"/>
    <col min="12559" max="12561" width="14.5703125" style="520" customWidth="1"/>
    <col min="12562" max="12562" width="15" style="520" customWidth="1"/>
    <col min="12563" max="12563" width="9.85546875" style="520" customWidth="1"/>
    <col min="12564" max="12564" width="8.85546875" style="520" customWidth="1"/>
    <col min="12565" max="12565" width="17.42578125" style="520" customWidth="1"/>
    <col min="12566" max="12566" width="17.5703125" style="520" customWidth="1"/>
    <col min="12567" max="12570" width="18.140625" style="520" customWidth="1"/>
    <col min="12571" max="12571" width="17.140625" style="520" customWidth="1"/>
    <col min="12572" max="12573" width="11" style="520" customWidth="1"/>
    <col min="12574" max="12574" width="9.85546875" style="520" customWidth="1"/>
    <col min="12575" max="12575" width="12.7109375" style="520" bestFit="1" customWidth="1"/>
    <col min="12576" max="12576" width="11.140625" style="520" customWidth="1"/>
    <col min="12577" max="12577" width="12.140625" style="520" customWidth="1"/>
    <col min="12578" max="12579" width="19.7109375" style="520" customWidth="1"/>
    <col min="12580" max="12580" width="18.85546875" style="520" customWidth="1"/>
    <col min="12581" max="12800" width="11.140625" style="520"/>
    <col min="12801" max="12801" width="9.42578125" style="520" customWidth="1"/>
    <col min="12802" max="12802" width="12.42578125" style="520" customWidth="1"/>
    <col min="12803" max="12803" width="20.140625" style="520" customWidth="1"/>
    <col min="12804" max="12806" width="19.85546875" style="520" customWidth="1"/>
    <col min="12807" max="12807" width="17.85546875" style="520" bestFit="1" customWidth="1"/>
    <col min="12808" max="12808" width="15.85546875" style="520" customWidth="1"/>
    <col min="12809" max="12809" width="21.28515625" style="520" customWidth="1"/>
    <col min="12810" max="12810" width="14.5703125" style="520" customWidth="1"/>
    <col min="12811" max="12811" width="16.85546875" style="520" bestFit="1" customWidth="1"/>
    <col min="12812" max="12812" width="18.7109375" style="520" customWidth="1"/>
    <col min="12813" max="12814" width="16" style="520" customWidth="1"/>
    <col min="12815" max="12817" width="14.5703125" style="520" customWidth="1"/>
    <col min="12818" max="12818" width="15" style="520" customWidth="1"/>
    <col min="12819" max="12819" width="9.85546875" style="520" customWidth="1"/>
    <col min="12820" max="12820" width="8.85546875" style="520" customWidth="1"/>
    <col min="12821" max="12821" width="17.42578125" style="520" customWidth="1"/>
    <col min="12822" max="12822" width="17.5703125" style="520" customWidth="1"/>
    <col min="12823" max="12826" width="18.140625" style="520" customWidth="1"/>
    <col min="12827" max="12827" width="17.140625" style="520" customWidth="1"/>
    <col min="12828" max="12829" width="11" style="520" customWidth="1"/>
    <col min="12830" max="12830" width="9.85546875" style="520" customWidth="1"/>
    <col min="12831" max="12831" width="12.7109375" style="520" bestFit="1" customWidth="1"/>
    <col min="12832" max="12832" width="11.140625" style="520" customWidth="1"/>
    <col min="12833" max="12833" width="12.140625" style="520" customWidth="1"/>
    <col min="12834" max="12835" width="19.7109375" style="520" customWidth="1"/>
    <col min="12836" max="12836" width="18.85546875" style="520" customWidth="1"/>
    <col min="12837" max="13056" width="11.140625" style="520"/>
    <col min="13057" max="13057" width="9.42578125" style="520" customWidth="1"/>
    <col min="13058" max="13058" width="12.42578125" style="520" customWidth="1"/>
    <col min="13059" max="13059" width="20.140625" style="520" customWidth="1"/>
    <col min="13060" max="13062" width="19.85546875" style="520" customWidth="1"/>
    <col min="13063" max="13063" width="17.85546875" style="520" bestFit="1" customWidth="1"/>
    <col min="13064" max="13064" width="15.85546875" style="520" customWidth="1"/>
    <col min="13065" max="13065" width="21.28515625" style="520" customWidth="1"/>
    <col min="13066" max="13066" width="14.5703125" style="520" customWidth="1"/>
    <col min="13067" max="13067" width="16.85546875" style="520" bestFit="1" customWidth="1"/>
    <col min="13068" max="13068" width="18.7109375" style="520" customWidth="1"/>
    <col min="13069" max="13070" width="16" style="520" customWidth="1"/>
    <col min="13071" max="13073" width="14.5703125" style="520" customWidth="1"/>
    <col min="13074" max="13074" width="15" style="520" customWidth="1"/>
    <col min="13075" max="13075" width="9.85546875" style="520" customWidth="1"/>
    <col min="13076" max="13076" width="8.85546875" style="520" customWidth="1"/>
    <col min="13077" max="13077" width="17.42578125" style="520" customWidth="1"/>
    <col min="13078" max="13078" width="17.5703125" style="520" customWidth="1"/>
    <col min="13079" max="13082" width="18.140625" style="520" customWidth="1"/>
    <col min="13083" max="13083" width="17.140625" style="520" customWidth="1"/>
    <col min="13084" max="13085" width="11" style="520" customWidth="1"/>
    <col min="13086" max="13086" width="9.85546875" style="520" customWidth="1"/>
    <col min="13087" max="13087" width="12.7109375" style="520" bestFit="1" customWidth="1"/>
    <col min="13088" max="13088" width="11.140625" style="520" customWidth="1"/>
    <col min="13089" max="13089" width="12.140625" style="520" customWidth="1"/>
    <col min="13090" max="13091" width="19.7109375" style="520" customWidth="1"/>
    <col min="13092" max="13092" width="18.85546875" style="520" customWidth="1"/>
    <col min="13093" max="13312" width="11.140625" style="520"/>
    <col min="13313" max="13313" width="9.42578125" style="520" customWidth="1"/>
    <col min="13314" max="13314" width="12.42578125" style="520" customWidth="1"/>
    <col min="13315" max="13315" width="20.140625" style="520" customWidth="1"/>
    <col min="13316" max="13318" width="19.85546875" style="520" customWidth="1"/>
    <col min="13319" max="13319" width="17.85546875" style="520" bestFit="1" customWidth="1"/>
    <col min="13320" max="13320" width="15.85546875" style="520" customWidth="1"/>
    <col min="13321" max="13321" width="21.28515625" style="520" customWidth="1"/>
    <col min="13322" max="13322" width="14.5703125" style="520" customWidth="1"/>
    <col min="13323" max="13323" width="16.85546875" style="520" bestFit="1" customWidth="1"/>
    <col min="13324" max="13324" width="18.7109375" style="520" customWidth="1"/>
    <col min="13325" max="13326" width="16" style="520" customWidth="1"/>
    <col min="13327" max="13329" width="14.5703125" style="520" customWidth="1"/>
    <col min="13330" max="13330" width="15" style="520" customWidth="1"/>
    <col min="13331" max="13331" width="9.85546875" style="520" customWidth="1"/>
    <col min="13332" max="13332" width="8.85546875" style="520" customWidth="1"/>
    <col min="13333" max="13333" width="17.42578125" style="520" customWidth="1"/>
    <col min="13334" max="13334" width="17.5703125" style="520" customWidth="1"/>
    <col min="13335" max="13338" width="18.140625" style="520" customWidth="1"/>
    <col min="13339" max="13339" width="17.140625" style="520" customWidth="1"/>
    <col min="13340" max="13341" width="11" style="520" customWidth="1"/>
    <col min="13342" max="13342" width="9.85546875" style="520" customWidth="1"/>
    <col min="13343" max="13343" width="12.7109375" style="520" bestFit="1" customWidth="1"/>
    <col min="13344" max="13344" width="11.140625" style="520" customWidth="1"/>
    <col min="13345" max="13345" width="12.140625" style="520" customWidth="1"/>
    <col min="13346" max="13347" width="19.7109375" style="520" customWidth="1"/>
    <col min="13348" max="13348" width="18.85546875" style="520" customWidth="1"/>
    <col min="13349" max="13568" width="11.140625" style="520"/>
    <col min="13569" max="13569" width="9.42578125" style="520" customWidth="1"/>
    <col min="13570" max="13570" width="12.42578125" style="520" customWidth="1"/>
    <col min="13571" max="13571" width="20.140625" style="520" customWidth="1"/>
    <col min="13572" max="13574" width="19.85546875" style="520" customWidth="1"/>
    <col min="13575" max="13575" width="17.85546875" style="520" bestFit="1" customWidth="1"/>
    <col min="13576" max="13576" width="15.85546875" style="520" customWidth="1"/>
    <col min="13577" max="13577" width="21.28515625" style="520" customWidth="1"/>
    <col min="13578" max="13578" width="14.5703125" style="520" customWidth="1"/>
    <col min="13579" max="13579" width="16.85546875" style="520" bestFit="1" customWidth="1"/>
    <col min="13580" max="13580" width="18.7109375" style="520" customWidth="1"/>
    <col min="13581" max="13582" width="16" style="520" customWidth="1"/>
    <col min="13583" max="13585" width="14.5703125" style="520" customWidth="1"/>
    <col min="13586" max="13586" width="15" style="520" customWidth="1"/>
    <col min="13587" max="13587" width="9.85546875" style="520" customWidth="1"/>
    <col min="13588" max="13588" width="8.85546875" style="520" customWidth="1"/>
    <col min="13589" max="13589" width="17.42578125" style="520" customWidth="1"/>
    <col min="13590" max="13590" width="17.5703125" style="520" customWidth="1"/>
    <col min="13591" max="13594" width="18.140625" style="520" customWidth="1"/>
    <col min="13595" max="13595" width="17.140625" style="520" customWidth="1"/>
    <col min="13596" max="13597" width="11" style="520" customWidth="1"/>
    <col min="13598" max="13598" width="9.85546875" style="520" customWidth="1"/>
    <col min="13599" max="13599" width="12.7109375" style="520" bestFit="1" customWidth="1"/>
    <col min="13600" max="13600" width="11.140625" style="520" customWidth="1"/>
    <col min="13601" max="13601" width="12.140625" style="520" customWidth="1"/>
    <col min="13602" max="13603" width="19.7109375" style="520" customWidth="1"/>
    <col min="13604" max="13604" width="18.85546875" style="520" customWidth="1"/>
    <col min="13605" max="13824" width="11.140625" style="520"/>
    <col min="13825" max="13825" width="9.42578125" style="520" customWidth="1"/>
    <col min="13826" max="13826" width="12.42578125" style="520" customWidth="1"/>
    <col min="13827" max="13827" width="20.140625" style="520" customWidth="1"/>
    <col min="13828" max="13830" width="19.85546875" style="520" customWidth="1"/>
    <col min="13831" max="13831" width="17.85546875" style="520" bestFit="1" customWidth="1"/>
    <col min="13832" max="13832" width="15.85546875" style="520" customWidth="1"/>
    <col min="13833" max="13833" width="21.28515625" style="520" customWidth="1"/>
    <col min="13834" max="13834" width="14.5703125" style="520" customWidth="1"/>
    <col min="13835" max="13835" width="16.85546875" style="520" bestFit="1" customWidth="1"/>
    <col min="13836" max="13836" width="18.7109375" style="520" customWidth="1"/>
    <col min="13837" max="13838" width="16" style="520" customWidth="1"/>
    <col min="13839" max="13841" width="14.5703125" style="520" customWidth="1"/>
    <col min="13842" max="13842" width="15" style="520" customWidth="1"/>
    <col min="13843" max="13843" width="9.85546875" style="520" customWidth="1"/>
    <col min="13844" max="13844" width="8.85546875" style="520" customWidth="1"/>
    <col min="13845" max="13845" width="17.42578125" style="520" customWidth="1"/>
    <col min="13846" max="13846" width="17.5703125" style="520" customWidth="1"/>
    <col min="13847" max="13850" width="18.140625" style="520" customWidth="1"/>
    <col min="13851" max="13851" width="17.140625" style="520" customWidth="1"/>
    <col min="13852" max="13853" width="11" style="520" customWidth="1"/>
    <col min="13854" max="13854" width="9.85546875" style="520" customWidth="1"/>
    <col min="13855" max="13855" width="12.7109375" style="520" bestFit="1" customWidth="1"/>
    <col min="13856" max="13856" width="11.140625" style="520" customWidth="1"/>
    <col min="13857" max="13857" width="12.140625" style="520" customWidth="1"/>
    <col min="13858" max="13859" width="19.7109375" style="520" customWidth="1"/>
    <col min="13860" max="13860" width="18.85546875" style="520" customWidth="1"/>
    <col min="13861" max="14080" width="11.140625" style="520"/>
    <col min="14081" max="14081" width="9.42578125" style="520" customWidth="1"/>
    <col min="14082" max="14082" width="12.42578125" style="520" customWidth="1"/>
    <col min="14083" max="14083" width="20.140625" style="520" customWidth="1"/>
    <col min="14084" max="14086" width="19.85546875" style="520" customWidth="1"/>
    <col min="14087" max="14087" width="17.85546875" style="520" bestFit="1" customWidth="1"/>
    <col min="14088" max="14088" width="15.85546875" style="520" customWidth="1"/>
    <col min="14089" max="14089" width="21.28515625" style="520" customWidth="1"/>
    <col min="14090" max="14090" width="14.5703125" style="520" customWidth="1"/>
    <col min="14091" max="14091" width="16.85546875" style="520" bestFit="1" customWidth="1"/>
    <col min="14092" max="14092" width="18.7109375" style="520" customWidth="1"/>
    <col min="14093" max="14094" width="16" style="520" customWidth="1"/>
    <col min="14095" max="14097" width="14.5703125" style="520" customWidth="1"/>
    <col min="14098" max="14098" width="15" style="520" customWidth="1"/>
    <col min="14099" max="14099" width="9.85546875" style="520" customWidth="1"/>
    <col min="14100" max="14100" width="8.85546875" style="520" customWidth="1"/>
    <col min="14101" max="14101" width="17.42578125" style="520" customWidth="1"/>
    <col min="14102" max="14102" width="17.5703125" style="520" customWidth="1"/>
    <col min="14103" max="14106" width="18.140625" style="520" customWidth="1"/>
    <col min="14107" max="14107" width="17.140625" style="520" customWidth="1"/>
    <col min="14108" max="14109" width="11" style="520" customWidth="1"/>
    <col min="14110" max="14110" width="9.85546875" style="520" customWidth="1"/>
    <col min="14111" max="14111" width="12.7109375" style="520" bestFit="1" customWidth="1"/>
    <col min="14112" max="14112" width="11.140625" style="520" customWidth="1"/>
    <col min="14113" max="14113" width="12.140625" style="520" customWidth="1"/>
    <col min="14114" max="14115" width="19.7109375" style="520" customWidth="1"/>
    <col min="14116" max="14116" width="18.85546875" style="520" customWidth="1"/>
    <col min="14117" max="14336" width="11.140625" style="520"/>
    <col min="14337" max="14337" width="9.42578125" style="520" customWidth="1"/>
    <col min="14338" max="14338" width="12.42578125" style="520" customWidth="1"/>
    <col min="14339" max="14339" width="20.140625" style="520" customWidth="1"/>
    <col min="14340" max="14342" width="19.85546875" style="520" customWidth="1"/>
    <col min="14343" max="14343" width="17.85546875" style="520" bestFit="1" customWidth="1"/>
    <col min="14344" max="14344" width="15.85546875" style="520" customWidth="1"/>
    <col min="14345" max="14345" width="21.28515625" style="520" customWidth="1"/>
    <col min="14346" max="14346" width="14.5703125" style="520" customWidth="1"/>
    <col min="14347" max="14347" width="16.85546875" style="520" bestFit="1" customWidth="1"/>
    <col min="14348" max="14348" width="18.7109375" style="520" customWidth="1"/>
    <col min="14349" max="14350" width="16" style="520" customWidth="1"/>
    <col min="14351" max="14353" width="14.5703125" style="520" customWidth="1"/>
    <col min="14354" max="14354" width="15" style="520" customWidth="1"/>
    <col min="14355" max="14355" width="9.85546875" style="520" customWidth="1"/>
    <col min="14356" max="14356" width="8.85546875" style="520" customWidth="1"/>
    <col min="14357" max="14357" width="17.42578125" style="520" customWidth="1"/>
    <col min="14358" max="14358" width="17.5703125" style="520" customWidth="1"/>
    <col min="14359" max="14362" width="18.140625" style="520" customWidth="1"/>
    <col min="14363" max="14363" width="17.140625" style="520" customWidth="1"/>
    <col min="14364" max="14365" width="11" style="520" customWidth="1"/>
    <col min="14366" max="14366" width="9.85546875" style="520" customWidth="1"/>
    <col min="14367" max="14367" width="12.7109375" style="520" bestFit="1" customWidth="1"/>
    <col min="14368" max="14368" width="11.140625" style="520" customWidth="1"/>
    <col min="14369" max="14369" width="12.140625" style="520" customWidth="1"/>
    <col min="14370" max="14371" width="19.7109375" style="520" customWidth="1"/>
    <col min="14372" max="14372" width="18.85546875" style="520" customWidth="1"/>
    <col min="14373" max="14592" width="11.140625" style="520"/>
    <col min="14593" max="14593" width="9.42578125" style="520" customWidth="1"/>
    <col min="14594" max="14594" width="12.42578125" style="520" customWidth="1"/>
    <col min="14595" max="14595" width="20.140625" style="520" customWidth="1"/>
    <col min="14596" max="14598" width="19.85546875" style="520" customWidth="1"/>
    <col min="14599" max="14599" width="17.85546875" style="520" bestFit="1" customWidth="1"/>
    <col min="14600" max="14600" width="15.85546875" style="520" customWidth="1"/>
    <col min="14601" max="14601" width="21.28515625" style="520" customWidth="1"/>
    <col min="14602" max="14602" width="14.5703125" style="520" customWidth="1"/>
    <col min="14603" max="14603" width="16.85546875" style="520" bestFit="1" customWidth="1"/>
    <col min="14604" max="14604" width="18.7109375" style="520" customWidth="1"/>
    <col min="14605" max="14606" width="16" style="520" customWidth="1"/>
    <col min="14607" max="14609" width="14.5703125" style="520" customWidth="1"/>
    <col min="14610" max="14610" width="15" style="520" customWidth="1"/>
    <col min="14611" max="14611" width="9.85546875" style="520" customWidth="1"/>
    <col min="14612" max="14612" width="8.85546875" style="520" customWidth="1"/>
    <col min="14613" max="14613" width="17.42578125" style="520" customWidth="1"/>
    <col min="14614" max="14614" width="17.5703125" style="520" customWidth="1"/>
    <col min="14615" max="14618" width="18.140625" style="520" customWidth="1"/>
    <col min="14619" max="14619" width="17.140625" style="520" customWidth="1"/>
    <col min="14620" max="14621" width="11" style="520" customWidth="1"/>
    <col min="14622" max="14622" width="9.85546875" style="520" customWidth="1"/>
    <col min="14623" max="14623" width="12.7109375" style="520" bestFit="1" customWidth="1"/>
    <col min="14624" max="14624" width="11.140625" style="520" customWidth="1"/>
    <col min="14625" max="14625" width="12.140625" style="520" customWidth="1"/>
    <col min="14626" max="14627" width="19.7109375" style="520" customWidth="1"/>
    <col min="14628" max="14628" width="18.85546875" style="520" customWidth="1"/>
    <col min="14629" max="14848" width="11.140625" style="520"/>
    <col min="14849" max="14849" width="9.42578125" style="520" customWidth="1"/>
    <col min="14850" max="14850" width="12.42578125" style="520" customWidth="1"/>
    <col min="14851" max="14851" width="20.140625" style="520" customWidth="1"/>
    <col min="14852" max="14854" width="19.85546875" style="520" customWidth="1"/>
    <col min="14855" max="14855" width="17.85546875" style="520" bestFit="1" customWidth="1"/>
    <col min="14856" max="14856" width="15.85546875" style="520" customWidth="1"/>
    <col min="14857" max="14857" width="21.28515625" style="520" customWidth="1"/>
    <col min="14858" max="14858" width="14.5703125" style="520" customWidth="1"/>
    <col min="14859" max="14859" width="16.85546875" style="520" bestFit="1" customWidth="1"/>
    <col min="14860" max="14860" width="18.7109375" style="520" customWidth="1"/>
    <col min="14861" max="14862" width="16" style="520" customWidth="1"/>
    <col min="14863" max="14865" width="14.5703125" style="520" customWidth="1"/>
    <col min="14866" max="14866" width="15" style="520" customWidth="1"/>
    <col min="14867" max="14867" width="9.85546875" style="520" customWidth="1"/>
    <col min="14868" max="14868" width="8.85546875" style="520" customWidth="1"/>
    <col min="14869" max="14869" width="17.42578125" style="520" customWidth="1"/>
    <col min="14870" max="14870" width="17.5703125" style="520" customWidth="1"/>
    <col min="14871" max="14874" width="18.140625" style="520" customWidth="1"/>
    <col min="14875" max="14875" width="17.140625" style="520" customWidth="1"/>
    <col min="14876" max="14877" width="11" style="520" customWidth="1"/>
    <col min="14878" max="14878" width="9.85546875" style="520" customWidth="1"/>
    <col min="14879" max="14879" width="12.7109375" style="520" bestFit="1" customWidth="1"/>
    <col min="14880" max="14880" width="11.140625" style="520" customWidth="1"/>
    <col min="14881" max="14881" width="12.140625" style="520" customWidth="1"/>
    <col min="14882" max="14883" width="19.7109375" style="520" customWidth="1"/>
    <col min="14884" max="14884" width="18.85546875" style="520" customWidth="1"/>
    <col min="14885" max="15104" width="11.140625" style="520"/>
    <col min="15105" max="15105" width="9.42578125" style="520" customWidth="1"/>
    <col min="15106" max="15106" width="12.42578125" style="520" customWidth="1"/>
    <col min="15107" max="15107" width="20.140625" style="520" customWidth="1"/>
    <col min="15108" max="15110" width="19.85546875" style="520" customWidth="1"/>
    <col min="15111" max="15111" width="17.85546875" style="520" bestFit="1" customWidth="1"/>
    <col min="15112" max="15112" width="15.85546875" style="520" customWidth="1"/>
    <col min="15113" max="15113" width="21.28515625" style="520" customWidth="1"/>
    <col min="15114" max="15114" width="14.5703125" style="520" customWidth="1"/>
    <col min="15115" max="15115" width="16.85546875" style="520" bestFit="1" customWidth="1"/>
    <col min="15116" max="15116" width="18.7109375" style="520" customWidth="1"/>
    <col min="15117" max="15118" width="16" style="520" customWidth="1"/>
    <col min="15119" max="15121" width="14.5703125" style="520" customWidth="1"/>
    <col min="15122" max="15122" width="15" style="520" customWidth="1"/>
    <col min="15123" max="15123" width="9.85546875" style="520" customWidth="1"/>
    <col min="15124" max="15124" width="8.85546875" style="520" customWidth="1"/>
    <col min="15125" max="15125" width="17.42578125" style="520" customWidth="1"/>
    <col min="15126" max="15126" width="17.5703125" style="520" customWidth="1"/>
    <col min="15127" max="15130" width="18.140625" style="520" customWidth="1"/>
    <col min="15131" max="15131" width="17.140625" style="520" customWidth="1"/>
    <col min="15132" max="15133" width="11" style="520" customWidth="1"/>
    <col min="15134" max="15134" width="9.85546875" style="520" customWidth="1"/>
    <col min="15135" max="15135" width="12.7109375" style="520" bestFit="1" customWidth="1"/>
    <col min="15136" max="15136" width="11.140625" style="520" customWidth="1"/>
    <col min="15137" max="15137" width="12.140625" style="520" customWidth="1"/>
    <col min="15138" max="15139" width="19.7109375" style="520" customWidth="1"/>
    <col min="15140" max="15140" width="18.85546875" style="520" customWidth="1"/>
    <col min="15141" max="15360" width="11.140625" style="520"/>
    <col min="15361" max="15361" width="9.42578125" style="520" customWidth="1"/>
    <col min="15362" max="15362" width="12.42578125" style="520" customWidth="1"/>
    <col min="15363" max="15363" width="20.140625" style="520" customWidth="1"/>
    <col min="15364" max="15366" width="19.85546875" style="520" customWidth="1"/>
    <col min="15367" max="15367" width="17.85546875" style="520" bestFit="1" customWidth="1"/>
    <col min="15368" max="15368" width="15.85546875" style="520" customWidth="1"/>
    <col min="15369" max="15369" width="21.28515625" style="520" customWidth="1"/>
    <col min="15370" max="15370" width="14.5703125" style="520" customWidth="1"/>
    <col min="15371" max="15371" width="16.85546875" style="520" bestFit="1" customWidth="1"/>
    <col min="15372" max="15372" width="18.7109375" style="520" customWidth="1"/>
    <col min="15373" max="15374" width="16" style="520" customWidth="1"/>
    <col min="15375" max="15377" width="14.5703125" style="520" customWidth="1"/>
    <col min="15378" max="15378" width="15" style="520" customWidth="1"/>
    <col min="15379" max="15379" width="9.85546875" style="520" customWidth="1"/>
    <col min="15380" max="15380" width="8.85546875" style="520" customWidth="1"/>
    <col min="15381" max="15381" width="17.42578125" style="520" customWidth="1"/>
    <col min="15382" max="15382" width="17.5703125" style="520" customWidth="1"/>
    <col min="15383" max="15386" width="18.140625" style="520" customWidth="1"/>
    <col min="15387" max="15387" width="17.140625" style="520" customWidth="1"/>
    <col min="15388" max="15389" width="11" style="520" customWidth="1"/>
    <col min="15390" max="15390" width="9.85546875" style="520" customWidth="1"/>
    <col min="15391" max="15391" width="12.7109375" style="520" bestFit="1" customWidth="1"/>
    <col min="15392" max="15392" width="11.140625" style="520" customWidth="1"/>
    <col min="15393" max="15393" width="12.140625" style="520" customWidth="1"/>
    <col min="15394" max="15395" width="19.7109375" style="520" customWidth="1"/>
    <col min="15396" max="15396" width="18.85546875" style="520" customWidth="1"/>
    <col min="15397" max="15616" width="11.140625" style="520"/>
    <col min="15617" max="15617" width="9.42578125" style="520" customWidth="1"/>
    <col min="15618" max="15618" width="12.42578125" style="520" customWidth="1"/>
    <col min="15619" max="15619" width="20.140625" style="520" customWidth="1"/>
    <col min="15620" max="15622" width="19.85546875" style="520" customWidth="1"/>
    <col min="15623" max="15623" width="17.85546875" style="520" bestFit="1" customWidth="1"/>
    <col min="15624" max="15624" width="15.85546875" style="520" customWidth="1"/>
    <col min="15625" max="15625" width="21.28515625" style="520" customWidth="1"/>
    <col min="15626" max="15626" width="14.5703125" style="520" customWidth="1"/>
    <col min="15627" max="15627" width="16.85546875" style="520" bestFit="1" customWidth="1"/>
    <col min="15628" max="15628" width="18.7109375" style="520" customWidth="1"/>
    <col min="15629" max="15630" width="16" style="520" customWidth="1"/>
    <col min="15631" max="15633" width="14.5703125" style="520" customWidth="1"/>
    <col min="15634" max="15634" width="15" style="520" customWidth="1"/>
    <col min="15635" max="15635" width="9.85546875" style="520" customWidth="1"/>
    <col min="15636" max="15636" width="8.85546875" style="520" customWidth="1"/>
    <col min="15637" max="15637" width="17.42578125" style="520" customWidth="1"/>
    <col min="15638" max="15638" width="17.5703125" style="520" customWidth="1"/>
    <col min="15639" max="15642" width="18.140625" style="520" customWidth="1"/>
    <col min="15643" max="15643" width="17.140625" style="520" customWidth="1"/>
    <col min="15644" max="15645" width="11" style="520" customWidth="1"/>
    <col min="15646" max="15646" width="9.85546875" style="520" customWidth="1"/>
    <col min="15647" max="15647" width="12.7109375" style="520" bestFit="1" customWidth="1"/>
    <col min="15648" max="15648" width="11.140625" style="520" customWidth="1"/>
    <col min="15649" max="15649" width="12.140625" style="520" customWidth="1"/>
    <col min="15650" max="15651" width="19.7109375" style="520" customWidth="1"/>
    <col min="15652" max="15652" width="18.85546875" style="520" customWidth="1"/>
    <col min="15653" max="15872" width="11.140625" style="520"/>
    <col min="15873" max="15873" width="9.42578125" style="520" customWidth="1"/>
    <col min="15874" max="15874" width="12.42578125" style="520" customWidth="1"/>
    <col min="15875" max="15875" width="20.140625" style="520" customWidth="1"/>
    <col min="15876" max="15878" width="19.85546875" style="520" customWidth="1"/>
    <col min="15879" max="15879" width="17.85546875" style="520" bestFit="1" customWidth="1"/>
    <col min="15880" max="15880" width="15.85546875" style="520" customWidth="1"/>
    <col min="15881" max="15881" width="21.28515625" style="520" customWidth="1"/>
    <col min="15882" max="15882" width="14.5703125" style="520" customWidth="1"/>
    <col min="15883" max="15883" width="16.85546875" style="520" bestFit="1" customWidth="1"/>
    <col min="15884" max="15884" width="18.7109375" style="520" customWidth="1"/>
    <col min="15885" max="15886" width="16" style="520" customWidth="1"/>
    <col min="15887" max="15889" width="14.5703125" style="520" customWidth="1"/>
    <col min="15890" max="15890" width="15" style="520" customWidth="1"/>
    <col min="15891" max="15891" width="9.85546875" style="520" customWidth="1"/>
    <col min="15892" max="15892" width="8.85546875" style="520" customWidth="1"/>
    <col min="15893" max="15893" width="17.42578125" style="520" customWidth="1"/>
    <col min="15894" max="15894" width="17.5703125" style="520" customWidth="1"/>
    <col min="15895" max="15898" width="18.140625" style="520" customWidth="1"/>
    <col min="15899" max="15899" width="17.140625" style="520" customWidth="1"/>
    <col min="15900" max="15901" width="11" style="520" customWidth="1"/>
    <col min="15902" max="15902" width="9.85546875" style="520" customWidth="1"/>
    <col min="15903" max="15903" width="12.7109375" style="520" bestFit="1" customWidth="1"/>
    <col min="15904" max="15904" width="11.140625" style="520" customWidth="1"/>
    <col min="15905" max="15905" width="12.140625" style="520" customWidth="1"/>
    <col min="15906" max="15907" width="19.7109375" style="520" customWidth="1"/>
    <col min="15908" max="15908" width="18.85546875" style="520" customWidth="1"/>
    <col min="15909" max="16128" width="11.140625" style="520"/>
    <col min="16129" max="16129" width="9.42578125" style="520" customWidth="1"/>
    <col min="16130" max="16130" width="12.42578125" style="520" customWidth="1"/>
    <col min="16131" max="16131" width="20.140625" style="520" customWidth="1"/>
    <col min="16132" max="16134" width="19.85546875" style="520" customWidth="1"/>
    <col min="16135" max="16135" width="17.85546875" style="520" bestFit="1" customWidth="1"/>
    <col min="16136" max="16136" width="15.85546875" style="520" customWidth="1"/>
    <col min="16137" max="16137" width="21.28515625" style="520" customWidth="1"/>
    <col min="16138" max="16138" width="14.5703125" style="520" customWidth="1"/>
    <col min="16139" max="16139" width="16.85546875" style="520" bestFit="1" customWidth="1"/>
    <col min="16140" max="16140" width="18.7109375" style="520" customWidth="1"/>
    <col min="16141" max="16142" width="16" style="520" customWidth="1"/>
    <col min="16143" max="16145" width="14.5703125" style="520" customWidth="1"/>
    <col min="16146" max="16146" width="15" style="520" customWidth="1"/>
    <col min="16147" max="16147" width="9.85546875" style="520" customWidth="1"/>
    <col min="16148" max="16148" width="8.85546875" style="520" customWidth="1"/>
    <col min="16149" max="16149" width="17.42578125" style="520" customWidth="1"/>
    <col min="16150" max="16150" width="17.5703125" style="520" customWidth="1"/>
    <col min="16151" max="16154" width="18.140625" style="520" customWidth="1"/>
    <col min="16155" max="16155" width="17.140625" style="520" customWidth="1"/>
    <col min="16156" max="16157" width="11" style="520" customWidth="1"/>
    <col min="16158" max="16158" width="9.85546875" style="520" customWidth="1"/>
    <col min="16159" max="16159" width="12.7109375" style="520" bestFit="1" customWidth="1"/>
    <col min="16160" max="16160" width="11.140625" style="520" customWidth="1"/>
    <col min="16161" max="16161" width="12.140625" style="520" customWidth="1"/>
    <col min="16162" max="16163" width="19.7109375" style="520" customWidth="1"/>
    <col min="16164" max="16164" width="18.85546875" style="520" customWidth="1"/>
    <col min="16165" max="16384" width="11.140625" style="520"/>
  </cols>
  <sheetData>
    <row r="1" spans="1:36" s="551" customFormat="1">
      <c r="A1" s="1505" t="s">
        <v>111</v>
      </c>
      <c r="B1" s="1505"/>
      <c r="C1" s="1505"/>
      <c r="D1" s="1505"/>
      <c r="E1" s="1505"/>
      <c r="F1" s="1505"/>
      <c r="G1" s="1505"/>
      <c r="H1" s="581"/>
      <c r="I1" s="581"/>
      <c r="J1" s="581"/>
      <c r="L1" s="582"/>
      <c r="O1" s="582"/>
      <c r="P1" s="582"/>
      <c r="Q1" s="582"/>
      <c r="R1" s="582"/>
      <c r="S1" s="582"/>
      <c r="U1" s="517"/>
      <c r="V1" s="1506" t="s">
        <v>932</v>
      </c>
      <c r="W1" s="1506"/>
      <c r="X1" s="1506"/>
      <c r="Y1" s="1506"/>
      <c r="Z1" s="1506"/>
      <c r="AA1" s="1506"/>
      <c r="AB1" s="1506"/>
      <c r="AC1" s="1506"/>
      <c r="AD1" s="1506"/>
      <c r="AE1" s="1506"/>
      <c r="AF1" s="1506"/>
      <c r="AG1" s="1506"/>
    </row>
    <row r="2" spans="1:36" s="551" customFormat="1">
      <c r="A2" s="1505" t="s">
        <v>113</v>
      </c>
      <c r="B2" s="1505"/>
      <c r="C2" s="1505"/>
      <c r="D2" s="1505"/>
      <c r="E2" s="1505"/>
      <c r="F2" s="1505"/>
      <c r="G2" s="1505"/>
      <c r="H2" s="581"/>
      <c r="I2" s="581"/>
      <c r="J2" s="581"/>
      <c r="L2" s="582"/>
      <c r="O2" s="582"/>
      <c r="P2" s="582"/>
      <c r="Q2" s="582"/>
      <c r="R2" s="582"/>
      <c r="S2" s="582"/>
      <c r="U2" s="517"/>
      <c r="V2" s="1506" t="s">
        <v>999</v>
      </c>
      <c r="W2" s="1506"/>
      <c r="X2" s="1506"/>
      <c r="Y2" s="1506"/>
      <c r="Z2" s="1506"/>
      <c r="AA2" s="1506"/>
      <c r="AB2" s="1506"/>
      <c r="AC2" s="1506"/>
      <c r="AD2" s="1506"/>
      <c r="AE2" s="1506"/>
      <c r="AF2" s="1506"/>
      <c r="AG2" s="1506"/>
    </row>
    <row r="3" spans="1:36" s="551" customFormat="1">
      <c r="A3" s="1506" t="s">
        <v>115</v>
      </c>
      <c r="B3" s="1506"/>
      <c r="C3" s="1506"/>
      <c r="D3" s="1506"/>
      <c r="E3" s="1506"/>
      <c r="F3" s="1506"/>
      <c r="G3" s="1506"/>
      <c r="H3" s="583"/>
      <c r="I3" s="583"/>
      <c r="J3" s="583"/>
      <c r="K3" s="582"/>
      <c r="L3" s="582"/>
      <c r="U3" s="517"/>
    </row>
    <row r="4" spans="1:36" s="551" customFormat="1">
      <c r="A4" s="1506" t="s">
        <v>1000</v>
      </c>
      <c r="B4" s="1506"/>
      <c r="C4" s="1506"/>
      <c r="D4" s="1506"/>
      <c r="E4" s="1506"/>
      <c r="F4" s="1506"/>
      <c r="G4" s="1506"/>
      <c r="H4" s="583"/>
      <c r="I4" s="583"/>
      <c r="J4" s="583"/>
      <c r="K4" s="584"/>
      <c r="L4" s="584"/>
      <c r="U4" s="517"/>
    </row>
    <row r="5" spans="1:36" s="551" customFormat="1" ht="19.5">
      <c r="B5" s="585"/>
      <c r="C5" s="586"/>
      <c r="D5" s="586"/>
      <c r="E5" s="586"/>
      <c r="F5" s="586"/>
      <c r="G5" s="586"/>
      <c r="H5" s="586"/>
      <c r="I5" s="586"/>
      <c r="J5" s="586"/>
      <c r="K5" s="586"/>
      <c r="L5" s="586"/>
      <c r="M5" s="586"/>
      <c r="N5" s="586"/>
      <c r="O5" s="586"/>
      <c r="P5" s="586"/>
      <c r="Q5" s="586"/>
      <c r="R5" s="585" t="s">
        <v>1001</v>
      </c>
      <c r="S5" s="586"/>
      <c r="T5" s="586"/>
      <c r="U5" s="586"/>
      <c r="V5" s="586"/>
      <c r="W5" s="586"/>
      <c r="X5" s="586"/>
      <c r="Y5" s="586"/>
      <c r="Z5" s="586"/>
      <c r="AA5" s="586"/>
      <c r="AB5" s="586"/>
      <c r="AC5" s="586"/>
      <c r="AD5" s="586"/>
      <c r="AE5" s="586"/>
      <c r="AF5" s="586"/>
      <c r="AG5" s="586"/>
      <c r="AH5" s="586"/>
      <c r="AI5" s="586"/>
      <c r="AJ5" s="586"/>
    </row>
    <row r="6" spans="1:36" s="551" customFormat="1">
      <c r="B6" s="587"/>
      <c r="C6" s="583"/>
      <c r="D6" s="583"/>
      <c r="E6" s="583"/>
      <c r="F6" s="583"/>
      <c r="G6" s="583"/>
      <c r="H6" s="583"/>
      <c r="I6" s="583"/>
      <c r="J6" s="583"/>
      <c r="K6" s="583"/>
      <c r="R6" s="584" t="s">
        <v>1002</v>
      </c>
      <c r="S6" s="588">
        <v>4</v>
      </c>
      <c r="T6" s="583" t="s">
        <v>1003</v>
      </c>
      <c r="U6" s="589">
        <v>2024</v>
      </c>
    </row>
    <row r="7" spans="1:36" s="551" customFormat="1">
      <c r="A7" s="590" t="s">
        <v>1004</v>
      </c>
      <c r="B7" s="587"/>
      <c r="C7" s="583"/>
      <c r="D7" s="583"/>
      <c r="E7" s="583"/>
      <c r="F7" s="583"/>
      <c r="G7" s="583"/>
      <c r="H7" s="583"/>
      <c r="I7" s="583"/>
      <c r="J7" s="583"/>
      <c r="K7" s="583"/>
      <c r="R7" s="584"/>
      <c r="S7" s="588"/>
      <c r="T7" s="583"/>
      <c r="U7" s="589"/>
    </row>
    <row r="8" spans="1:36" s="588" customFormat="1" ht="17.25">
      <c r="A8" s="590" t="str">
        <f>"I. Phát sinh tháng "&amp;S6&amp;"/"&amp;U6</f>
        <v>I. Phát sinh tháng 4/2024</v>
      </c>
      <c r="B8" s="590"/>
      <c r="C8" s="583"/>
      <c r="D8" s="583"/>
      <c r="E8" s="583"/>
      <c r="F8" s="583"/>
      <c r="G8" s="583"/>
      <c r="H8" s="583"/>
      <c r="I8" s="583"/>
      <c r="J8" s="583"/>
      <c r="K8" s="583"/>
      <c r="L8" s="583"/>
      <c r="M8" s="583"/>
      <c r="N8" s="583"/>
      <c r="O8" s="583"/>
      <c r="P8" s="583"/>
      <c r="Q8" s="583"/>
      <c r="R8" s="583"/>
      <c r="S8" s="583"/>
      <c r="U8" s="591"/>
    </row>
    <row r="9" spans="1:36" s="588" customFormat="1" ht="16.5" customHeight="1">
      <c r="A9" s="1507" t="s">
        <v>0</v>
      </c>
      <c r="B9" s="1511" t="s">
        <v>632</v>
      </c>
      <c r="C9" s="1513" t="s">
        <v>1005</v>
      </c>
      <c r="D9" s="1514"/>
      <c r="E9" s="1515"/>
      <c r="F9" s="1509" t="s">
        <v>1006</v>
      </c>
      <c r="G9" s="1509" t="s">
        <v>1007</v>
      </c>
      <c r="H9" s="1509" t="s">
        <v>1008</v>
      </c>
      <c r="I9" s="1509" t="s">
        <v>1009</v>
      </c>
      <c r="J9" s="1509" t="s">
        <v>1010</v>
      </c>
      <c r="K9" s="1509" t="s">
        <v>1011</v>
      </c>
      <c r="L9" s="1509" t="s">
        <v>1012</v>
      </c>
      <c r="M9" s="1509" t="s">
        <v>1013</v>
      </c>
      <c r="N9" s="1509" t="s">
        <v>1014</v>
      </c>
      <c r="O9" s="1509" t="s">
        <v>1015</v>
      </c>
      <c r="P9" s="1517" t="s">
        <v>1016</v>
      </c>
      <c r="Q9" s="1517"/>
      <c r="R9" s="1517"/>
      <c r="S9" s="1507" t="s">
        <v>1017</v>
      </c>
      <c r="T9" s="1507" t="s">
        <v>1018</v>
      </c>
      <c r="U9" s="1507" t="s">
        <v>1019</v>
      </c>
      <c r="V9" s="1507" t="s">
        <v>1020</v>
      </c>
      <c r="W9" s="1507" t="s">
        <v>1021</v>
      </c>
      <c r="X9" s="1517" t="s">
        <v>1022</v>
      </c>
      <c r="Y9" s="1517"/>
      <c r="Z9" s="1517"/>
      <c r="AA9" s="1517"/>
      <c r="AB9" s="1507" t="s">
        <v>1023</v>
      </c>
      <c r="AC9" s="1507" t="s">
        <v>1024</v>
      </c>
      <c r="AD9" s="1507" t="s">
        <v>1025</v>
      </c>
      <c r="AE9" s="1507" t="s">
        <v>1026</v>
      </c>
      <c r="AF9" s="1507" t="s">
        <v>1027</v>
      </c>
      <c r="AG9" s="1507" t="s">
        <v>1028</v>
      </c>
      <c r="AH9" s="1507" t="s">
        <v>1029</v>
      </c>
      <c r="AI9" s="1507" t="s">
        <v>489</v>
      </c>
      <c r="AJ9" s="1507"/>
    </row>
    <row r="10" spans="1:36" s="594" customFormat="1" ht="49.5">
      <c r="A10" s="1508"/>
      <c r="B10" s="1512"/>
      <c r="C10" s="592" t="s">
        <v>1030</v>
      </c>
      <c r="D10" s="592" t="s">
        <v>1031</v>
      </c>
      <c r="E10" s="592" t="s">
        <v>1032</v>
      </c>
      <c r="F10" s="1510"/>
      <c r="G10" s="1510"/>
      <c r="H10" s="1510"/>
      <c r="I10" s="1510"/>
      <c r="J10" s="1510"/>
      <c r="K10" s="1510"/>
      <c r="L10" s="1510"/>
      <c r="M10" s="1510"/>
      <c r="N10" s="1510"/>
      <c r="O10" s="1510"/>
      <c r="P10" s="593" t="s">
        <v>1033</v>
      </c>
      <c r="Q10" s="593" t="s">
        <v>1034</v>
      </c>
      <c r="R10" s="593" t="s">
        <v>1035</v>
      </c>
      <c r="S10" s="1508"/>
      <c r="T10" s="1508"/>
      <c r="U10" s="1508"/>
      <c r="V10" s="1508"/>
      <c r="W10" s="1508"/>
      <c r="X10" s="593" t="s">
        <v>1036</v>
      </c>
      <c r="Y10" s="593" t="s">
        <v>1037</v>
      </c>
      <c r="Z10" s="593" t="s">
        <v>1038</v>
      </c>
      <c r="AA10" s="593" t="s">
        <v>1039</v>
      </c>
      <c r="AB10" s="1508"/>
      <c r="AC10" s="1508"/>
      <c r="AD10" s="1508"/>
      <c r="AE10" s="1508"/>
      <c r="AF10" s="1508"/>
      <c r="AG10" s="1508"/>
      <c r="AH10" s="1508"/>
      <c r="AI10" s="592" t="s">
        <v>1040</v>
      </c>
      <c r="AJ10" s="592" t="s">
        <v>1041</v>
      </c>
    </row>
    <row r="11" spans="1:36" s="599" customFormat="1" ht="49.5">
      <c r="A11" s="595"/>
      <c r="B11" s="595"/>
      <c r="C11" s="596"/>
      <c r="D11" s="597"/>
      <c r="E11" s="596" t="s">
        <v>1042</v>
      </c>
      <c r="F11" s="596" t="s">
        <v>1043</v>
      </c>
      <c r="G11" s="597" t="s">
        <v>1044</v>
      </c>
      <c r="H11" s="597" t="s">
        <v>1045</v>
      </c>
      <c r="I11" s="597" t="s">
        <v>1046</v>
      </c>
      <c r="J11" s="597" t="s">
        <v>1047</v>
      </c>
      <c r="K11" s="597" t="s">
        <v>1048</v>
      </c>
      <c r="L11" s="597" t="s">
        <v>1049</v>
      </c>
      <c r="M11" s="597" t="s">
        <v>1050</v>
      </c>
      <c r="N11" s="597" t="s">
        <v>1051</v>
      </c>
      <c r="O11" s="597" t="s">
        <v>1052</v>
      </c>
      <c r="P11" s="597" t="s">
        <v>1053</v>
      </c>
      <c r="Q11" s="597" t="s">
        <v>1054</v>
      </c>
      <c r="R11" s="597" t="s">
        <v>1055</v>
      </c>
      <c r="S11" s="597" t="s">
        <v>1056</v>
      </c>
      <c r="T11" s="597" t="s">
        <v>1057</v>
      </c>
      <c r="U11" s="597" t="s">
        <v>1058</v>
      </c>
      <c r="V11" s="597" t="s">
        <v>1059</v>
      </c>
      <c r="W11" s="597" t="s">
        <v>1060</v>
      </c>
      <c r="X11" s="597" t="s">
        <v>1061</v>
      </c>
      <c r="Y11" s="597" t="s">
        <v>1062</v>
      </c>
      <c r="Z11" s="597" t="s">
        <v>1063</v>
      </c>
      <c r="AA11" s="597" t="s">
        <v>1064</v>
      </c>
      <c r="AB11" s="597" t="s">
        <v>1065</v>
      </c>
      <c r="AC11" s="597" t="s">
        <v>1066</v>
      </c>
      <c r="AD11" s="597" t="s">
        <v>1067</v>
      </c>
      <c r="AE11" s="597" t="s">
        <v>1068</v>
      </c>
      <c r="AF11" s="597"/>
      <c r="AG11" s="597" t="s">
        <v>1069</v>
      </c>
      <c r="AH11" s="598"/>
      <c r="AI11" s="597" t="s">
        <v>1070</v>
      </c>
      <c r="AJ11" s="597" t="s">
        <v>1071</v>
      </c>
    </row>
    <row r="12" spans="1:36" s="599" customFormat="1" ht="33">
      <c r="A12" s="595"/>
      <c r="B12" s="595"/>
      <c r="C12" s="597"/>
      <c r="D12" s="597"/>
      <c r="E12" s="597" t="s">
        <v>1072</v>
      </c>
      <c r="F12" s="597"/>
      <c r="G12" s="597"/>
      <c r="H12" s="597"/>
      <c r="I12" s="597" t="s">
        <v>1073</v>
      </c>
      <c r="J12" s="597"/>
      <c r="K12" s="597"/>
      <c r="L12" s="597"/>
      <c r="M12" s="597"/>
      <c r="N12" s="597" t="s">
        <v>1074</v>
      </c>
      <c r="O12" s="597" t="s">
        <v>1075</v>
      </c>
      <c r="P12" s="597"/>
      <c r="Q12" s="597" t="s">
        <v>1076</v>
      </c>
      <c r="R12" s="597"/>
      <c r="S12" s="597"/>
      <c r="T12" s="597"/>
      <c r="U12" s="597"/>
      <c r="V12" s="597"/>
      <c r="W12" s="597"/>
      <c r="X12" s="597"/>
      <c r="Y12" s="597" t="s">
        <v>1077</v>
      </c>
      <c r="Z12" s="597"/>
      <c r="AA12" s="597"/>
      <c r="AB12" s="597"/>
      <c r="AC12" s="597"/>
      <c r="AD12" s="597"/>
      <c r="AE12" s="597"/>
      <c r="AF12" s="597"/>
      <c r="AG12" s="597"/>
      <c r="AH12" s="598"/>
      <c r="AI12" s="597"/>
      <c r="AJ12" s="597"/>
    </row>
    <row r="13" spans="1:36" s="599" customFormat="1" ht="33">
      <c r="A13" s="595"/>
      <c r="B13" s="595"/>
      <c r="C13" s="597"/>
      <c r="D13" s="597"/>
      <c r="E13" s="597"/>
      <c r="F13" s="597"/>
      <c r="G13" s="597"/>
      <c r="H13" s="597"/>
      <c r="I13" s="597"/>
      <c r="J13" s="597"/>
      <c r="K13" s="597"/>
      <c r="L13" s="597"/>
      <c r="M13" s="597"/>
      <c r="N13" s="597" t="s">
        <v>1078</v>
      </c>
      <c r="O13" s="597" t="s">
        <v>1079</v>
      </c>
      <c r="P13" s="597"/>
      <c r="Q13" s="597" t="s">
        <v>1080</v>
      </c>
      <c r="R13" s="597"/>
      <c r="S13" s="597"/>
      <c r="T13" s="597"/>
      <c r="U13" s="597"/>
      <c r="V13" s="597"/>
      <c r="W13" s="597"/>
      <c r="X13" s="597"/>
      <c r="Y13" s="597"/>
      <c r="Z13" s="597"/>
      <c r="AA13" s="597"/>
      <c r="AB13" s="597"/>
      <c r="AC13" s="597"/>
      <c r="AD13" s="597"/>
      <c r="AE13" s="597"/>
      <c r="AF13" s="597"/>
      <c r="AG13" s="597"/>
      <c r="AH13" s="598"/>
      <c r="AI13" s="597"/>
      <c r="AJ13" s="597"/>
    </row>
    <row r="14" spans="1:36" s="551" customFormat="1">
      <c r="A14" s="600" t="s">
        <v>1081</v>
      </c>
      <c r="B14" s="601" t="s">
        <v>1082</v>
      </c>
      <c r="C14" s="602">
        <v>0</v>
      </c>
      <c r="D14" s="602">
        <v>17696250</v>
      </c>
      <c r="E14" s="602">
        <v>1290909</v>
      </c>
      <c r="F14" s="602">
        <v>0</v>
      </c>
      <c r="G14" s="602">
        <v>0</v>
      </c>
      <c r="H14" s="602">
        <v>0</v>
      </c>
      <c r="I14" s="602">
        <v>80103483</v>
      </c>
      <c r="J14" s="602">
        <v>55177237</v>
      </c>
      <c r="K14" s="602">
        <v>0</v>
      </c>
      <c r="L14" s="602">
        <v>0</v>
      </c>
      <c r="M14" s="602">
        <v>0</v>
      </c>
      <c r="N14" s="602">
        <v>0</v>
      </c>
      <c r="O14" s="602">
        <v>0</v>
      </c>
      <c r="P14" s="602">
        <v>0</v>
      </c>
      <c r="Q14" s="602">
        <v>0</v>
      </c>
      <c r="R14" s="602">
        <v>0</v>
      </c>
      <c r="S14" s="602">
        <v>0</v>
      </c>
      <c r="T14" s="602">
        <v>0</v>
      </c>
      <c r="U14" s="602">
        <v>0</v>
      </c>
      <c r="V14" s="602">
        <v>0</v>
      </c>
      <c r="W14" s="602">
        <v>0</v>
      </c>
      <c r="X14" s="602">
        <v>0</v>
      </c>
      <c r="Y14" s="602">
        <v>0</v>
      </c>
      <c r="Z14" s="602">
        <v>0</v>
      </c>
      <c r="AA14" s="602">
        <v>0</v>
      </c>
      <c r="AB14" s="602">
        <v>0</v>
      </c>
      <c r="AC14" s="602">
        <v>0</v>
      </c>
      <c r="AD14" s="602">
        <v>0</v>
      </c>
      <c r="AE14" s="602">
        <v>0</v>
      </c>
      <c r="AF14" s="602">
        <v>0</v>
      </c>
      <c r="AG14" s="602">
        <v>0</v>
      </c>
      <c r="AH14" s="603">
        <f>SUM(C14:AG14)</f>
        <v>154267879</v>
      </c>
      <c r="AI14" s="602">
        <v>568181</v>
      </c>
      <c r="AJ14" s="602">
        <v>0</v>
      </c>
    </row>
    <row r="15" spans="1:36" s="551" customFormat="1">
      <c r="A15" s="600" t="s">
        <v>1083</v>
      </c>
      <c r="B15" s="601" t="s">
        <v>668</v>
      </c>
      <c r="C15" s="602">
        <v>1005611771</v>
      </c>
      <c r="D15" s="602">
        <v>2741496953</v>
      </c>
      <c r="E15" s="602">
        <v>15368172</v>
      </c>
      <c r="F15" s="602">
        <v>0</v>
      </c>
      <c r="G15" s="602">
        <v>1947635951</v>
      </c>
      <c r="H15" s="602">
        <v>0</v>
      </c>
      <c r="I15" s="602">
        <v>385063970</v>
      </c>
      <c r="J15" s="602">
        <v>0</v>
      </c>
      <c r="K15" s="602">
        <v>239391372</v>
      </c>
      <c r="L15" s="602">
        <v>97822027</v>
      </c>
      <c r="M15" s="602">
        <v>0</v>
      </c>
      <c r="N15" s="602">
        <v>363632</v>
      </c>
      <c r="O15" s="602">
        <v>19515813</v>
      </c>
      <c r="P15" s="602">
        <v>0</v>
      </c>
      <c r="Q15" s="602">
        <v>0</v>
      </c>
      <c r="R15" s="602">
        <v>0</v>
      </c>
      <c r="S15" s="602">
        <v>0</v>
      </c>
      <c r="T15" s="602">
        <v>0</v>
      </c>
      <c r="U15" s="602">
        <v>10800000</v>
      </c>
      <c r="V15" s="602">
        <v>3084241</v>
      </c>
      <c r="W15" s="602">
        <v>6840365</v>
      </c>
      <c r="X15" s="602">
        <v>15805220</v>
      </c>
      <c r="Y15" s="602">
        <v>5520500</v>
      </c>
      <c r="Z15" s="602">
        <v>1752727</v>
      </c>
      <c r="AA15" s="602">
        <v>1233182</v>
      </c>
      <c r="AB15" s="602">
        <v>0</v>
      </c>
      <c r="AC15" s="602">
        <v>0</v>
      </c>
      <c r="AD15" s="602">
        <v>0</v>
      </c>
      <c r="AE15" s="602">
        <v>0</v>
      </c>
      <c r="AF15" s="602">
        <v>0</v>
      </c>
      <c r="AG15" s="602">
        <v>0</v>
      </c>
      <c r="AH15" s="603">
        <f t="shared" ref="AH15:AH24" si="0">SUM(C15:AG15)</f>
        <v>6497305896</v>
      </c>
      <c r="AI15" s="602">
        <v>35113801</v>
      </c>
      <c r="AJ15" s="602">
        <v>59175900</v>
      </c>
    </row>
    <row r="16" spans="1:36" s="551" customFormat="1">
      <c r="A16" s="600" t="s">
        <v>1084</v>
      </c>
      <c r="B16" s="601" t="s">
        <v>653</v>
      </c>
      <c r="C16" s="602">
        <v>348986302</v>
      </c>
      <c r="D16" s="602">
        <v>1510451518</v>
      </c>
      <c r="E16" s="602">
        <v>11890909</v>
      </c>
      <c r="F16" s="602">
        <v>0</v>
      </c>
      <c r="G16" s="602">
        <v>2650754362</v>
      </c>
      <c r="H16" s="602">
        <v>0</v>
      </c>
      <c r="I16" s="602">
        <v>832282683</v>
      </c>
      <c r="J16" s="602">
        <v>0</v>
      </c>
      <c r="K16" s="602">
        <v>57851930</v>
      </c>
      <c r="L16" s="602">
        <v>4085040</v>
      </c>
      <c r="M16" s="602">
        <v>0</v>
      </c>
      <c r="N16" s="602">
        <v>464517</v>
      </c>
      <c r="O16" s="602">
        <v>6247035</v>
      </c>
      <c r="P16" s="602">
        <v>0</v>
      </c>
      <c r="Q16" s="602">
        <v>0</v>
      </c>
      <c r="R16" s="602">
        <v>0</v>
      </c>
      <c r="S16" s="602">
        <v>0</v>
      </c>
      <c r="T16" s="602">
        <v>0</v>
      </c>
      <c r="U16" s="602">
        <v>19500000</v>
      </c>
      <c r="V16" s="602">
        <v>230226661</v>
      </c>
      <c r="W16" s="602">
        <v>8188682</v>
      </c>
      <c r="X16" s="602">
        <v>42894961</v>
      </c>
      <c r="Y16" s="602">
        <v>-1217546</v>
      </c>
      <c r="Z16" s="602">
        <v>2811817</v>
      </c>
      <c r="AA16" s="602">
        <v>3600000</v>
      </c>
      <c r="AB16" s="602">
        <v>0</v>
      </c>
      <c r="AC16" s="602">
        <v>0</v>
      </c>
      <c r="AD16" s="602">
        <v>0</v>
      </c>
      <c r="AE16" s="602">
        <v>0</v>
      </c>
      <c r="AF16" s="602">
        <v>0</v>
      </c>
      <c r="AG16" s="602">
        <v>0</v>
      </c>
      <c r="AH16" s="603">
        <f t="shared" si="0"/>
        <v>5729018871</v>
      </c>
      <c r="AI16" s="602">
        <v>12824999</v>
      </c>
      <c r="AJ16" s="602">
        <v>69197625</v>
      </c>
    </row>
    <row r="17" spans="1:36">
      <c r="A17" s="600" t="s">
        <v>1085</v>
      </c>
      <c r="B17" s="601" t="s">
        <v>646</v>
      </c>
      <c r="C17" s="602">
        <v>177191018</v>
      </c>
      <c r="D17" s="602">
        <v>1122828260</v>
      </c>
      <c r="E17" s="602">
        <v>5122725</v>
      </c>
      <c r="F17" s="602">
        <v>0</v>
      </c>
      <c r="G17" s="602">
        <v>1490828920</v>
      </c>
      <c r="H17" s="602">
        <v>0</v>
      </c>
      <c r="I17" s="602">
        <v>357596730</v>
      </c>
      <c r="J17" s="602">
        <v>0</v>
      </c>
      <c r="K17" s="602">
        <v>22600261</v>
      </c>
      <c r="L17" s="602">
        <v>3593040</v>
      </c>
      <c r="M17" s="602">
        <v>0</v>
      </c>
      <c r="N17" s="602">
        <v>90910</v>
      </c>
      <c r="O17" s="602">
        <v>3861211</v>
      </c>
      <c r="P17" s="602">
        <v>0</v>
      </c>
      <c r="Q17" s="602">
        <v>0</v>
      </c>
      <c r="R17" s="602">
        <v>0</v>
      </c>
      <c r="S17" s="602">
        <v>0</v>
      </c>
      <c r="T17" s="602">
        <v>0</v>
      </c>
      <c r="U17" s="602">
        <v>88800000</v>
      </c>
      <c r="V17" s="602">
        <v>3818180</v>
      </c>
      <c r="W17" s="602">
        <v>1314000</v>
      </c>
      <c r="X17" s="602">
        <v>13128710</v>
      </c>
      <c r="Y17" s="602">
        <v>384000</v>
      </c>
      <c r="Z17" s="602">
        <v>0</v>
      </c>
      <c r="AA17" s="602">
        <v>29895452</v>
      </c>
      <c r="AB17" s="602">
        <v>0</v>
      </c>
      <c r="AC17" s="602">
        <v>0</v>
      </c>
      <c r="AD17" s="602">
        <v>0</v>
      </c>
      <c r="AE17" s="602">
        <v>0</v>
      </c>
      <c r="AF17" s="602">
        <v>0</v>
      </c>
      <c r="AG17" s="602">
        <v>0</v>
      </c>
      <c r="AH17" s="603">
        <f t="shared" si="0"/>
        <v>3321053417</v>
      </c>
      <c r="AI17" s="602">
        <v>5699996</v>
      </c>
      <c r="AJ17" s="602">
        <v>31115070</v>
      </c>
    </row>
    <row r="18" spans="1:36">
      <c r="A18" s="600" t="s">
        <v>1086</v>
      </c>
      <c r="B18" s="601" t="s">
        <v>674</v>
      </c>
      <c r="C18" s="602">
        <v>148927901</v>
      </c>
      <c r="D18" s="602">
        <v>908505479</v>
      </c>
      <c r="E18" s="602">
        <v>5349999</v>
      </c>
      <c r="F18" s="602">
        <v>0</v>
      </c>
      <c r="G18" s="602">
        <v>1068367698</v>
      </c>
      <c r="H18" s="602">
        <v>0</v>
      </c>
      <c r="I18" s="602">
        <v>292327315</v>
      </c>
      <c r="J18" s="602">
        <v>0</v>
      </c>
      <c r="K18" s="602">
        <v>27307855</v>
      </c>
      <c r="L18" s="602">
        <v>492000</v>
      </c>
      <c r="M18" s="602">
        <v>0</v>
      </c>
      <c r="N18" s="602">
        <v>1150653</v>
      </c>
      <c r="O18" s="602">
        <v>1962188</v>
      </c>
      <c r="P18" s="602">
        <v>0</v>
      </c>
      <c r="Q18" s="602">
        <v>0</v>
      </c>
      <c r="R18" s="602">
        <v>0</v>
      </c>
      <c r="S18" s="602">
        <v>0</v>
      </c>
      <c r="T18" s="602">
        <v>0</v>
      </c>
      <c r="U18" s="602">
        <v>1500000</v>
      </c>
      <c r="V18" s="602">
        <v>11569085</v>
      </c>
      <c r="W18" s="602">
        <v>10780000</v>
      </c>
      <c r="X18" s="602">
        <v>25503211</v>
      </c>
      <c r="Y18" s="602">
        <v>3920000</v>
      </c>
      <c r="Z18" s="602">
        <v>1658181</v>
      </c>
      <c r="AA18" s="602">
        <v>50000</v>
      </c>
      <c r="AB18" s="602">
        <v>0</v>
      </c>
      <c r="AC18" s="602">
        <v>0</v>
      </c>
      <c r="AD18" s="602">
        <v>0</v>
      </c>
      <c r="AE18" s="602">
        <v>0</v>
      </c>
      <c r="AF18" s="602">
        <v>0</v>
      </c>
      <c r="AG18" s="602">
        <v>0</v>
      </c>
      <c r="AH18" s="603">
        <f t="shared" si="0"/>
        <v>2509371565</v>
      </c>
      <c r="AI18" s="602">
        <v>4113635</v>
      </c>
      <c r="AJ18" s="602">
        <v>24592995</v>
      </c>
    </row>
    <row r="19" spans="1:36">
      <c r="A19" s="600" t="s">
        <v>1087</v>
      </c>
      <c r="B19" s="601" t="s">
        <v>649</v>
      </c>
      <c r="C19" s="602">
        <v>273814300</v>
      </c>
      <c r="D19" s="602">
        <v>1629473969</v>
      </c>
      <c r="E19" s="602">
        <v>10213633</v>
      </c>
      <c r="F19" s="602">
        <v>0</v>
      </c>
      <c r="G19" s="602">
        <v>1770558723</v>
      </c>
      <c r="H19" s="602">
        <v>30648240</v>
      </c>
      <c r="I19" s="602">
        <v>352573430</v>
      </c>
      <c r="J19" s="602">
        <v>0</v>
      </c>
      <c r="K19" s="602">
        <v>49719928</v>
      </c>
      <c r="L19" s="602">
        <v>4350000</v>
      </c>
      <c r="M19" s="602">
        <v>0</v>
      </c>
      <c r="N19" s="602">
        <v>0</v>
      </c>
      <c r="O19" s="602">
        <v>4966110</v>
      </c>
      <c r="P19" s="602">
        <v>0</v>
      </c>
      <c r="Q19" s="602">
        <v>0</v>
      </c>
      <c r="R19" s="602">
        <v>0</v>
      </c>
      <c r="S19" s="602">
        <v>0</v>
      </c>
      <c r="T19" s="602">
        <v>0</v>
      </c>
      <c r="U19" s="602">
        <v>200000</v>
      </c>
      <c r="V19" s="602">
        <v>28873932</v>
      </c>
      <c r="W19" s="602">
        <v>9370545</v>
      </c>
      <c r="X19" s="602">
        <v>23463838</v>
      </c>
      <c r="Y19" s="602">
        <v>9172000</v>
      </c>
      <c r="Z19" s="602">
        <v>760000</v>
      </c>
      <c r="AA19" s="602">
        <v>36222727</v>
      </c>
      <c r="AB19" s="602">
        <v>0</v>
      </c>
      <c r="AC19" s="602">
        <v>0</v>
      </c>
      <c r="AD19" s="602">
        <v>0</v>
      </c>
      <c r="AE19" s="602">
        <v>0</v>
      </c>
      <c r="AF19" s="602">
        <v>0</v>
      </c>
      <c r="AG19" s="602">
        <v>0</v>
      </c>
      <c r="AH19" s="603">
        <f t="shared" si="0"/>
        <v>4234381375</v>
      </c>
      <c r="AI19" s="602">
        <v>6409090</v>
      </c>
      <c r="AJ19" s="602">
        <v>42236685</v>
      </c>
    </row>
    <row r="20" spans="1:36">
      <c r="A20" s="600" t="s">
        <v>1088</v>
      </c>
      <c r="B20" s="601" t="s">
        <v>650</v>
      </c>
      <c r="C20" s="602">
        <v>199385502</v>
      </c>
      <c r="D20" s="602">
        <v>902506336</v>
      </c>
      <c r="E20" s="602">
        <v>7618179</v>
      </c>
      <c r="F20" s="602">
        <v>0</v>
      </c>
      <c r="G20" s="602">
        <v>1495374902</v>
      </c>
      <c r="H20" s="602">
        <v>0</v>
      </c>
      <c r="I20" s="602">
        <v>470662184</v>
      </c>
      <c r="J20" s="602">
        <v>0</v>
      </c>
      <c r="K20" s="602">
        <v>38907095</v>
      </c>
      <c r="L20" s="602">
        <v>492000</v>
      </c>
      <c r="M20" s="602">
        <v>0</v>
      </c>
      <c r="N20" s="602">
        <v>0</v>
      </c>
      <c r="O20" s="602">
        <v>2549360</v>
      </c>
      <c r="P20" s="602">
        <v>0</v>
      </c>
      <c r="Q20" s="602">
        <v>0</v>
      </c>
      <c r="R20" s="602">
        <v>0</v>
      </c>
      <c r="S20" s="602">
        <v>0</v>
      </c>
      <c r="T20" s="602">
        <v>0</v>
      </c>
      <c r="U20" s="602">
        <v>1200000</v>
      </c>
      <c r="V20" s="602">
        <v>2354544</v>
      </c>
      <c r="W20" s="602">
        <v>109091</v>
      </c>
      <c r="X20" s="602">
        <v>16938544</v>
      </c>
      <c r="Y20" s="602">
        <v>533500</v>
      </c>
      <c r="Z20" s="602">
        <v>2421817</v>
      </c>
      <c r="AA20" s="602">
        <v>6409091</v>
      </c>
      <c r="AB20" s="602">
        <v>0</v>
      </c>
      <c r="AC20" s="602">
        <v>0</v>
      </c>
      <c r="AD20" s="602">
        <v>0</v>
      </c>
      <c r="AE20" s="602">
        <v>0</v>
      </c>
      <c r="AF20" s="602">
        <v>0</v>
      </c>
      <c r="AG20" s="602">
        <v>0</v>
      </c>
      <c r="AH20" s="603">
        <f t="shared" si="0"/>
        <v>3147462145</v>
      </c>
      <c r="AI20" s="602">
        <v>5688634</v>
      </c>
      <c r="AJ20" s="602">
        <v>30710565</v>
      </c>
    </row>
    <row r="21" spans="1:36">
      <c r="A21" s="600" t="s">
        <v>1089</v>
      </c>
      <c r="B21" s="601" t="s">
        <v>642</v>
      </c>
      <c r="C21" s="602">
        <v>253125965</v>
      </c>
      <c r="D21" s="602">
        <v>1207052860</v>
      </c>
      <c r="E21" s="602">
        <v>6227273</v>
      </c>
      <c r="F21" s="602">
        <v>0</v>
      </c>
      <c r="G21" s="602">
        <v>1002368607</v>
      </c>
      <c r="H21" s="602">
        <v>9000000</v>
      </c>
      <c r="I21" s="602">
        <v>229367210</v>
      </c>
      <c r="J21" s="602">
        <v>0</v>
      </c>
      <c r="K21" s="602">
        <v>31551914</v>
      </c>
      <c r="L21" s="602">
        <v>3593040</v>
      </c>
      <c r="M21" s="602">
        <v>0</v>
      </c>
      <c r="N21" s="602">
        <v>0</v>
      </c>
      <c r="O21" s="602">
        <v>2679843</v>
      </c>
      <c r="P21" s="602">
        <v>0</v>
      </c>
      <c r="Q21" s="602">
        <v>0</v>
      </c>
      <c r="R21" s="602">
        <v>0</v>
      </c>
      <c r="S21" s="602">
        <v>0</v>
      </c>
      <c r="T21" s="602">
        <v>0</v>
      </c>
      <c r="U21" s="602">
        <v>0</v>
      </c>
      <c r="V21" s="602">
        <v>10039692</v>
      </c>
      <c r="W21" s="602">
        <v>1477636</v>
      </c>
      <c r="X21" s="602">
        <v>25129878</v>
      </c>
      <c r="Y21" s="602">
        <v>1604000</v>
      </c>
      <c r="Z21" s="602">
        <v>5849997</v>
      </c>
      <c r="AA21" s="602">
        <v>3726818</v>
      </c>
      <c r="AB21" s="602">
        <v>0</v>
      </c>
      <c r="AC21" s="602">
        <v>0</v>
      </c>
      <c r="AD21" s="602">
        <v>0</v>
      </c>
      <c r="AE21" s="602">
        <v>0</v>
      </c>
      <c r="AF21" s="602">
        <v>0</v>
      </c>
      <c r="AG21" s="602">
        <v>0</v>
      </c>
      <c r="AH21" s="603">
        <f t="shared" si="0"/>
        <v>2792794733</v>
      </c>
      <c r="AI21" s="602">
        <v>6172730</v>
      </c>
      <c r="AJ21" s="602">
        <v>23524920</v>
      </c>
    </row>
    <row r="22" spans="1:36">
      <c r="A22" s="600" t="s">
        <v>1090</v>
      </c>
      <c r="B22" s="601" t="s">
        <v>636</v>
      </c>
      <c r="C22" s="602">
        <v>276488010</v>
      </c>
      <c r="D22" s="602">
        <v>1696456661</v>
      </c>
      <c r="E22" s="602">
        <v>8677270</v>
      </c>
      <c r="F22" s="602">
        <v>0</v>
      </c>
      <c r="G22" s="602">
        <v>1515306482</v>
      </c>
      <c r="H22" s="602">
        <v>0</v>
      </c>
      <c r="I22" s="602">
        <v>410232480</v>
      </c>
      <c r="J22" s="602">
        <v>0</v>
      </c>
      <c r="K22" s="602">
        <v>35523931</v>
      </c>
      <c r="L22" s="602">
        <v>492000</v>
      </c>
      <c r="M22" s="602">
        <v>0</v>
      </c>
      <c r="N22" s="602">
        <v>0</v>
      </c>
      <c r="O22" s="602">
        <v>5320881</v>
      </c>
      <c r="P22" s="602">
        <v>0</v>
      </c>
      <c r="Q22" s="602">
        <v>0</v>
      </c>
      <c r="R22" s="602">
        <v>0</v>
      </c>
      <c r="S22" s="602">
        <v>0</v>
      </c>
      <c r="T22" s="602">
        <v>0</v>
      </c>
      <c r="U22" s="602">
        <v>1610000</v>
      </c>
      <c r="V22" s="602">
        <v>10883935</v>
      </c>
      <c r="W22" s="602">
        <v>76398910</v>
      </c>
      <c r="X22" s="602">
        <v>19723247</v>
      </c>
      <c r="Y22" s="602">
        <v>1250000</v>
      </c>
      <c r="Z22" s="602">
        <v>210909</v>
      </c>
      <c r="AA22" s="602">
        <v>6972728</v>
      </c>
      <c r="AB22" s="602">
        <v>0</v>
      </c>
      <c r="AC22" s="602">
        <v>0</v>
      </c>
      <c r="AD22" s="602">
        <v>0</v>
      </c>
      <c r="AE22" s="602">
        <v>0</v>
      </c>
      <c r="AF22" s="602">
        <v>0</v>
      </c>
      <c r="AG22" s="602">
        <v>0</v>
      </c>
      <c r="AH22" s="603">
        <f t="shared" si="0"/>
        <v>4065547444</v>
      </c>
      <c r="AI22" s="602">
        <v>7165910</v>
      </c>
      <c r="AJ22" s="602">
        <v>39391515</v>
      </c>
    </row>
    <row r="23" spans="1:36">
      <c r="A23" s="600" t="s">
        <v>1091</v>
      </c>
      <c r="B23" s="601" t="s">
        <v>756</v>
      </c>
      <c r="C23" s="602">
        <v>0</v>
      </c>
      <c r="D23" s="602">
        <v>0</v>
      </c>
      <c r="E23" s="602">
        <v>699996</v>
      </c>
      <c r="F23" s="602">
        <v>0</v>
      </c>
      <c r="G23" s="602">
        <v>2963635</v>
      </c>
      <c r="H23" s="602">
        <v>7537273</v>
      </c>
      <c r="I23" s="602">
        <v>0</v>
      </c>
      <c r="J23" s="602">
        <v>0</v>
      </c>
      <c r="K23" s="602">
        <v>0</v>
      </c>
      <c r="L23" s="602">
        <v>693084729</v>
      </c>
      <c r="M23" s="602">
        <v>190815335</v>
      </c>
      <c r="N23" s="602">
        <v>5131501</v>
      </c>
      <c r="O23" s="602">
        <v>2520480</v>
      </c>
      <c r="P23" s="602">
        <v>2160000</v>
      </c>
      <c r="Q23" s="602">
        <v>9843500</v>
      </c>
      <c r="R23" s="602">
        <v>12713000</v>
      </c>
      <c r="S23" s="602">
        <v>0</v>
      </c>
      <c r="T23" s="602">
        <v>0</v>
      </c>
      <c r="U23" s="602">
        <v>48500000</v>
      </c>
      <c r="V23" s="602">
        <v>600000</v>
      </c>
      <c r="W23" s="602">
        <v>0</v>
      </c>
      <c r="X23" s="602">
        <v>60753828</v>
      </c>
      <c r="Y23" s="602">
        <v>196917000</v>
      </c>
      <c r="Z23" s="602">
        <v>10008177</v>
      </c>
      <c r="AA23" s="602">
        <v>14800909</v>
      </c>
      <c r="AB23" s="602">
        <v>0</v>
      </c>
      <c r="AC23" s="602">
        <v>0</v>
      </c>
      <c r="AD23" s="602">
        <v>0</v>
      </c>
      <c r="AE23" s="602">
        <v>0</v>
      </c>
      <c r="AF23" s="602">
        <v>0</v>
      </c>
      <c r="AG23" s="602">
        <v>0</v>
      </c>
      <c r="AH23" s="603">
        <f t="shared" si="0"/>
        <v>1259049363</v>
      </c>
      <c r="AI23" s="602">
        <v>6495456</v>
      </c>
      <c r="AJ23" s="602">
        <v>9090</v>
      </c>
    </row>
    <row r="24" spans="1:36">
      <c r="A24" s="600" t="s">
        <v>1092</v>
      </c>
      <c r="B24" s="601" t="s">
        <v>746</v>
      </c>
      <c r="C24" s="602">
        <v>0</v>
      </c>
      <c r="D24" s="602">
        <v>0</v>
      </c>
      <c r="E24" s="602">
        <v>2600000</v>
      </c>
      <c r="F24" s="602">
        <v>0</v>
      </c>
      <c r="G24" s="602">
        <v>0</v>
      </c>
      <c r="H24" s="602">
        <v>0</v>
      </c>
      <c r="I24" s="602">
        <v>0</v>
      </c>
      <c r="J24" s="602">
        <v>0</v>
      </c>
      <c r="K24" s="602">
        <v>0</v>
      </c>
      <c r="L24" s="602">
        <v>0</v>
      </c>
      <c r="M24" s="602">
        <v>0</v>
      </c>
      <c r="N24" s="602">
        <v>0</v>
      </c>
      <c r="O24" s="602">
        <v>0</v>
      </c>
      <c r="P24" s="602">
        <v>0</v>
      </c>
      <c r="Q24" s="602">
        <v>0</v>
      </c>
      <c r="R24" s="602">
        <v>0</v>
      </c>
      <c r="S24" s="602">
        <v>0</v>
      </c>
      <c r="T24" s="602">
        <v>0</v>
      </c>
      <c r="U24" s="602">
        <v>0</v>
      </c>
      <c r="V24" s="602">
        <v>0</v>
      </c>
      <c r="W24" s="602">
        <v>0</v>
      </c>
      <c r="X24" s="602">
        <v>0</v>
      </c>
      <c r="Y24" s="602">
        <v>0</v>
      </c>
      <c r="Z24" s="602">
        <v>0</v>
      </c>
      <c r="AA24" s="602">
        <v>0</v>
      </c>
      <c r="AB24" s="602">
        <v>0</v>
      </c>
      <c r="AC24" s="602">
        <v>0</v>
      </c>
      <c r="AD24" s="602">
        <v>0</v>
      </c>
      <c r="AE24" s="602">
        <v>0</v>
      </c>
      <c r="AF24" s="602">
        <v>0</v>
      </c>
      <c r="AG24" s="602">
        <v>0</v>
      </c>
      <c r="AH24" s="603">
        <f t="shared" si="0"/>
        <v>2600000</v>
      </c>
      <c r="AI24" s="602">
        <v>1477273</v>
      </c>
      <c r="AJ24" s="602">
        <v>0</v>
      </c>
    </row>
    <row r="25" spans="1:36">
      <c r="A25" s="600" t="s">
        <v>1093</v>
      </c>
      <c r="B25" s="604" t="s">
        <v>1094</v>
      </c>
      <c r="C25" s="603">
        <f t="shared" ref="C25:AH25" si="1">SUM(C14:C24)</f>
        <v>2683530769</v>
      </c>
      <c r="D25" s="603">
        <f t="shared" si="1"/>
        <v>11736468286</v>
      </c>
      <c r="E25" s="603">
        <f t="shared" si="1"/>
        <v>75059065</v>
      </c>
      <c r="F25" s="603">
        <f t="shared" si="1"/>
        <v>0</v>
      </c>
      <c r="G25" s="603">
        <f t="shared" si="1"/>
        <v>12944159280</v>
      </c>
      <c r="H25" s="603">
        <f t="shared" si="1"/>
        <v>47185513</v>
      </c>
      <c r="I25" s="603">
        <f t="shared" si="1"/>
        <v>3410209485</v>
      </c>
      <c r="J25" s="603">
        <f t="shared" si="1"/>
        <v>55177237</v>
      </c>
      <c r="K25" s="603">
        <f t="shared" si="1"/>
        <v>502854286</v>
      </c>
      <c r="L25" s="603">
        <f t="shared" si="1"/>
        <v>808003876</v>
      </c>
      <c r="M25" s="603">
        <f t="shared" si="1"/>
        <v>190815335</v>
      </c>
      <c r="N25" s="603">
        <f t="shared" si="1"/>
        <v>7201213</v>
      </c>
      <c r="O25" s="603">
        <f t="shared" si="1"/>
        <v>49622921</v>
      </c>
      <c r="P25" s="603">
        <f t="shared" si="1"/>
        <v>2160000</v>
      </c>
      <c r="Q25" s="603">
        <f t="shared" si="1"/>
        <v>9843500</v>
      </c>
      <c r="R25" s="603">
        <f t="shared" si="1"/>
        <v>12713000</v>
      </c>
      <c r="S25" s="603">
        <f t="shared" si="1"/>
        <v>0</v>
      </c>
      <c r="T25" s="603">
        <f t="shared" si="1"/>
        <v>0</v>
      </c>
      <c r="U25" s="603">
        <f t="shared" si="1"/>
        <v>172110000</v>
      </c>
      <c r="V25" s="603">
        <f t="shared" si="1"/>
        <v>301450270</v>
      </c>
      <c r="W25" s="603">
        <f t="shared" si="1"/>
        <v>114479229</v>
      </c>
      <c r="X25" s="603">
        <f t="shared" si="1"/>
        <v>243341437</v>
      </c>
      <c r="Y25" s="603">
        <f t="shared" si="1"/>
        <v>218083454</v>
      </c>
      <c r="Z25" s="603">
        <f t="shared" si="1"/>
        <v>25473625</v>
      </c>
      <c r="AA25" s="603">
        <f t="shared" si="1"/>
        <v>102910907</v>
      </c>
      <c r="AB25" s="603">
        <f t="shared" si="1"/>
        <v>0</v>
      </c>
      <c r="AC25" s="603">
        <f t="shared" si="1"/>
        <v>0</v>
      </c>
      <c r="AD25" s="603">
        <f t="shared" si="1"/>
        <v>0</v>
      </c>
      <c r="AE25" s="603">
        <f t="shared" si="1"/>
        <v>0</v>
      </c>
      <c r="AF25" s="603">
        <f t="shared" si="1"/>
        <v>0</v>
      </c>
      <c r="AG25" s="603">
        <f t="shared" si="1"/>
        <v>0</v>
      </c>
      <c r="AH25" s="603">
        <f t="shared" si="1"/>
        <v>33712852688</v>
      </c>
      <c r="AI25" s="603">
        <f>SUM(AI14:AI24)</f>
        <v>91729705</v>
      </c>
      <c r="AJ25" s="603">
        <f>SUM(AJ14:AJ24)</f>
        <v>319954365</v>
      </c>
    </row>
    <row r="26" spans="1:36">
      <c r="A26" s="1516" t="s">
        <v>1095</v>
      </c>
      <c r="B26" s="1516"/>
      <c r="C26" s="605">
        <f>C25/$AH25</f>
        <v>7.9599635006716463E-2</v>
      </c>
      <c r="D26" s="605">
        <f t="shared" ref="D26:AH26" si="2">D25/$AH25</f>
        <v>0.34813038204202651</v>
      </c>
      <c r="E26" s="605">
        <f t="shared" si="2"/>
        <v>2.2264228332928076E-3</v>
      </c>
      <c r="F26" s="605">
        <f t="shared" si="2"/>
        <v>0</v>
      </c>
      <c r="G26" s="605">
        <f t="shared" si="2"/>
        <v>0.38395324773591288</v>
      </c>
      <c r="H26" s="605">
        <f t="shared" si="2"/>
        <v>1.3996297921354949E-3</v>
      </c>
      <c r="I26" s="605">
        <f t="shared" si="2"/>
        <v>0.10115458091192191</v>
      </c>
      <c r="J26" s="605">
        <f t="shared" si="2"/>
        <v>1.6366825290830458E-3</v>
      </c>
      <c r="K26" s="605">
        <f t="shared" si="2"/>
        <v>1.4915803496480428E-2</v>
      </c>
      <c r="L26" s="605">
        <f t="shared" si="2"/>
        <v>2.3967235388763372E-2</v>
      </c>
      <c r="M26" s="605">
        <f t="shared" si="2"/>
        <v>5.660017464731491E-3</v>
      </c>
      <c r="N26" s="605">
        <f t="shared" si="2"/>
        <v>2.1360438010525442E-4</v>
      </c>
      <c r="O26" s="605">
        <f t="shared" si="2"/>
        <v>1.4719288652088212E-3</v>
      </c>
      <c r="P26" s="605">
        <f t="shared" si="2"/>
        <v>6.4070519928705004E-5</v>
      </c>
      <c r="Q26" s="605">
        <f t="shared" si="2"/>
        <v>2.9198063098065169E-4</v>
      </c>
      <c r="R26" s="605">
        <f t="shared" si="2"/>
        <v>3.7709653696927161E-4</v>
      </c>
      <c r="S26" s="605">
        <f t="shared" si="2"/>
        <v>0</v>
      </c>
      <c r="T26" s="605">
        <f t="shared" si="2"/>
        <v>0</v>
      </c>
      <c r="U26" s="605">
        <f t="shared" si="2"/>
        <v>5.1051746226525082E-3</v>
      </c>
      <c r="V26" s="605">
        <f t="shared" si="2"/>
        <v>8.9417016349761583E-3</v>
      </c>
      <c r="W26" s="605">
        <f t="shared" si="2"/>
        <v>3.3957146866052238E-3</v>
      </c>
      <c r="X26" s="605">
        <f t="shared" si="2"/>
        <v>7.2180612911056539E-3</v>
      </c>
      <c r="Y26" s="605">
        <f t="shared" si="2"/>
        <v>6.4688519840869537E-3</v>
      </c>
      <c r="Z26" s="605">
        <f t="shared" si="2"/>
        <v>7.5560573991613792E-4</v>
      </c>
      <c r="AA26" s="605">
        <f t="shared" si="2"/>
        <v>3.0525719064002812E-3</v>
      </c>
      <c r="AB26" s="605">
        <f t="shared" si="2"/>
        <v>0</v>
      </c>
      <c r="AC26" s="605">
        <f t="shared" si="2"/>
        <v>0</v>
      </c>
      <c r="AD26" s="605">
        <f t="shared" si="2"/>
        <v>0</v>
      </c>
      <c r="AE26" s="605">
        <f t="shared" si="2"/>
        <v>0</v>
      </c>
      <c r="AF26" s="605">
        <f t="shared" si="2"/>
        <v>0</v>
      </c>
      <c r="AG26" s="605">
        <f t="shared" si="2"/>
        <v>0</v>
      </c>
      <c r="AH26" s="605">
        <f t="shared" si="2"/>
        <v>1</v>
      </c>
      <c r="AI26" s="605"/>
      <c r="AJ26" s="605"/>
    </row>
    <row r="27" spans="1:36" s="551" customFormat="1">
      <c r="B27" s="587"/>
      <c r="C27" s="606">
        <v>0</v>
      </c>
      <c r="D27" s="607"/>
      <c r="E27" s="607"/>
      <c r="F27" s="607"/>
      <c r="G27" s="607"/>
      <c r="H27" s="607"/>
      <c r="I27" s="607"/>
      <c r="J27" s="607"/>
      <c r="K27" s="607"/>
      <c r="L27" s="607"/>
      <c r="M27" s="607"/>
      <c r="N27" s="607"/>
      <c r="O27" s="607"/>
      <c r="P27" s="607"/>
      <c r="Q27" s="607"/>
      <c r="R27" s="607"/>
      <c r="S27" s="607"/>
      <c r="T27" s="607"/>
      <c r="U27" s="607"/>
      <c r="V27" s="607"/>
      <c r="W27" s="607"/>
      <c r="X27" s="607"/>
      <c r="Y27" s="607"/>
      <c r="Z27" s="607"/>
      <c r="AA27" s="607"/>
      <c r="AB27" s="607"/>
      <c r="AC27" s="607"/>
      <c r="AD27" s="607"/>
      <c r="AE27" s="607"/>
      <c r="AF27" s="607"/>
      <c r="AG27" s="607"/>
    </row>
    <row r="28" spans="1:36" s="588" customFormat="1" ht="17.25">
      <c r="A28" s="590" t="str">
        <f>"II. Lũy kế đến tháng "&amp;S6&amp;"/"&amp;U6</f>
        <v>II. Lũy kế đến tháng 4/2024</v>
      </c>
      <c r="B28" s="590"/>
      <c r="C28" s="583"/>
      <c r="D28" s="583"/>
      <c r="E28" s="608">
        <f>D26+C26</f>
        <v>0.42773001704874297</v>
      </c>
      <c r="F28" s="608">
        <f>C26+D26</f>
        <v>0.42773001704874297</v>
      </c>
      <c r="G28" s="608">
        <f>G26</f>
        <v>0.38395324773591288</v>
      </c>
      <c r="H28" s="608">
        <f>G28+E28</f>
        <v>0.81168326478465591</v>
      </c>
      <c r="I28" s="583"/>
      <c r="J28" s="583"/>
      <c r="K28" s="583"/>
      <c r="L28" s="583"/>
      <c r="M28" s="583"/>
      <c r="N28" s="583"/>
      <c r="O28" s="583"/>
      <c r="P28" s="583"/>
      <c r="Q28" s="583"/>
      <c r="R28" s="583"/>
      <c r="S28" s="583"/>
      <c r="U28" s="591"/>
    </row>
    <row r="29" spans="1:36" s="588" customFormat="1" ht="16.5" customHeight="1">
      <c r="A29" s="1507" t="s">
        <v>0</v>
      </c>
      <c r="B29" s="1511" t="s">
        <v>632</v>
      </c>
      <c r="C29" s="1513" t="s">
        <v>1005</v>
      </c>
      <c r="D29" s="1514"/>
      <c r="E29" s="1515"/>
      <c r="F29" s="1509" t="s">
        <v>1006</v>
      </c>
      <c r="G29" s="1509" t="s">
        <v>1007</v>
      </c>
      <c r="H29" s="1509" t="s">
        <v>1008</v>
      </c>
      <c r="I29" s="1509" t="s">
        <v>1009</v>
      </c>
      <c r="J29" s="1509" t="s">
        <v>1010</v>
      </c>
      <c r="K29" s="1509" t="s">
        <v>1011</v>
      </c>
      <c r="L29" s="1509" t="s">
        <v>1012</v>
      </c>
      <c r="M29" s="1509" t="s">
        <v>1013</v>
      </c>
      <c r="N29" s="1509" t="s">
        <v>1014</v>
      </c>
      <c r="O29" s="1509" t="s">
        <v>1015</v>
      </c>
      <c r="P29" s="1517" t="s">
        <v>1016</v>
      </c>
      <c r="Q29" s="1517"/>
      <c r="R29" s="1517"/>
      <c r="S29" s="1507" t="s">
        <v>1017</v>
      </c>
      <c r="T29" s="1507" t="s">
        <v>1018</v>
      </c>
      <c r="U29" s="1507" t="s">
        <v>1019</v>
      </c>
      <c r="V29" s="1507" t="s">
        <v>1020</v>
      </c>
      <c r="W29" s="1507" t="s">
        <v>1021</v>
      </c>
      <c r="X29" s="1517" t="s">
        <v>1022</v>
      </c>
      <c r="Y29" s="1517"/>
      <c r="Z29" s="1517"/>
      <c r="AA29" s="1517"/>
      <c r="AB29" s="1507" t="s">
        <v>1023</v>
      </c>
      <c r="AC29" s="1507" t="s">
        <v>1024</v>
      </c>
      <c r="AD29" s="1507" t="s">
        <v>1025</v>
      </c>
      <c r="AE29" s="1507" t="s">
        <v>1026</v>
      </c>
      <c r="AF29" s="1507" t="s">
        <v>1027</v>
      </c>
      <c r="AG29" s="1507" t="s">
        <v>1028</v>
      </c>
      <c r="AH29" s="1507" t="s">
        <v>1029</v>
      </c>
      <c r="AI29" s="1507" t="s">
        <v>489</v>
      </c>
      <c r="AJ29" s="1507"/>
    </row>
    <row r="30" spans="1:36" s="594" customFormat="1" ht="49.5">
      <c r="A30" s="1508"/>
      <c r="B30" s="1512"/>
      <c r="C30" s="592" t="s">
        <v>1030</v>
      </c>
      <c r="D30" s="592" t="s">
        <v>1031</v>
      </c>
      <c r="E30" s="592" t="s">
        <v>1032</v>
      </c>
      <c r="F30" s="1510"/>
      <c r="G30" s="1510"/>
      <c r="H30" s="1510"/>
      <c r="I30" s="1510"/>
      <c r="J30" s="1510"/>
      <c r="K30" s="1510"/>
      <c r="L30" s="1510"/>
      <c r="M30" s="1510"/>
      <c r="N30" s="1510"/>
      <c r="O30" s="1510"/>
      <c r="P30" s="593" t="s">
        <v>1033</v>
      </c>
      <c r="Q30" s="593" t="s">
        <v>1034</v>
      </c>
      <c r="R30" s="593" t="s">
        <v>1035</v>
      </c>
      <c r="S30" s="1508"/>
      <c r="T30" s="1508"/>
      <c r="U30" s="1508"/>
      <c r="V30" s="1508"/>
      <c r="W30" s="1508"/>
      <c r="X30" s="593" t="s">
        <v>1036</v>
      </c>
      <c r="Y30" s="593" t="s">
        <v>1037</v>
      </c>
      <c r="Z30" s="593" t="s">
        <v>1038</v>
      </c>
      <c r="AA30" s="593" t="s">
        <v>1039</v>
      </c>
      <c r="AB30" s="1508"/>
      <c r="AC30" s="1508"/>
      <c r="AD30" s="1508"/>
      <c r="AE30" s="1508"/>
      <c r="AF30" s="1508"/>
      <c r="AG30" s="1508"/>
      <c r="AH30" s="1508"/>
      <c r="AI30" s="592" t="s">
        <v>1040</v>
      </c>
      <c r="AJ30" s="592" t="s">
        <v>1041</v>
      </c>
    </row>
    <row r="31" spans="1:36" s="551" customFormat="1">
      <c r="A31" s="600" t="s">
        <v>1081</v>
      </c>
      <c r="B31" s="601" t="s">
        <v>1082</v>
      </c>
      <c r="C31" s="602">
        <v>0</v>
      </c>
      <c r="D31" s="602">
        <v>129444297</v>
      </c>
      <c r="E31" s="602">
        <v>1404546</v>
      </c>
      <c r="F31" s="602">
        <v>0</v>
      </c>
      <c r="G31" s="602">
        <v>0</v>
      </c>
      <c r="H31" s="602">
        <v>0</v>
      </c>
      <c r="I31" s="602">
        <v>348925369</v>
      </c>
      <c r="J31" s="602">
        <v>217653731</v>
      </c>
      <c r="K31" s="602">
        <v>0</v>
      </c>
      <c r="L31" s="602">
        <v>0</v>
      </c>
      <c r="M31" s="602">
        <v>0</v>
      </c>
      <c r="N31" s="602">
        <v>0</v>
      </c>
      <c r="O31" s="602">
        <v>0</v>
      </c>
      <c r="P31" s="602">
        <v>0</v>
      </c>
      <c r="Q31" s="602">
        <v>0</v>
      </c>
      <c r="R31" s="602">
        <v>0</v>
      </c>
      <c r="S31" s="602">
        <v>0</v>
      </c>
      <c r="T31" s="602">
        <v>0</v>
      </c>
      <c r="U31" s="602">
        <v>0</v>
      </c>
      <c r="V31" s="602">
        <v>0</v>
      </c>
      <c r="W31" s="602">
        <v>0</v>
      </c>
      <c r="X31" s="602">
        <v>0</v>
      </c>
      <c r="Y31" s="602">
        <v>0</v>
      </c>
      <c r="Z31" s="602">
        <v>0</v>
      </c>
      <c r="AA31" s="602">
        <v>0</v>
      </c>
      <c r="AB31" s="602">
        <v>0</v>
      </c>
      <c r="AC31" s="602">
        <v>0</v>
      </c>
      <c r="AD31" s="602">
        <v>0</v>
      </c>
      <c r="AE31" s="602">
        <v>0</v>
      </c>
      <c r="AF31" s="602">
        <v>0</v>
      </c>
      <c r="AG31" s="602">
        <v>0</v>
      </c>
      <c r="AH31" s="603">
        <f>SUM(C31:AG31)</f>
        <v>697427943</v>
      </c>
      <c r="AI31" s="602">
        <v>1113636</v>
      </c>
      <c r="AJ31" s="602">
        <v>0</v>
      </c>
    </row>
    <row r="32" spans="1:36" s="551" customFormat="1">
      <c r="A32" s="600" t="s">
        <v>1083</v>
      </c>
      <c r="B32" s="601" t="s">
        <v>668</v>
      </c>
      <c r="C32" s="602">
        <v>3989755073</v>
      </c>
      <c r="D32" s="602">
        <v>11449949310</v>
      </c>
      <c r="E32" s="602">
        <v>58763599</v>
      </c>
      <c r="F32" s="602">
        <v>0</v>
      </c>
      <c r="G32" s="602">
        <v>7746208410</v>
      </c>
      <c r="H32" s="602">
        <v>0</v>
      </c>
      <c r="I32" s="602">
        <v>1511522550</v>
      </c>
      <c r="J32" s="602">
        <v>0</v>
      </c>
      <c r="K32" s="602">
        <v>969023275</v>
      </c>
      <c r="L32" s="602">
        <v>377648049</v>
      </c>
      <c r="M32" s="602">
        <v>0</v>
      </c>
      <c r="N32" s="602">
        <v>1568036</v>
      </c>
      <c r="O32" s="602">
        <v>20310329</v>
      </c>
      <c r="P32" s="602">
        <v>0</v>
      </c>
      <c r="Q32" s="602">
        <v>0</v>
      </c>
      <c r="R32" s="602">
        <v>0</v>
      </c>
      <c r="S32" s="602">
        <v>0</v>
      </c>
      <c r="T32" s="602">
        <v>0</v>
      </c>
      <c r="U32" s="602">
        <v>267556367</v>
      </c>
      <c r="V32" s="602">
        <v>32377202</v>
      </c>
      <c r="W32" s="602">
        <v>20165821</v>
      </c>
      <c r="X32" s="602">
        <v>63241254</v>
      </c>
      <c r="Y32" s="602">
        <v>27218500</v>
      </c>
      <c r="Z32" s="602">
        <v>4874545</v>
      </c>
      <c r="AA32" s="602">
        <v>7023498</v>
      </c>
      <c r="AB32" s="602">
        <v>0</v>
      </c>
      <c r="AC32" s="602">
        <v>0</v>
      </c>
      <c r="AD32" s="602">
        <v>0</v>
      </c>
      <c r="AE32" s="602">
        <v>0</v>
      </c>
      <c r="AF32" s="602">
        <v>0</v>
      </c>
      <c r="AG32" s="602">
        <v>0</v>
      </c>
      <c r="AH32" s="603">
        <f t="shared" ref="AH32:AH42" si="3">SUM(C32:AG32)</f>
        <v>26547205818</v>
      </c>
      <c r="AI32" s="602">
        <v>120440537</v>
      </c>
      <c r="AJ32" s="602">
        <v>233326665</v>
      </c>
    </row>
    <row r="33" spans="1:36" s="551" customFormat="1">
      <c r="A33" s="600" t="s">
        <v>1084</v>
      </c>
      <c r="B33" s="601" t="s">
        <v>653</v>
      </c>
      <c r="C33" s="602">
        <v>1531761581</v>
      </c>
      <c r="D33" s="602">
        <v>6363237749</v>
      </c>
      <c r="E33" s="602">
        <v>53540902</v>
      </c>
      <c r="F33" s="602">
        <v>0</v>
      </c>
      <c r="G33" s="602">
        <v>10487310255</v>
      </c>
      <c r="H33" s="602">
        <v>0</v>
      </c>
      <c r="I33" s="602">
        <v>3319644777</v>
      </c>
      <c r="J33" s="602">
        <v>0</v>
      </c>
      <c r="K33" s="602">
        <v>233704237</v>
      </c>
      <c r="L33" s="602">
        <v>16340160</v>
      </c>
      <c r="M33" s="602">
        <v>0</v>
      </c>
      <c r="N33" s="602">
        <v>1630849</v>
      </c>
      <c r="O33" s="602">
        <v>6247035</v>
      </c>
      <c r="P33" s="602">
        <v>0</v>
      </c>
      <c r="Q33" s="602">
        <v>0</v>
      </c>
      <c r="R33" s="602">
        <v>550500</v>
      </c>
      <c r="S33" s="602">
        <v>0</v>
      </c>
      <c r="T33" s="602">
        <v>0</v>
      </c>
      <c r="U33" s="602">
        <v>65220000</v>
      </c>
      <c r="V33" s="602">
        <v>271180921</v>
      </c>
      <c r="W33" s="602">
        <v>244953229</v>
      </c>
      <c r="X33" s="602">
        <v>160284438</v>
      </c>
      <c r="Y33" s="602">
        <v>158521458</v>
      </c>
      <c r="Z33" s="602">
        <v>17012719</v>
      </c>
      <c r="AA33" s="602">
        <v>39446727</v>
      </c>
      <c r="AB33" s="602">
        <v>0</v>
      </c>
      <c r="AC33" s="602">
        <v>0</v>
      </c>
      <c r="AD33" s="602">
        <v>0</v>
      </c>
      <c r="AE33" s="602">
        <v>3000000</v>
      </c>
      <c r="AF33" s="602">
        <v>0</v>
      </c>
      <c r="AG33" s="602">
        <v>0</v>
      </c>
      <c r="AH33" s="603">
        <f t="shared" si="3"/>
        <v>22973587537</v>
      </c>
      <c r="AI33" s="602">
        <v>50181818</v>
      </c>
      <c r="AJ33" s="602">
        <v>269263980</v>
      </c>
    </row>
    <row r="34" spans="1:36">
      <c r="A34" s="600" t="s">
        <v>1085</v>
      </c>
      <c r="B34" s="601" t="s">
        <v>646</v>
      </c>
      <c r="C34" s="602">
        <v>793061181</v>
      </c>
      <c r="D34" s="602">
        <v>4841326146</v>
      </c>
      <c r="E34" s="602">
        <v>18318173</v>
      </c>
      <c r="F34" s="602">
        <v>0</v>
      </c>
      <c r="G34" s="602">
        <v>5909145622</v>
      </c>
      <c r="H34" s="602">
        <v>0</v>
      </c>
      <c r="I34" s="602">
        <v>1411374769</v>
      </c>
      <c r="J34" s="602">
        <v>0</v>
      </c>
      <c r="K34" s="602">
        <v>89789732</v>
      </c>
      <c r="L34" s="602">
        <v>14372160</v>
      </c>
      <c r="M34" s="602">
        <v>0</v>
      </c>
      <c r="N34" s="602">
        <v>363640</v>
      </c>
      <c r="O34" s="602">
        <v>3861211</v>
      </c>
      <c r="P34" s="602">
        <v>0</v>
      </c>
      <c r="Q34" s="602">
        <v>0</v>
      </c>
      <c r="R34" s="602">
        <v>0</v>
      </c>
      <c r="S34" s="602">
        <v>0</v>
      </c>
      <c r="T34" s="602">
        <v>0</v>
      </c>
      <c r="U34" s="602">
        <v>120220000</v>
      </c>
      <c r="V34" s="602">
        <v>67925650</v>
      </c>
      <c r="W34" s="602">
        <v>67166136</v>
      </c>
      <c r="X34" s="602">
        <v>119721902</v>
      </c>
      <c r="Y34" s="602">
        <v>18395000</v>
      </c>
      <c r="Z34" s="602">
        <v>3133634</v>
      </c>
      <c r="AA34" s="602">
        <v>96374086</v>
      </c>
      <c r="AB34" s="602">
        <v>0</v>
      </c>
      <c r="AC34" s="602">
        <v>0</v>
      </c>
      <c r="AD34" s="602">
        <v>0</v>
      </c>
      <c r="AE34" s="602">
        <v>1190000</v>
      </c>
      <c r="AF34" s="602">
        <v>0</v>
      </c>
      <c r="AG34" s="602">
        <v>0</v>
      </c>
      <c r="AH34" s="603">
        <f t="shared" si="3"/>
        <v>13575739042</v>
      </c>
      <c r="AI34" s="602">
        <v>14990903</v>
      </c>
      <c r="AJ34" s="602">
        <v>116165655</v>
      </c>
    </row>
    <row r="35" spans="1:36">
      <c r="A35" s="600" t="s">
        <v>1086</v>
      </c>
      <c r="B35" s="601" t="s">
        <v>674</v>
      </c>
      <c r="C35" s="602">
        <v>641905109</v>
      </c>
      <c r="D35" s="602">
        <v>3759609956</v>
      </c>
      <c r="E35" s="602">
        <v>26913632</v>
      </c>
      <c r="F35" s="602">
        <v>0</v>
      </c>
      <c r="G35" s="602">
        <v>4257841535</v>
      </c>
      <c r="H35" s="602">
        <v>0</v>
      </c>
      <c r="I35" s="602">
        <v>1182511191</v>
      </c>
      <c r="J35" s="602">
        <v>0</v>
      </c>
      <c r="K35" s="602">
        <v>107162308</v>
      </c>
      <c r="L35" s="602">
        <v>1968000</v>
      </c>
      <c r="M35" s="602">
        <v>0</v>
      </c>
      <c r="N35" s="602">
        <v>5380191</v>
      </c>
      <c r="O35" s="602">
        <v>1962188</v>
      </c>
      <c r="P35" s="602">
        <v>0</v>
      </c>
      <c r="Q35" s="602">
        <v>0</v>
      </c>
      <c r="R35" s="602">
        <v>550500</v>
      </c>
      <c r="S35" s="602">
        <v>0</v>
      </c>
      <c r="T35" s="602">
        <v>0</v>
      </c>
      <c r="U35" s="602">
        <v>28115455</v>
      </c>
      <c r="V35" s="602">
        <v>190381432</v>
      </c>
      <c r="W35" s="602">
        <v>18233636</v>
      </c>
      <c r="X35" s="602">
        <v>95840370</v>
      </c>
      <c r="Y35" s="602">
        <v>62384005</v>
      </c>
      <c r="Z35" s="602">
        <v>8607268</v>
      </c>
      <c r="AA35" s="602">
        <v>795454</v>
      </c>
      <c r="AB35" s="602">
        <v>0</v>
      </c>
      <c r="AC35" s="602">
        <v>0</v>
      </c>
      <c r="AD35" s="602">
        <v>0</v>
      </c>
      <c r="AE35" s="602">
        <v>0</v>
      </c>
      <c r="AF35" s="602">
        <v>0</v>
      </c>
      <c r="AG35" s="602">
        <v>0</v>
      </c>
      <c r="AH35" s="603">
        <f t="shared" si="3"/>
        <v>10390162230</v>
      </c>
      <c r="AI35" s="602">
        <v>20610450</v>
      </c>
      <c r="AJ35" s="602">
        <v>94376925</v>
      </c>
    </row>
    <row r="36" spans="1:36">
      <c r="A36" s="600" t="s">
        <v>1087</v>
      </c>
      <c r="B36" s="601" t="s">
        <v>649</v>
      </c>
      <c r="C36" s="602">
        <v>1172122909</v>
      </c>
      <c r="D36" s="602">
        <v>6687830534</v>
      </c>
      <c r="E36" s="602">
        <v>47327260</v>
      </c>
      <c r="F36" s="602">
        <v>0</v>
      </c>
      <c r="G36" s="602">
        <v>7059065217</v>
      </c>
      <c r="H36" s="602">
        <v>122592960</v>
      </c>
      <c r="I36" s="602">
        <v>1388684762</v>
      </c>
      <c r="J36" s="602">
        <v>0</v>
      </c>
      <c r="K36" s="602">
        <v>198218808</v>
      </c>
      <c r="L36" s="602">
        <v>17400000</v>
      </c>
      <c r="M36" s="602">
        <v>4090909</v>
      </c>
      <c r="N36" s="602">
        <v>0</v>
      </c>
      <c r="O36" s="602">
        <v>4966110</v>
      </c>
      <c r="P36" s="602">
        <v>0</v>
      </c>
      <c r="Q36" s="602">
        <v>0</v>
      </c>
      <c r="R36" s="602">
        <v>0</v>
      </c>
      <c r="S36" s="602">
        <v>0</v>
      </c>
      <c r="T36" s="602">
        <v>0</v>
      </c>
      <c r="U36" s="602">
        <v>163109091</v>
      </c>
      <c r="V36" s="602">
        <v>117276035</v>
      </c>
      <c r="W36" s="602">
        <v>21559819</v>
      </c>
      <c r="X36" s="602">
        <v>90446474</v>
      </c>
      <c r="Y36" s="602">
        <v>51886728</v>
      </c>
      <c r="Z36" s="602">
        <v>8092727</v>
      </c>
      <c r="AA36" s="602">
        <v>46877274</v>
      </c>
      <c r="AB36" s="602">
        <v>0</v>
      </c>
      <c r="AC36" s="602">
        <v>0</v>
      </c>
      <c r="AD36" s="602">
        <v>0</v>
      </c>
      <c r="AE36" s="602">
        <v>0</v>
      </c>
      <c r="AF36" s="602">
        <v>0</v>
      </c>
      <c r="AG36" s="602">
        <v>0</v>
      </c>
      <c r="AH36" s="603">
        <f t="shared" si="3"/>
        <v>17201547617</v>
      </c>
      <c r="AI36" s="602">
        <v>34336363</v>
      </c>
      <c r="AJ36" s="602">
        <v>158793210</v>
      </c>
    </row>
    <row r="37" spans="1:36">
      <c r="A37" s="600" t="s">
        <v>1088</v>
      </c>
      <c r="B37" s="601" t="s">
        <v>650</v>
      </c>
      <c r="C37" s="602">
        <v>865575494</v>
      </c>
      <c r="D37" s="602">
        <v>3773944701</v>
      </c>
      <c r="E37" s="602">
        <v>31149992</v>
      </c>
      <c r="F37" s="602">
        <v>0</v>
      </c>
      <c r="G37" s="602">
        <v>5946337399</v>
      </c>
      <c r="H37" s="602">
        <v>0</v>
      </c>
      <c r="I37" s="602">
        <v>1876683634</v>
      </c>
      <c r="J37" s="602">
        <v>0</v>
      </c>
      <c r="K37" s="602">
        <v>156141175</v>
      </c>
      <c r="L37" s="602">
        <v>1968000</v>
      </c>
      <c r="M37" s="602">
        <v>0</v>
      </c>
      <c r="N37" s="602">
        <v>0</v>
      </c>
      <c r="O37" s="602">
        <v>2549360</v>
      </c>
      <c r="P37" s="602">
        <v>0</v>
      </c>
      <c r="Q37" s="602">
        <v>0</v>
      </c>
      <c r="R37" s="602">
        <v>0</v>
      </c>
      <c r="S37" s="602">
        <v>0</v>
      </c>
      <c r="T37" s="602">
        <v>0</v>
      </c>
      <c r="U37" s="602">
        <v>242427279</v>
      </c>
      <c r="V37" s="602">
        <v>119837182</v>
      </c>
      <c r="W37" s="602">
        <v>69174545</v>
      </c>
      <c r="X37" s="602">
        <v>66130318</v>
      </c>
      <c r="Y37" s="602">
        <v>42563591</v>
      </c>
      <c r="Z37" s="602">
        <v>18395444</v>
      </c>
      <c r="AA37" s="602">
        <v>10500909</v>
      </c>
      <c r="AB37" s="602">
        <v>0</v>
      </c>
      <c r="AC37" s="602">
        <v>0</v>
      </c>
      <c r="AD37" s="602">
        <v>0</v>
      </c>
      <c r="AE37" s="602">
        <v>0</v>
      </c>
      <c r="AF37" s="602">
        <v>0</v>
      </c>
      <c r="AG37" s="602">
        <v>0</v>
      </c>
      <c r="AH37" s="603">
        <f t="shared" si="3"/>
        <v>13223379023</v>
      </c>
      <c r="AI37" s="602">
        <v>27222726</v>
      </c>
      <c r="AJ37" s="602">
        <v>115647525</v>
      </c>
    </row>
    <row r="38" spans="1:36">
      <c r="A38" s="600" t="s">
        <v>1089</v>
      </c>
      <c r="B38" s="601" t="s">
        <v>642</v>
      </c>
      <c r="C38" s="602">
        <v>1615221779</v>
      </c>
      <c r="D38" s="602">
        <v>5286133676</v>
      </c>
      <c r="E38" s="602">
        <v>21404536</v>
      </c>
      <c r="F38" s="602">
        <v>0</v>
      </c>
      <c r="G38" s="602">
        <v>3985133087</v>
      </c>
      <c r="H38" s="602">
        <v>27000000</v>
      </c>
      <c r="I38" s="602">
        <v>913021498</v>
      </c>
      <c r="J38" s="602">
        <v>0</v>
      </c>
      <c r="K38" s="602">
        <v>130128213</v>
      </c>
      <c r="L38" s="602">
        <v>23372160</v>
      </c>
      <c r="M38" s="602">
        <v>0</v>
      </c>
      <c r="N38" s="602">
        <v>0</v>
      </c>
      <c r="O38" s="602">
        <v>2679843</v>
      </c>
      <c r="P38" s="602">
        <v>0</v>
      </c>
      <c r="Q38" s="602">
        <v>0</v>
      </c>
      <c r="R38" s="602">
        <v>0</v>
      </c>
      <c r="S38" s="602">
        <v>0</v>
      </c>
      <c r="T38" s="602">
        <v>0</v>
      </c>
      <c r="U38" s="602">
        <v>48909091</v>
      </c>
      <c r="V38" s="602">
        <v>116202027</v>
      </c>
      <c r="W38" s="602">
        <v>107917819</v>
      </c>
      <c r="X38" s="602">
        <v>95634650</v>
      </c>
      <c r="Y38" s="602">
        <v>87871370</v>
      </c>
      <c r="Z38" s="602">
        <v>13069085</v>
      </c>
      <c r="AA38" s="602">
        <v>8699393</v>
      </c>
      <c r="AB38" s="602">
        <v>0</v>
      </c>
      <c r="AC38" s="602">
        <v>0</v>
      </c>
      <c r="AD38" s="602">
        <v>0</v>
      </c>
      <c r="AE38" s="602">
        <v>0</v>
      </c>
      <c r="AF38" s="602">
        <v>0</v>
      </c>
      <c r="AG38" s="602">
        <v>0</v>
      </c>
      <c r="AH38" s="603">
        <f t="shared" si="3"/>
        <v>12482398227</v>
      </c>
      <c r="AI38" s="602">
        <v>27602825</v>
      </c>
      <c r="AJ38" s="602">
        <v>92127150</v>
      </c>
    </row>
    <row r="39" spans="1:36">
      <c r="A39" s="600" t="s">
        <v>1090</v>
      </c>
      <c r="B39" s="601" t="s">
        <v>636</v>
      </c>
      <c r="C39" s="602">
        <v>2039253195</v>
      </c>
      <c r="D39" s="602">
        <v>7411695414</v>
      </c>
      <c r="E39" s="602">
        <v>59172721</v>
      </c>
      <c r="F39" s="602">
        <v>0</v>
      </c>
      <c r="G39" s="602">
        <v>6032999645</v>
      </c>
      <c r="H39" s="602">
        <v>0</v>
      </c>
      <c r="I39" s="602">
        <v>1634576956</v>
      </c>
      <c r="J39" s="602">
        <v>0</v>
      </c>
      <c r="K39" s="602">
        <v>144909375</v>
      </c>
      <c r="L39" s="602">
        <v>1968000</v>
      </c>
      <c r="M39" s="602">
        <v>0</v>
      </c>
      <c r="N39" s="602">
        <v>0</v>
      </c>
      <c r="O39" s="602">
        <v>5320881</v>
      </c>
      <c r="P39" s="602">
        <v>0</v>
      </c>
      <c r="Q39" s="602">
        <v>0</v>
      </c>
      <c r="R39" s="602">
        <v>138726000</v>
      </c>
      <c r="S39" s="602">
        <v>0</v>
      </c>
      <c r="T39" s="602">
        <v>0</v>
      </c>
      <c r="U39" s="602">
        <v>21840000</v>
      </c>
      <c r="V39" s="602">
        <v>95486710</v>
      </c>
      <c r="W39" s="602">
        <v>106170547</v>
      </c>
      <c r="X39" s="602">
        <v>73417843</v>
      </c>
      <c r="Y39" s="602">
        <v>99881636</v>
      </c>
      <c r="Z39" s="602">
        <v>6345454</v>
      </c>
      <c r="AA39" s="602">
        <v>10083183</v>
      </c>
      <c r="AB39" s="602">
        <v>0</v>
      </c>
      <c r="AC39" s="602">
        <v>0</v>
      </c>
      <c r="AD39" s="602">
        <v>0</v>
      </c>
      <c r="AE39" s="602">
        <v>0</v>
      </c>
      <c r="AF39" s="602">
        <v>0</v>
      </c>
      <c r="AG39" s="602">
        <v>0</v>
      </c>
      <c r="AH39" s="603">
        <f t="shared" si="3"/>
        <v>17881847560</v>
      </c>
      <c r="AI39" s="602">
        <v>44138639</v>
      </c>
      <c r="AJ39" s="602">
        <v>152984700</v>
      </c>
    </row>
    <row r="40" spans="1:36">
      <c r="A40" s="600" t="s">
        <v>1091</v>
      </c>
      <c r="B40" s="601" t="s">
        <v>756</v>
      </c>
      <c r="C40" s="602">
        <v>0</v>
      </c>
      <c r="D40" s="602">
        <v>0</v>
      </c>
      <c r="E40" s="602">
        <v>1427268</v>
      </c>
      <c r="F40" s="602">
        <v>0</v>
      </c>
      <c r="G40" s="602">
        <v>11664613</v>
      </c>
      <c r="H40" s="602">
        <v>30149092</v>
      </c>
      <c r="I40" s="602">
        <v>5102</v>
      </c>
      <c r="J40" s="602">
        <v>0</v>
      </c>
      <c r="K40" s="602">
        <v>545454</v>
      </c>
      <c r="L40" s="602">
        <v>1032120414</v>
      </c>
      <c r="M40" s="602">
        <v>759041273</v>
      </c>
      <c r="N40" s="602">
        <v>26809246</v>
      </c>
      <c r="O40" s="602">
        <v>10353501</v>
      </c>
      <c r="P40" s="602">
        <v>15400107</v>
      </c>
      <c r="Q40" s="602">
        <v>16917603</v>
      </c>
      <c r="R40" s="602">
        <v>60856373</v>
      </c>
      <c r="S40" s="602">
        <v>0</v>
      </c>
      <c r="T40" s="602">
        <v>0</v>
      </c>
      <c r="U40" s="602">
        <v>382800000</v>
      </c>
      <c r="V40" s="602">
        <v>47400000</v>
      </c>
      <c r="W40" s="602">
        <v>0</v>
      </c>
      <c r="X40" s="602">
        <v>227701036</v>
      </c>
      <c r="Y40" s="602">
        <v>818143545</v>
      </c>
      <c r="Z40" s="602">
        <v>54346342</v>
      </c>
      <c r="AA40" s="602">
        <v>244611818</v>
      </c>
      <c r="AB40" s="602">
        <v>0</v>
      </c>
      <c r="AC40" s="602">
        <v>0</v>
      </c>
      <c r="AD40" s="602">
        <v>0</v>
      </c>
      <c r="AE40" s="602">
        <v>0</v>
      </c>
      <c r="AF40" s="602">
        <v>0</v>
      </c>
      <c r="AG40" s="602">
        <v>0</v>
      </c>
      <c r="AH40" s="603">
        <f t="shared" si="3"/>
        <v>3740292787</v>
      </c>
      <c r="AI40" s="602">
        <v>25615912</v>
      </c>
      <c r="AJ40" s="602">
        <v>36360</v>
      </c>
    </row>
    <row r="41" spans="1:36">
      <c r="A41" s="600" t="s">
        <v>1092</v>
      </c>
      <c r="B41" s="601" t="s">
        <v>746</v>
      </c>
      <c r="C41" s="602">
        <v>0</v>
      </c>
      <c r="D41" s="602">
        <v>0</v>
      </c>
      <c r="E41" s="602">
        <v>10531820</v>
      </c>
      <c r="F41" s="602">
        <v>0</v>
      </c>
      <c r="G41" s="602">
        <v>0</v>
      </c>
      <c r="H41" s="602">
        <v>0</v>
      </c>
      <c r="I41" s="602">
        <v>0</v>
      </c>
      <c r="J41" s="602">
        <v>0</v>
      </c>
      <c r="K41" s="602">
        <v>0</v>
      </c>
      <c r="L41" s="602">
        <v>0</v>
      </c>
      <c r="M41" s="602">
        <v>0</v>
      </c>
      <c r="N41" s="602">
        <v>0</v>
      </c>
      <c r="O41" s="602">
        <v>0</v>
      </c>
      <c r="P41" s="602">
        <v>0</v>
      </c>
      <c r="Q41" s="602">
        <v>0</v>
      </c>
      <c r="R41" s="602">
        <v>0</v>
      </c>
      <c r="S41" s="602">
        <v>0</v>
      </c>
      <c r="T41" s="602">
        <v>0</v>
      </c>
      <c r="U41" s="602">
        <v>0</v>
      </c>
      <c r="V41" s="602">
        <v>0</v>
      </c>
      <c r="W41" s="602">
        <v>0</v>
      </c>
      <c r="X41" s="602">
        <v>0</v>
      </c>
      <c r="Y41" s="602">
        <v>0</v>
      </c>
      <c r="Z41" s="602">
        <v>0</v>
      </c>
      <c r="AA41" s="602">
        <v>0</v>
      </c>
      <c r="AB41" s="602">
        <v>0</v>
      </c>
      <c r="AC41" s="602">
        <v>0</v>
      </c>
      <c r="AD41" s="602">
        <v>0</v>
      </c>
      <c r="AE41" s="602">
        <v>0</v>
      </c>
      <c r="AF41" s="602">
        <v>0</v>
      </c>
      <c r="AG41" s="602">
        <v>0</v>
      </c>
      <c r="AH41" s="603">
        <f t="shared" si="3"/>
        <v>10531820</v>
      </c>
      <c r="AI41" s="602">
        <v>6590909</v>
      </c>
      <c r="AJ41" s="602">
        <v>0</v>
      </c>
    </row>
    <row r="42" spans="1:36">
      <c r="A42" s="601" t="s">
        <v>1093</v>
      </c>
      <c r="B42" s="604" t="s">
        <v>1094</v>
      </c>
      <c r="C42" s="603">
        <f t="shared" ref="C42:AG42" si="4">SUM(C31:C41)</f>
        <v>12648656321</v>
      </c>
      <c r="D42" s="603">
        <f t="shared" si="4"/>
        <v>49703171783</v>
      </c>
      <c r="E42" s="603">
        <f t="shared" si="4"/>
        <v>329954449</v>
      </c>
      <c r="F42" s="603">
        <f t="shared" si="4"/>
        <v>0</v>
      </c>
      <c r="G42" s="603">
        <f t="shared" si="4"/>
        <v>51435705783</v>
      </c>
      <c r="H42" s="603">
        <f t="shared" si="4"/>
        <v>179742052</v>
      </c>
      <c r="I42" s="603">
        <f t="shared" si="4"/>
        <v>13586950608</v>
      </c>
      <c r="J42" s="603">
        <f t="shared" si="4"/>
        <v>217653731</v>
      </c>
      <c r="K42" s="603">
        <f t="shared" si="4"/>
        <v>2029622577</v>
      </c>
      <c r="L42" s="603">
        <f t="shared" si="4"/>
        <v>1487156943</v>
      </c>
      <c r="M42" s="603">
        <f t="shared" si="4"/>
        <v>763132182</v>
      </c>
      <c r="N42" s="603">
        <f t="shared" si="4"/>
        <v>35751962</v>
      </c>
      <c r="O42" s="603">
        <f t="shared" si="4"/>
        <v>58250458</v>
      </c>
      <c r="P42" s="603">
        <f t="shared" si="4"/>
        <v>15400107</v>
      </c>
      <c r="Q42" s="603">
        <f t="shared" si="4"/>
        <v>16917603</v>
      </c>
      <c r="R42" s="603">
        <f t="shared" si="4"/>
        <v>200683373</v>
      </c>
      <c r="S42" s="603">
        <f t="shared" si="4"/>
        <v>0</v>
      </c>
      <c r="T42" s="603">
        <f t="shared" si="4"/>
        <v>0</v>
      </c>
      <c r="U42" s="603">
        <f t="shared" si="4"/>
        <v>1340197283</v>
      </c>
      <c r="V42" s="603">
        <f t="shared" si="4"/>
        <v>1058067159</v>
      </c>
      <c r="W42" s="603">
        <f t="shared" si="4"/>
        <v>655341552</v>
      </c>
      <c r="X42" s="603">
        <f t="shared" si="4"/>
        <v>992418285</v>
      </c>
      <c r="Y42" s="603">
        <f t="shared" si="4"/>
        <v>1366865833</v>
      </c>
      <c r="Z42" s="603">
        <f t="shared" si="4"/>
        <v>133877218</v>
      </c>
      <c r="AA42" s="603">
        <f t="shared" si="4"/>
        <v>464412342</v>
      </c>
      <c r="AB42" s="603">
        <f t="shared" si="4"/>
        <v>0</v>
      </c>
      <c r="AC42" s="603">
        <f t="shared" si="4"/>
        <v>0</v>
      </c>
      <c r="AD42" s="603">
        <f t="shared" si="4"/>
        <v>0</v>
      </c>
      <c r="AE42" s="603">
        <f t="shared" si="4"/>
        <v>4190000</v>
      </c>
      <c r="AF42" s="603">
        <f t="shared" si="4"/>
        <v>0</v>
      </c>
      <c r="AG42" s="603">
        <f t="shared" si="4"/>
        <v>0</v>
      </c>
      <c r="AH42" s="603">
        <f t="shared" si="3"/>
        <v>138724119604</v>
      </c>
      <c r="AI42" s="603"/>
      <c r="AJ42" s="603">
        <f>SUM(AJ31:AJ41)</f>
        <v>1232722170</v>
      </c>
    </row>
    <row r="43" spans="1:36">
      <c r="A43" s="1516" t="s">
        <v>1095</v>
      </c>
      <c r="B43" s="1516"/>
      <c r="C43" s="605">
        <f>C42/$AH42</f>
        <v>9.1178494101146104E-2</v>
      </c>
      <c r="D43" s="605">
        <f t="shared" ref="D43:AH43" si="5">D42/$AH42</f>
        <v>0.35828788767866759</v>
      </c>
      <c r="E43" s="605">
        <f t="shared" si="5"/>
        <v>2.3784937323219893E-3</v>
      </c>
      <c r="F43" s="605">
        <f t="shared" si="5"/>
        <v>0</v>
      </c>
      <c r="G43" s="605">
        <f t="shared" si="5"/>
        <v>0.37077694873701611</v>
      </c>
      <c r="H43" s="605">
        <f t="shared" si="5"/>
        <v>1.2956798897919787E-3</v>
      </c>
      <c r="I43" s="605">
        <f t="shared" si="5"/>
        <v>9.7942237058596046E-2</v>
      </c>
      <c r="J43" s="605">
        <f t="shared" si="5"/>
        <v>1.5689681911214243E-3</v>
      </c>
      <c r="K43" s="605">
        <f t="shared" si="5"/>
        <v>1.4630639450397907E-2</v>
      </c>
      <c r="L43" s="605">
        <f t="shared" si="5"/>
        <v>1.072024783610246E-2</v>
      </c>
      <c r="M43" s="605">
        <f t="shared" si="5"/>
        <v>5.5010778527802293E-3</v>
      </c>
      <c r="N43" s="605">
        <f t="shared" si="5"/>
        <v>2.5771986949390684E-4</v>
      </c>
      <c r="O43" s="605">
        <f t="shared" si="5"/>
        <v>4.199014429955005E-4</v>
      </c>
      <c r="P43" s="605">
        <f t="shared" si="5"/>
        <v>1.1101246880471066E-4</v>
      </c>
      <c r="Q43" s="605">
        <f t="shared" si="5"/>
        <v>1.2195141730430701E-4</v>
      </c>
      <c r="R43" s="605">
        <f t="shared" si="5"/>
        <v>1.4466364866676973E-3</v>
      </c>
      <c r="S43" s="605">
        <f t="shared" si="5"/>
        <v>0</v>
      </c>
      <c r="T43" s="605">
        <f t="shared" si="5"/>
        <v>0</v>
      </c>
      <c r="U43" s="605">
        <f t="shared" si="5"/>
        <v>9.6608815166800768E-3</v>
      </c>
      <c r="V43" s="605">
        <f t="shared" si="5"/>
        <v>7.6271319077053376E-3</v>
      </c>
      <c r="W43" s="605">
        <f t="shared" si="5"/>
        <v>4.7240635144827677E-3</v>
      </c>
      <c r="X43" s="605">
        <f t="shared" si="5"/>
        <v>7.1538985998465436E-3</v>
      </c>
      <c r="Y43" s="605">
        <f t="shared" si="5"/>
        <v>9.8531231403870996E-3</v>
      </c>
      <c r="Z43" s="605">
        <f t="shared" si="5"/>
        <v>9.6506085879055571E-4</v>
      </c>
      <c r="AA43" s="605">
        <f t="shared" si="5"/>
        <v>3.3477404169203252E-3</v>
      </c>
      <c r="AB43" s="605">
        <f t="shared" si="5"/>
        <v>0</v>
      </c>
      <c r="AC43" s="605">
        <f t="shared" si="5"/>
        <v>0</v>
      </c>
      <c r="AD43" s="605">
        <f t="shared" si="5"/>
        <v>0</v>
      </c>
      <c r="AE43" s="605">
        <f t="shared" si="5"/>
        <v>3.0203831979332197E-5</v>
      </c>
      <c r="AF43" s="605">
        <f t="shared" si="5"/>
        <v>0</v>
      </c>
      <c r="AG43" s="605">
        <f t="shared" si="5"/>
        <v>0</v>
      </c>
      <c r="AH43" s="605">
        <f t="shared" si="5"/>
        <v>1</v>
      </c>
      <c r="AI43" s="609"/>
      <c r="AJ43" s="609"/>
    </row>
    <row r="44" spans="1:36">
      <c r="A44" s="610" t="s">
        <v>1096</v>
      </c>
    </row>
    <row r="45" spans="1:36">
      <c r="A45" s="1507" t="s">
        <v>0</v>
      </c>
      <c r="B45" s="1511" t="s">
        <v>632</v>
      </c>
      <c r="C45" s="1518" t="s">
        <v>1005</v>
      </c>
      <c r="D45" s="1518"/>
      <c r="E45" s="1518"/>
      <c r="F45" s="1507" t="s">
        <v>1006</v>
      </c>
      <c r="G45" s="1507" t="s">
        <v>1007</v>
      </c>
      <c r="H45" s="1507" t="s">
        <v>1008</v>
      </c>
      <c r="I45" s="1507" t="s">
        <v>1009</v>
      </c>
      <c r="J45" s="1507" t="s">
        <v>1010</v>
      </c>
      <c r="K45" s="1507" t="s">
        <v>1011</v>
      </c>
      <c r="L45" s="1507" t="s">
        <v>1012</v>
      </c>
      <c r="M45" s="1507" t="s">
        <v>1013</v>
      </c>
      <c r="N45" s="1507" t="s">
        <v>1014</v>
      </c>
      <c r="O45" s="1507" t="s">
        <v>1015</v>
      </c>
      <c r="P45" s="1517" t="s">
        <v>1016</v>
      </c>
      <c r="Q45" s="1517"/>
      <c r="R45" s="1517"/>
      <c r="S45" s="1507" t="s">
        <v>1017</v>
      </c>
      <c r="T45" s="1507" t="s">
        <v>1018</v>
      </c>
      <c r="U45" s="1507" t="s">
        <v>1019</v>
      </c>
      <c r="V45" s="1507" t="s">
        <v>1020</v>
      </c>
      <c r="W45" s="1507" t="s">
        <v>1021</v>
      </c>
      <c r="X45" s="1517" t="s">
        <v>1022</v>
      </c>
      <c r="Y45" s="1517"/>
      <c r="Z45" s="1517"/>
      <c r="AA45" s="1517"/>
      <c r="AB45" s="1507" t="s">
        <v>1023</v>
      </c>
      <c r="AC45" s="1507" t="s">
        <v>1024</v>
      </c>
      <c r="AD45" s="1507" t="s">
        <v>1025</v>
      </c>
      <c r="AE45" s="1507" t="s">
        <v>1026</v>
      </c>
      <c r="AF45" s="1507" t="s">
        <v>1027</v>
      </c>
      <c r="AG45" s="1507" t="s">
        <v>1028</v>
      </c>
      <c r="AH45" s="1507" t="s">
        <v>1029</v>
      </c>
      <c r="AI45" s="552"/>
      <c r="AJ45" s="552"/>
    </row>
    <row r="46" spans="1:36" ht="49.5">
      <c r="A46" s="1508"/>
      <c r="B46" s="1512"/>
      <c r="C46" s="592" t="s">
        <v>1030</v>
      </c>
      <c r="D46" s="592" t="s">
        <v>1031</v>
      </c>
      <c r="E46" s="592" t="s">
        <v>1032</v>
      </c>
      <c r="F46" s="1508"/>
      <c r="G46" s="1508"/>
      <c r="H46" s="1508"/>
      <c r="I46" s="1508"/>
      <c r="J46" s="1508"/>
      <c r="K46" s="1508"/>
      <c r="L46" s="1508"/>
      <c r="M46" s="1508"/>
      <c r="N46" s="1508"/>
      <c r="O46" s="1508"/>
      <c r="P46" s="593" t="s">
        <v>1033</v>
      </c>
      <c r="Q46" s="593" t="s">
        <v>1034</v>
      </c>
      <c r="R46" s="593" t="s">
        <v>1035</v>
      </c>
      <c r="S46" s="1508"/>
      <c r="T46" s="1508"/>
      <c r="U46" s="1508"/>
      <c r="V46" s="1508"/>
      <c r="W46" s="1508"/>
      <c r="X46" s="593" t="s">
        <v>1036</v>
      </c>
      <c r="Y46" s="593" t="s">
        <v>1037</v>
      </c>
      <c r="Z46" s="593" t="s">
        <v>1038</v>
      </c>
      <c r="AA46" s="593" t="s">
        <v>1039</v>
      </c>
      <c r="AB46" s="1508"/>
      <c r="AC46" s="1508"/>
      <c r="AD46" s="1508"/>
      <c r="AE46" s="1508"/>
      <c r="AF46" s="1508"/>
      <c r="AG46" s="1508"/>
      <c r="AH46" s="1508"/>
      <c r="AI46" s="620">
        <v>1</v>
      </c>
      <c r="AJ46" s="588"/>
    </row>
    <row r="47" spans="1:36">
      <c r="A47" s="612">
        <v>1</v>
      </c>
      <c r="B47" s="601" t="s">
        <v>1082</v>
      </c>
      <c r="C47" s="613">
        <f t="shared" ref="C47:AH54" si="6">C14/$AH14</f>
        <v>0</v>
      </c>
      <c r="D47" s="613">
        <f t="shared" si="6"/>
        <v>0.11471117717253376</v>
      </c>
      <c r="E47" s="613">
        <f t="shared" si="6"/>
        <v>8.3679701073740703E-3</v>
      </c>
      <c r="F47" s="613">
        <f t="shared" si="6"/>
        <v>0</v>
      </c>
      <c r="G47" s="613">
        <f t="shared" si="6"/>
        <v>0</v>
      </c>
      <c r="H47" s="613">
        <f t="shared" si="6"/>
        <v>0</v>
      </c>
      <c r="I47" s="613">
        <f t="shared" si="6"/>
        <v>0.51924926640107627</v>
      </c>
      <c r="J47" s="613">
        <f t="shared" si="6"/>
        <v>0.35767158631901591</v>
      </c>
      <c r="K47" s="613">
        <f t="shared" si="6"/>
        <v>0</v>
      </c>
      <c r="L47" s="613">
        <f t="shared" si="6"/>
        <v>0</v>
      </c>
      <c r="M47" s="613">
        <f t="shared" si="6"/>
        <v>0</v>
      </c>
      <c r="N47" s="613">
        <f t="shared" si="6"/>
        <v>0</v>
      </c>
      <c r="O47" s="613">
        <f t="shared" si="6"/>
        <v>0</v>
      </c>
      <c r="P47" s="613">
        <f t="shared" si="6"/>
        <v>0</v>
      </c>
      <c r="Q47" s="613">
        <f t="shared" si="6"/>
        <v>0</v>
      </c>
      <c r="R47" s="613">
        <f t="shared" si="6"/>
        <v>0</v>
      </c>
      <c r="S47" s="613">
        <f t="shared" si="6"/>
        <v>0</v>
      </c>
      <c r="T47" s="613">
        <f t="shared" si="6"/>
        <v>0</v>
      </c>
      <c r="U47" s="613">
        <f t="shared" si="6"/>
        <v>0</v>
      </c>
      <c r="V47" s="613">
        <f t="shared" si="6"/>
        <v>0</v>
      </c>
      <c r="W47" s="613">
        <f t="shared" si="6"/>
        <v>0</v>
      </c>
      <c r="X47" s="613">
        <f t="shared" si="6"/>
        <v>0</v>
      </c>
      <c r="Y47" s="613">
        <f t="shared" si="6"/>
        <v>0</v>
      </c>
      <c r="Z47" s="613">
        <f t="shared" si="6"/>
        <v>0</v>
      </c>
      <c r="AA47" s="613">
        <f t="shared" si="6"/>
        <v>0</v>
      </c>
      <c r="AB47" s="613">
        <f t="shared" si="6"/>
        <v>0</v>
      </c>
      <c r="AC47" s="613">
        <f t="shared" si="6"/>
        <v>0</v>
      </c>
      <c r="AD47" s="613">
        <f t="shared" si="6"/>
        <v>0</v>
      </c>
      <c r="AE47" s="613">
        <f t="shared" si="6"/>
        <v>0</v>
      </c>
      <c r="AF47" s="613">
        <f t="shared" si="6"/>
        <v>0</v>
      </c>
      <c r="AG47" s="613">
        <f t="shared" si="6"/>
        <v>0</v>
      </c>
      <c r="AH47" s="613">
        <f t="shared" si="6"/>
        <v>1</v>
      </c>
      <c r="AI47" s="621">
        <v>2</v>
      </c>
      <c r="AJ47" s="614"/>
    </row>
    <row r="48" spans="1:36">
      <c r="A48" s="612">
        <v>2</v>
      </c>
      <c r="B48" s="601" t="s">
        <v>668</v>
      </c>
      <c r="C48" s="613">
        <f t="shared" si="6"/>
        <v>0.15477365343366312</v>
      </c>
      <c r="D48" s="613">
        <f t="shared" si="6"/>
        <v>0.42194364816466079</v>
      </c>
      <c r="E48" s="613">
        <f t="shared" si="6"/>
        <v>2.3653145235875777E-3</v>
      </c>
      <c r="F48" s="613">
        <f t="shared" si="6"/>
        <v>0</v>
      </c>
      <c r="G48" s="613">
        <f t="shared" si="6"/>
        <v>0.29976054416632009</v>
      </c>
      <c r="H48" s="613">
        <f t="shared" si="6"/>
        <v>0</v>
      </c>
      <c r="I48" s="613">
        <f t="shared" si="6"/>
        <v>5.9265174853020339E-2</v>
      </c>
      <c r="J48" s="613">
        <f t="shared" si="6"/>
        <v>0</v>
      </c>
      <c r="K48" s="613">
        <f t="shared" si="6"/>
        <v>3.6844713152166475E-2</v>
      </c>
      <c r="L48" s="613">
        <f t="shared" si="6"/>
        <v>1.5055782899220296E-2</v>
      </c>
      <c r="M48" s="613">
        <f t="shared" si="6"/>
        <v>0</v>
      </c>
      <c r="N48" s="613">
        <f t="shared" si="6"/>
        <v>5.5966581506323467E-5</v>
      </c>
      <c r="O48" s="613">
        <f t="shared" si="6"/>
        <v>3.0036777261810486E-3</v>
      </c>
      <c r="P48" s="613">
        <f t="shared" si="6"/>
        <v>0</v>
      </c>
      <c r="Q48" s="613">
        <f t="shared" si="6"/>
        <v>0</v>
      </c>
      <c r="R48" s="613">
        <f t="shared" si="6"/>
        <v>0</v>
      </c>
      <c r="S48" s="613">
        <f t="shared" si="6"/>
        <v>0</v>
      </c>
      <c r="T48" s="613">
        <f t="shared" si="6"/>
        <v>0</v>
      </c>
      <c r="U48" s="613">
        <f t="shared" si="6"/>
        <v>1.6622274174668164E-3</v>
      </c>
      <c r="V48" s="613">
        <f t="shared" si="6"/>
        <v>4.7469536595141405E-4</v>
      </c>
      <c r="W48" s="613">
        <f t="shared" si="6"/>
        <v>1.0528002081926296E-3</v>
      </c>
      <c r="X48" s="613">
        <f t="shared" si="6"/>
        <v>2.4325805576939702E-3</v>
      </c>
      <c r="Y48" s="613">
        <f t="shared" si="6"/>
        <v>8.4965985723384815E-4</v>
      </c>
      <c r="Z48" s="613">
        <f t="shared" si="6"/>
        <v>2.6976211803095935E-4</v>
      </c>
      <c r="AA48" s="613">
        <f t="shared" si="6"/>
        <v>1.8979897510431145E-4</v>
      </c>
      <c r="AB48" s="613">
        <f t="shared" si="6"/>
        <v>0</v>
      </c>
      <c r="AC48" s="613">
        <f t="shared" si="6"/>
        <v>0</v>
      </c>
      <c r="AD48" s="613">
        <f t="shared" si="6"/>
        <v>0</v>
      </c>
      <c r="AE48" s="613">
        <f t="shared" si="6"/>
        <v>0</v>
      </c>
      <c r="AF48" s="613">
        <f t="shared" si="6"/>
        <v>0</v>
      </c>
      <c r="AG48" s="613">
        <f t="shared" si="6"/>
        <v>0</v>
      </c>
      <c r="AH48" s="613">
        <f t="shared" si="6"/>
        <v>1</v>
      </c>
      <c r="AI48" s="621">
        <v>3</v>
      </c>
      <c r="AJ48" s="614"/>
    </row>
    <row r="49" spans="1:36">
      <c r="A49" s="612">
        <v>3</v>
      </c>
      <c r="B49" s="601" t="s">
        <v>653</v>
      </c>
      <c r="C49" s="613">
        <f t="shared" si="6"/>
        <v>6.091554415478552E-2</v>
      </c>
      <c r="D49" s="613">
        <f t="shared" si="6"/>
        <v>0.26364924815413476</v>
      </c>
      <c r="E49" s="613">
        <f t="shared" si="6"/>
        <v>2.0755576596528896E-3</v>
      </c>
      <c r="F49" s="613">
        <f t="shared" si="6"/>
        <v>0</v>
      </c>
      <c r="G49" s="613">
        <f t="shared" si="6"/>
        <v>0.46268906102194612</v>
      </c>
      <c r="H49" s="613">
        <f t="shared" si="6"/>
        <v>0</v>
      </c>
      <c r="I49" s="613">
        <f t="shared" si="6"/>
        <v>0.14527490688029887</v>
      </c>
      <c r="J49" s="613">
        <f t="shared" si="6"/>
        <v>0</v>
      </c>
      <c r="K49" s="613">
        <f t="shared" si="6"/>
        <v>1.0098051918251397E-2</v>
      </c>
      <c r="L49" s="613">
        <f t="shared" si="6"/>
        <v>7.1304355806511008E-4</v>
      </c>
      <c r="M49" s="613">
        <f t="shared" si="6"/>
        <v>0</v>
      </c>
      <c r="N49" s="613">
        <f t="shared" si="6"/>
        <v>8.1081422571561298E-5</v>
      </c>
      <c r="O49" s="613">
        <f t="shared" si="6"/>
        <v>1.0904196932605985E-3</v>
      </c>
      <c r="P49" s="613">
        <f t="shared" si="6"/>
        <v>0</v>
      </c>
      <c r="Q49" s="613">
        <f t="shared" si="6"/>
        <v>0</v>
      </c>
      <c r="R49" s="613">
        <f t="shared" si="6"/>
        <v>0</v>
      </c>
      <c r="S49" s="613">
        <f t="shared" si="6"/>
        <v>0</v>
      </c>
      <c r="T49" s="613">
        <f t="shared" si="6"/>
        <v>0</v>
      </c>
      <c r="U49" s="613">
        <f t="shared" si="6"/>
        <v>3.4037241697191817E-3</v>
      </c>
      <c r="V49" s="613">
        <f t="shared" si="6"/>
        <v>4.0186053874843308E-2</v>
      </c>
      <c r="W49" s="613">
        <f t="shared" si="6"/>
        <v>1.4293340944381749E-3</v>
      </c>
      <c r="X49" s="613">
        <f t="shared" si="6"/>
        <v>7.4873136161467532E-3</v>
      </c>
      <c r="Y49" s="613">
        <f t="shared" si="6"/>
        <v>-2.1252260245871338E-4</v>
      </c>
      <c r="Z49" s="613">
        <f t="shared" si="6"/>
        <v>4.9080253762704004E-4</v>
      </c>
      <c r="AA49" s="613">
        <f t="shared" si="6"/>
        <v>6.2837984671738748E-4</v>
      </c>
      <c r="AB49" s="613">
        <f t="shared" si="6"/>
        <v>0</v>
      </c>
      <c r="AC49" s="613">
        <f t="shared" si="6"/>
        <v>0</v>
      </c>
      <c r="AD49" s="613">
        <f t="shared" si="6"/>
        <v>0</v>
      </c>
      <c r="AE49" s="613">
        <f t="shared" si="6"/>
        <v>0</v>
      </c>
      <c r="AF49" s="613">
        <f t="shared" si="6"/>
        <v>0</v>
      </c>
      <c r="AG49" s="613">
        <f t="shared" si="6"/>
        <v>0</v>
      </c>
      <c r="AH49" s="613">
        <f t="shared" si="6"/>
        <v>1</v>
      </c>
      <c r="AI49" s="621">
        <v>4</v>
      </c>
      <c r="AJ49" s="614"/>
    </row>
    <row r="50" spans="1:36">
      <c r="A50" s="612">
        <v>4</v>
      </c>
      <c r="B50" s="601" t="s">
        <v>646</v>
      </c>
      <c r="C50" s="613">
        <f t="shared" si="6"/>
        <v>5.3353859679878796E-2</v>
      </c>
      <c r="D50" s="613">
        <f t="shared" si="6"/>
        <v>0.33809400783871824</v>
      </c>
      <c r="E50" s="613">
        <f t="shared" si="6"/>
        <v>1.5425000313989228E-3</v>
      </c>
      <c r="F50" s="613">
        <f t="shared" si="6"/>
        <v>0</v>
      </c>
      <c r="G50" s="613">
        <f t="shared" si="6"/>
        <v>0.44890242125244323</v>
      </c>
      <c r="H50" s="613">
        <f t="shared" si="6"/>
        <v>0</v>
      </c>
      <c r="I50" s="613">
        <f t="shared" si="6"/>
        <v>0.10767569355238708</v>
      </c>
      <c r="J50" s="613">
        <f t="shared" si="6"/>
        <v>0</v>
      </c>
      <c r="K50" s="613">
        <f t="shared" si="6"/>
        <v>6.8051482955114422E-3</v>
      </c>
      <c r="L50" s="613">
        <f t="shared" si="6"/>
        <v>1.0818976839118996E-3</v>
      </c>
      <c r="M50" s="613">
        <f t="shared" si="6"/>
        <v>0</v>
      </c>
      <c r="N50" s="613">
        <f t="shared" si="6"/>
        <v>2.7373844556261769E-5</v>
      </c>
      <c r="O50" s="613">
        <f t="shared" si="6"/>
        <v>1.162646460377605E-3</v>
      </c>
      <c r="P50" s="613">
        <f t="shared" si="6"/>
        <v>0</v>
      </c>
      <c r="Q50" s="613">
        <f t="shared" si="6"/>
        <v>0</v>
      </c>
      <c r="R50" s="613">
        <f t="shared" si="6"/>
        <v>0</v>
      </c>
      <c r="S50" s="613">
        <f t="shared" si="6"/>
        <v>0</v>
      </c>
      <c r="T50" s="613">
        <f t="shared" si="6"/>
        <v>0</v>
      </c>
      <c r="U50" s="613">
        <f t="shared" si="6"/>
        <v>2.6738503977516721E-2</v>
      </c>
      <c r="V50" s="613">
        <f t="shared" si="6"/>
        <v>1.1496894269918333E-3</v>
      </c>
      <c r="W50" s="613">
        <f t="shared" si="6"/>
        <v>3.9565759264028125E-4</v>
      </c>
      <c r="X50" s="613">
        <f t="shared" si="6"/>
        <v>3.9531764026426077E-3</v>
      </c>
      <c r="Y50" s="613">
        <f t="shared" si="6"/>
        <v>1.1562596314601825E-4</v>
      </c>
      <c r="Z50" s="613">
        <f t="shared" si="6"/>
        <v>0</v>
      </c>
      <c r="AA50" s="613">
        <f t="shared" si="6"/>
        <v>9.001797997879056E-3</v>
      </c>
      <c r="AB50" s="613">
        <f t="shared" si="6"/>
        <v>0</v>
      </c>
      <c r="AC50" s="613">
        <f t="shared" si="6"/>
        <v>0</v>
      </c>
      <c r="AD50" s="613">
        <f t="shared" si="6"/>
        <v>0</v>
      </c>
      <c r="AE50" s="613">
        <f t="shared" si="6"/>
        <v>0</v>
      </c>
      <c r="AF50" s="613">
        <f t="shared" si="6"/>
        <v>0</v>
      </c>
      <c r="AG50" s="613">
        <f t="shared" si="6"/>
        <v>0</v>
      </c>
      <c r="AH50" s="613">
        <f t="shared" si="6"/>
        <v>1</v>
      </c>
      <c r="AI50" s="621">
        <v>5</v>
      </c>
      <c r="AJ50" s="614"/>
    </row>
    <row r="51" spans="1:36">
      <c r="A51" s="612">
        <v>5</v>
      </c>
      <c r="B51" s="601" t="s">
        <v>674</v>
      </c>
      <c r="C51" s="613">
        <f t="shared" si="6"/>
        <v>5.9348684378672314E-2</v>
      </c>
      <c r="D51" s="613">
        <f t="shared" si="6"/>
        <v>0.36204502022401774</v>
      </c>
      <c r="E51" s="613">
        <f t="shared" si="6"/>
        <v>2.1320075012486242E-3</v>
      </c>
      <c r="F51" s="613">
        <f t="shared" si="6"/>
        <v>0</v>
      </c>
      <c r="G51" s="613">
        <f t="shared" si="6"/>
        <v>0.42575109756613505</v>
      </c>
      <c r="H51" s="613">
        <f t="shared" si="6"/>
        <v>0</v>
      </c>
      <c r="I51" s="613">
        <f t="shared" si="6"/>
        <v>0.11649423269048639</v>
      </c>
      <c r="J51" s="613">
        <f t="shared" si="6"/>
        <v>0</v>
      </c>
      <c r="K51" s="613">
        <f t="shared" si="6"/>
        <v>1.0882348146795869E-2</v>
      </c>
      <c r="L51" s="613">
        <f t="shared" si="6"/>
        <v>1.9606502554754183E-4</v>
      </c>
      <c r="M51" s="613">
        <f t="shared" si="6"/>
        <v>0</v>
      </c>
      <c r="N51" s="613">
        <f t="shared" si="6"/>
        <v>4.5854229642551959E-4</v>
      </c>
      <c r="O51" s="613">
        <f t="shared" si="6"/>
        <v>7.8194398444934963E-4</v>
      </c>
      <c r="P51" s="613">
        <f t="shared" si="6"/>
        <v>0</v>
      </c>
      <c r="Q51" s="613">
        <f t="shared" si="6"/>
        <v>0</v>
      </c>
      <c r="R51" s="613">
        <f t="shared" si="6"/>
        <v>0</v>
      </c>
      <c r="S51" s="613">
        <f t="shared" si="6"/>
        <v>0</v>
      </c>
      <c r="T51" s="613">
        <f t="shared" si="6"/>
        <v>0</v>
      </c>
      <c r="U51" s="613">
        <f t="shared" si="6"/>
        <v>5.9775922423031043E-4</v>
      </c>
      <c r="V51" s="613">
        <f t="shared" si="6"/>
        <v>4.6103515164363472E-3</v>
      </c>
      <c r="W51" s="613">
        <f t="shared" si="6"/>
        <v>4.2958962914684973E-3</v>
      </c>
      <c r="X51" s="613">
        <f t="shared" si="6"/>
        <v>1.016318641516128E-2</v>
      </c>
      <c r="Y51" s="613">
        <f t="shared" si="6"/>
        <v>1.5621441059885447E-3</v>
      </c>
      <c r="Z51" s="613">
        <f t="shared" si="6"/>
        <v>6.6079532546229355E-4</v>
      </c>
      <c r="AA51" s="613">
        <f t="shared" si="6"/>
        <v>1.9925307474343681E-5</v>
      </c>
      <c r="AB51" s="613">
        <f t="shared" si="6"/>
        <v>0</v>
      </c>
      <c r="AC51" s="613">
        <f t="shared" si="6"/>
        <v>0</v>
      </c>
      <c r="AD51" s="613">
        <f t="shared" si="6"/>
        <v>0</v>
      </c>
      <c r="AE51" s="613">
        <f t="shared" si="6"/>
        <v>0</v>
      </c>
      <c r="AF51" s="613">
        <f t="shared" si="6"/>
        <v>0</v>
      </c>
      <c r="AG51" s="613">
        <f t="shared" si="6"/>
        <v>0</v>
      </c>
      <c r="AH51" s="613">
        <f t="shared" si="6"/>
        <v>1</v>
      </c>
      <c r="AI51" s="621">
        <v>6</v>
      </c>
      <c r="AJ51" s="614"/>
    </row>
    <row r="52" spans="1:36">
      <c r="A52" s="612">
        <v>6</v>
      </c>
      <c r="B52" s="601" t="s">
        <v>649</v>
      </c>
      <c r="C52" s="613">
        <f t="shared" si="6"/>
        <v>6.4664534379593991E-2</v>
      </c>
      <c r="D52" s="613">
        <f t="shared" si="6"/>
        <v>0.38481984136348607</v>
      </c>
      <c r="E52" s="613">
        <f t="shared" si="6"/>
        <v>2.4120720585778604E-3</v>
      </c>
      <c r="F52" s="613">
        <f t="shared" si="6"/>
        <v>0</v>
      </c>
      <c r="G52" s="613">
        <f t="shared" si="6"/>
        <v>0.41813869989450347</v>
      </c>
      <c r="H52" s="613">
        <f t="shared" si="6"/>
        <v>7.2379498410201654E-3</v>
      </c>
      <c r="I52" s="613">
        <f t="shared" si="6"/>
        <v>8.3264448516992634E-2</v>
      </c>
      <c r="J52" s="613">
        <f t="shared" si="6"/>
        <v>0</v>
      </c>
      <c r="K52" s="613">
        <f t="shared" si="6"/>
        <v>1.1741957938306867E-2</v>
      </c>
      <c r="L52" s="613">
        <f t="shared" si="6"/>
        <v>1.0273047264194525E-3</v>
      </c>
      <c r="M52" s="613">
        <f t="shared" si="6"/>
        <v>0</v>
      </c>
      <c r="N52" s="613">
        <f t="shared" si="6"/>
        <v>0</v>
      </c>
      <c r="O52" s="613">
        <f t="shared" si="6"/>
        <v>1.1728064999813579E-3</v>
      </c>
      <c r="P52" s="613">
        <f t="shared" si="6"/>
        <v>0</v>
      </c>
      <c r="Q52" s="613">
        <f t="shared" si="6"/>
        <v>0</v>
      </c>
      <c r="R52" s="613">
        <f t="shared" si="6"/>
        <v>0</v>
      </c>
      <c r="S52" s="613">
        <f t="shared" si="6"/>
        <v>0</v>
      </c>
      <c r="T52" s="613">
        <f t="shared" si="6"/>
        <v>0</v>
      </c>
      <c r="U52" s="613">
        <f t="shared" si="6"/>
        <v>4.7232401214687468E-5</v>
      </c>
      <c r="V52" s="613">
        <f t="shared" si="6"/>
        <v>6.8189257043480174E-3</v>
      </c>
      <c r="W52" s="613">
        <f t="shared" si="6"/>
        <v>2.2129667052014179E-3</v>
      </c>
      <c r="X52" s="613">
        <f t="shared" si="6"/>
        <v>5.5412670522621502E-3</v>
      </c>
      <c r="Y52" s="613">
        <f t="shared" si="6"/>
        <v>2.1660779197055675E-3</v>
      </c>
      <c r="Z52" s="613">
        <f t="shared" si="6"/>
        <v>1.7948312461581238E-4</v>
      </c>
      <c r="AA52" s="613">
        <f t="shared" si="6"/>
        <v>8.5544318737704635E-3</v>
      </c>
      <c r="AB52" s="613">
        <f t="shared" si="6"/>
        <v>0</v>
      </c>
      <c r="AC52" s="613">
        <f t="shared" si="6"/>
        <v>0</v>
      </c>
      <c r="AD52" s="613">
        <f t="shared" si="6"/>
        <v>0</v>
      </c>
      <c r="AE52" s="613">
        <f t="shared" si="6"/>
        <v>0</v>
      </c>
      <c r="AF52" s="613">
        <f t="shared" si="6"/>
        <v>0</v>
      </c>
      <c r="AG52" s="613">
        <f t="shared" si="6"/>
        <v>0</v>
      </c>
      <c r="AH52" s="613">
        <f t="shared" si="6"/>
        <v>1</v>
      </c>
      <c r="AI52" s="621">
        <v>7</v>
      </c>
      <c r="AJ52" s="614"/>
    </row>
    <row r="53" spans="1:36">
      <c r="A53" s="612">
        <v>7</v>
      </c>
      <c r="B53" s="601" t="s">
        <v>650</v>
      </c>
      <c r="C53" s="613">
        <f t="shared" si="6"/>
        <v>6.3348022252385186E-2</v>
      </c>
      <c r="D53" s="613">
        <f t="shared" si="6"/>
        <v>0.28674096602995047</v>
      </c>
      <c r="E53" s="613">
        <f t="shared" si="6"/>
        <v>2.4204195790256278E-3</v>
      </c>
      <c r="F53" s="613">
        <f t="shared" si="6"/>
        <v>0</v>
      </c>
      <c r="G53" s="613">
        <f t="shared" si="6"/>
        <v>0.47510496810121283</v>
      </c>
      <c r="H53" s="613">
        <f t="shared" si="6"/>
        <v>0</v>
      </c>
      <c r="I53" s="613">
        <f t="shared" si="6"/>
        <v>0.14953704359802555</v>
      </c>
      <c r="J53" s="613">
        <f t="shared" si="6"/>
        <v>0</v>
      </c>
      <c r="K53" s="613">
        <f t="shared" si="6"/>
        <v>1.2361417932160706E-2</v>
      </c>
      <c r="L53" s="613">
        <f t="shared" si="6"/>
        <v>1.56316415363909E-4</v>
      </c>
      <c r="M53" s="613">
        <f t="shared" si="6"/>
        <v>0</v>
      </c>
      <c r="N53" s="613">
        <f t="shared" si="6"/>
        <v>0</v>
      </c>
      <c r="O53" s="613">
        <f t="shared" si="6"/>
        <v>8.099732046181607E-4</v>
      </c>
      <c r="P53" s="613">
        <f t="shared" si="6"/>
        <v>0</v>
      </c>
      <c r="Q53" s="613">
        <f t="shared" si="6"/>
        <v>0</v>
      </c>
      <c r="R53" s="613">
        <f t="shared" si="6"/>
        <v>0</v>
      </c>
      <c r="S53" s="613">
        <f t="shared" si="6"/>
        <v>0</v>
      </c>
      <c r="T53" s="613">
        <f t="shared" si="6"/>
        <v>0</v>
      </c>
      <c r="U53" s="613">
        <f t="shared" si="6"/>
        <v>3.8125954966807077E-4</v>
      </c>
      <c r="V53" s="613">
        <f t="shared" si="6"/>
        <v>7.4807698759471496E-4</v>
      </c>
      <c r="W53" s="613">
        <f t="shared" si="6"/>
        <v>3.4659987944032919E-5</v>
      </c>
      <c r="X53" s="613">
        <f t="shared" si="6"/>
        <v>5.3816513812273347E-3</v>
      </c>
      <c r="Y53" s="613">
        <f t="shared" si="6"/>
        <v>1.6950164145659646E-4</v>
      </c>
      <c r="Z53" s="613">
        <f t="shared" si="6"/>
        <v>7.6945071566539844E-4</v>
      </c>
      <c r="AA53" s="613">
        <f t="shared" si="6"/>
        <v>2.0362726237014043E-3</v>
      </c>
      <c r="AB53" s="613">
        <f t="shared" si="6"/>
        <v>0</v>
      </c>
      <c r="AC53" s="613">
        <f t="shared" si="6"/>
        <v>0</v>
      </c>
      <c r="AD53" s="613">
        <f t="shared" si="6"/>
        <v>0</v>
      </c>
      <c r="AE53" s="613">
        <f t="shared" si="6"/>
        <v>0</v>
      </c>
      <c r="AF53" s="613">
        <f t="shared" si="6"/>
        <v>0</v>
      </c>
      <c r="AG53" s="613">
        <f t="shared" si="6"/>
        <v>0</v>
      </c>
      <c r="AH53" s="613">
        <f t="shared" si="6"/>
        <v>1</v>
      </c>
      <c r="AI53" s="621">
        <v>8</v>
      </c>
      <c r="AJ53" s="614"/>
    </row>
    <row r="54" spans="1:36">
      <c r="A54" s="612">
        <v>8</v>
      </c>
      <c r="B54" s="601" t="s">
        <v>642</v>
      </c>
      <c r="C54" s="613">
        <f t="shared" si="6"/>
        <v>9.0635363211278297E-2</v>
      </c>
      <c r="D54" s="613">
        <f t="shared" si="6"/>
        <v>0.43220249799862392</v>
      </c>
      <c r="E54" s="613">
        <f t="shared" si="6"/>
        <v>2.2297639444882182E-3</v>
      </c>
      <c r="F54" s="613">
        <f t="shared" si="6"/>
        <v>0</v>
      </c>
      <c r="G54" s="613">
        <f t="shared" si="6"/>
        <v>0.35891238090500938</v>
      </c>
      <c r="H54" s="613">
        <f t="shared" si="6"/>
        <v>3.2225784063736988E-3</v>
      </c>
      <c r="I54" s="613">
        <f t="shared" si="6"/>
        <v>8.2128202008464615E-2</v>
      </c>
      <c r="J54" s="613">
        <f t="shared" si="6"/>
        <v>0</v>
      </c>
      <c r="K54" s="613">
        <f t="shared" si="6"/>
        <v>1.1297612970684445E-2</v>
      </c>
      <c r="L54" s="613">
        <f t="shared" si="6"/>
        <v>1.2865392352485506E-3</v>
      </c>
      <c r="M54" s="613">
        <f t="shared" si="6"/>
        <v>0</v>
      </c>
      <c r="N54" s="613">
        <f t="shared" si="6"/>
        <v>0</v>
      </c>
      <c r="O54" s="613">
        <f t="shared" si="6"/>
        <v>9.5955602047463476E-4</v>
      </c>
      <c r="P54" s="613">
        <f t="shared" si="6"/>
        <v>0</v>
      </c>
      <c r="Q54" s="613">
        <f t="shared" si="6"/>
        <v>0</v>
      </c>
      <c r="R54" s="613">
        <f t="shared" si="6"/>
        <v>0</v>
      </c>
      <c r="S54" s="613">
        <f t="shared" si="6"/>
        <v>0</v>
      </c>
      <c r="T54" s="613">
        <f t="shared" si="6"/>
        <v>0</v>
      </c>
      <c r="U54" s="613">
        <f t="shared" si="6"/>
        <v>0</v>
      </c>
      <c r="V54" s="613">
        <f t="shared" si="6"/>
        <v>3.5948549606491971E-3</v>
      </c>
      <c r="W54" s="613">
        <f t="shared" si="6"/>
        <v>5.2908865178671188E-4</v>
      </c>
      <c r="X54" s="613">
        <f t="shared" si="6"/>
        <v>8.9981113552894971E-3</v>
      </c>
      <c r="Y54" s="613">
        <f t="shared" si="6"/>
        <v>5.7433508486926812E-4</v>
      </c>
      <c r="Z54" s="613">
        <f t="shared" si="6"/>
        <v>2.0946748899501023E-3</v>
      </c>
      <c r="AA54" s="613">
        <f t="shared" si="6"/>
        <v>1.3344403568094239E-3</v>
      </c>
      <c r="AB54" s="613">
        <f t="shared" si="6"/>
        <v>0</v>
      </c>
      <c r="AC54" s="613">
        <f t="shared" si="6"/>
        <v>0</v>
      </c>
      <c r="AD54" s="613">
        <f t="shared" si="6"/>
        <v>0</v>
      </c>
      <c r="AE54" s="613">
        <f t="shared" si="6"/>
        <v>0</v>
      </c>
      <c r="AF54" s="613">
        <f t="shared" si="6"/>
        <v>0</v>
      </c>
      <c r="AG54" s="613">
        <f t="shared" si="6"/>
        <v>0</v>
      </c>
      <c r="AH54" s="613">
        <f t="shared" ref="D54:AH58" si="7">AH21/$AH21</f>
        <v>1</v>
      </c>
      <c r="AI54" s="621">
        <v>9</v>
      </c>
      <c r="AJ54" s="614"/>
    </row>
    <row r="55" spans="1:36">
      <c r="A55" s="612">
        <v>9</v>
      </c>
      <c r="B55" s="601" t="s">
        <v>636</v>
      </c>
      <c r="C55" s="613">
        <f t="shared" ref="C55:C58" si="8">C22/$AH22</f>
        <v>6.8007571872773356E-2</v>
      </c>
      <c r="D55" s="613">
        <f t="shared" si="7"/>
        <v>0.41727631625690603</v>
      </c>
      <c r="E55" s="613">
        <f t="shared" si="7"/>
        <v>2.1343423289294176E-3</v>
      </c>
      <c r="F55" s="613">
        <f t="shared" si="7"/>
        <v>0</v>
      </c>
      <c r="G55" s="613">
        <f t="shared" si="7"/>
        <v>0.37271892724713213</v>
      </c>
      <c r="H55" s="613">
        <f t="shared" si="7"/>
        <v>0</v>
      </c>
      <c r="I55" s="613">
        <f t="shared" si="7"/>
        <v>0.10090461017874178</v>
      </c>
      <c r="J55" s="613">
        <f t="shared" si="7"/>
        <v>0</v>
      </c>
      <c r="K55" s="613">
        <f t="shared" si="7"/>
        <v>8.7377976740689103E-3</v>
      </c>
      <c r="L55" s="613">
        <f t="shared" si="7"/>
        <v>1.2101691267337231E-4</v>
      </c>
      <c r="M55" s="613">
        <f t="shared" si="7"/>
        <v>0</v>
      </c>
      <c r="N55" s="613">
        <f t="shared" si="7"/>
        <v>0</v>
      </c>
      <c r="O55" s="613">
        <f t="shared" si="7"/>
        <v>1.3087735595983861E-3</v>
      </c>
      <c r="P55" s="613">
        <f t="shared" si="7"/>
        <v>0</v>
      </c>
      <c r="Q55" s="613">
        <f t="shared" si="7"/>
        <v>0</v>
      </c>
      <c r="R55" s="613">
        <f t="shared" si="7"/>
        <v>0</v>
      </c>
      <c r="S55" s="613">
        <f t="shared" si="7"/>
        <v>0</v>
      </c>
      <c r="T55" s="613">
        <f t="shared" si="7"/>
        <v>0</v>
      </c>
      <c r="U55" s="613">
        <f t="shared" si="7"/>
        <v>3.9601062887018176E-4</v>
      </c>
      <c r="V55" s="613">
        <f t="shared" si="7"/>
        <v>2.6771142508895539E-3</v>
      </c>
      <c r="W55" s="613">
        <f t="shared" si="7"/>
        <v>1.8791789064656159E-2</v>
      </c>
      <c r="X55" s="613">
        <f t="shared" si="7"/>
        <v>4.8513139427527486E-3</v>
      </c>
      <c r="Y55" s="613">
        <f t="shared" si="7"/>
        <v>3.0746166837747032E-4</v>
      </c>
      <c r="Z55" s="613">
        <f t="shared" si="7"/>
        <v>5.1877146412659108E-5</v>
      </c>
      <c r="AA55" s="613">
        <f t="shared" si="7"/>
        <v>1.7150772672178414E-3</v>
      </c>
      <c r="AB55" s="613">
        <f t="shared" si="7"/>
        <v>0</v>
      </c>
      <c r="AC55" s="613">
        <f t="shared" si="7"/>
        <v>0</v>
      </c>
      <c r="AD55" s="613">
        <f t="shared" si="7"/>
        <v>0</v>
      </c>
      <c r="AE55" s="613">
        <f t="shared" si="7"/>
        <v>0</v>
      </c>
      <c r="AF55" s="613">
        <f t="shared" si="7"/>
        <v>0</v>
      </c>
      <c r="AG55" s="613">
        <f t="shared" si="7"/>
        <v>0</v>
      </c>
      <c r="AH55" s="613">
        <f t="shared" si="7"/>
        <v>1</v>
      </c>
      <c r="AI55" s="621">
        <v>10</v>
      </c>
      <c r="AJ55" s="614"/>
    </row>
    <row r="56" spans="1:36">
      <c r="A56" s="612">
        <v>10</v>
      </c>
      <c r="B56" s="601" t="s">
        <v>756</v>
      </c>
      <c r="C56" s="613">
        <f t="shared" si="8"/>
        <v>0</v>
      </c>
      <c r="D56" s="613">
        <f t="shared" si="7"/>
        <v>0</v>
      </c>
      <c r="E56" s="613">
        <f t="shared" si="7"/>
        <v>5.5597184714988816E-4</v>
      </c>
      <c r="F56" s="613">
        <f t="shared" si="7"/>
        <v>0</v>
      </c>
      <c r="G56" s="613">
        <f t="shared" si="7"/>
        <v>2.3538672009955179E-3</v>
      </c>
      <c r="H56" s="613">
        <f t="shared" si="7"/>
        <v>5.9864793402861997E-3</v>
      </c>
      <c r="I56" s="613">
        <f t="shared" si="7"/>
        <v>0</v>
      </c>
      <c r="J56" s="613">
        <f t="shared" si="7"/>
        <v>0</v>
      </c>
      <c r="K56" s="613">
        <f t="shared" si="7"/>
        <v>0</v>
      </c>
      <c r="L56" s="613">
        <f t="shared" si="7"/>
        <v>0.55048256991969902</v>
      </c>
      <c r="M56" s="613">
        <f t="shared" si="7"/>
        <v>0.15155508640688617</v>
      </c>
      <c r="N56" s="613">
        <f t="shared" si="7"/>
        <v>4.0756948462869758E-3</v>
      </c>
      <c r="O56" s="613">
        <f t="shared" si="7"/>
        <v>2.001891326956654E-3</v>
      </c>
      <c r="P56" s="613">
        <f t="shared" si="7"/>
        <v>1.7155800745200806E-3</v>
      </c>
      <c r="Q56" s="613">
        <f t="shared" si="7"/>
        <v>7.8182002146011172E-3</v>
      </c>
      <c r="R56" s="613">
        <f t="shared" si="7"/>
        <v>1.0097300688598975E-2</v>
      </c>
      <c r="S56" s="613">
        <f t="shared" si="7"/>
        <v>0</v>
      </c>
      <c r="T56" s="613">
        <f t="shared" si="7"/>
        <v>0</v>
      </c>
      <c r="U56" s="613">
        <f t="shared" si="7"/>
        <v>3.8521126673251811E-2</v>
      </c>
      <c r="V56" s="613">
        <f t="shared" si="7"/>
        <v>4.7655002070002238E-4</v>
      </c>
      <c r="W56" s="613">
        <f t="shared" si="7"/>
        <v>0</v>
      </c>
      <c r="X56" s="613">
        <f t="shared" si="7"/>
        <v>4.8253729985009333E-2</v>
      </c>
      <c r="Y56" s="613">
        <f t="shared" si="7"/>
        <v>0.15640133404364384</v>
      </c>
      <c r="Z56" s="613">
        <f t="shared" si="7"/>
        <v>7.9489949275324805E-3</v>
      </c>
      <c r="AA56" s="613">
        <f t="shared" si="7"/>
        <v>1.1755622483881912E-2</v>
      </c>
      <c r="AB56" s="613">
        <f t="shared" si="7"/>
        <v>0</v>
      </c>
      <c r="AC56" s="613">
        <f t="shared" si="7"/>
        <v>0</v>
      </c>
      <c r="AD56" s="613">
        <f t="shared" si="7"/>
        <v>0</v>
      </c>
      <c r="AE56" s="613">
        <f t="shared" si="7"/>
        <v>0</v>
      </c>
      <c r="AF56" s="613">
        <f t="shared" si="7"/>
        <v>0</v>
      </c>
      <c r="AG56" s="613">
        <f t="shared" si="7"/>
        <v>0</v>
      </c>
      <c r="AH56" s="613">
        <f t="shared" si="7"/>
        <v>1</v>
      </c>
      <c r="AI56" s="621">
        <v>11</v>
      </c>
      <c r="AJ56" s="614"/>
    </row>
    <row r="57" spans="1:36">
      <c r="A57" s="612">
        <v>11</v>
      </c>
      <c r="B57" s="601" t="s">
        <v>746</v>
      </c>
      <c r="C57" s="613">
        <f t="shared" si="8"/>
        <v>0</v>
      </c>
      <c r="D57" s="613">
        <f t="shared" si="7"/>
        <v>0</v>
      </c>
      <c r="E57" s="613">
        <f t="shared" si="7"/>
        <v>1</v>
      </c>
      <c r="F57" s="613">
        <f t="shared" si="7"/>
        <v>0</v>
      </c>
      <c r="G57" s="613">
        <f t="shared" si="7"/>
        <v>0</v>
      </c>
      <c r="H57" s="613">
        <f t="shared" si="7"/>
        <v>0</v>
      </c>
      <c r="I57" s="613">
        <f t="shared" si="7"/>
        <v>0</v>
      </c>
      <c r="J57" s="613">
        <f t="shared" si="7"/>
        <v>0</v>
      </c>
      <c r="K57" s="613">
        <f t="shared" si="7"/>
        <v>0</v>
      </c>
      <c r="L57" s="613">
        <f t="shared" si="7"/>
        <v>0</v>
      </c>
      <c r="M57" s="613">
        <f t="shared" si="7"/>
        <v>0</v>
      </c>
      <c r="N57" s="613">
        <f t="shared" si="7"/>
        <v>0</v>
      </c>
      <c r="O57" s="613">
        <f t="shared" si="7"/>
        <v>0</v>
      </c>
      <c r="P57" s="613">
        <f t="shared" si="7"/>
        <v>0</v>
      </c>
      <c r="Q57" s="613">
        <f t="shared" si="7"/>
        <v>0</v>
      </c>
      <c r="R57" s="613">
        <f t="shared" si="7"/>
        <v>0</v>
      </c>
      <c r="S57" s="613">
        <f t="shared" si="7"/>
        <v>0</v>
      </c>
      <c r="T57" s="613">
        <f t="shared" si="7"/>
        <v>0</v>
      </c>
      <c r="U57" s="613">
        <f t="shared" si="7"/>
        <v>0</v>
      </c>
      <c r="V57" s="613">
        <f t="shared" si="7"/>
        <v>0</v>
      </c>
      <c r="W57" s="613">
        <f t="shared" si="7"/>
        <v>0</v>
      </c>
      <c r="X57" s="613">
        <f t="shared" si="7"/>
        <v>0</v>
      </c>
      <c r="Y57" s="613">
        <f t="shared" si="7"/>
        <v>0</v>
      </c>
      <c r="Z57" s="613">
        <f t="shared" si="7"/>
        <v>0</v>
      </c>
      <c r="AA57" s="613">
        <f t="shared" si="7"/>
        <v>0</v>
      </c>
      <c r="AB57" s="613">
        <f t="shared" si="7"/>
        <v>0</v>
      </c>
      <c r="AC57" s="613">
        <f t="shared" si="7"/>
        <v>0</v>
      </c>
      <c r="AD57" s="613">
        <f t="shared" si="7"/>
        <v>0</v>
      </c>
      <c r="AE57" s="613">
        <f t="shared" si="7"/>
        <v>0</v>
      </c>
      <c r="AF57" s="613">
        <f t="shared" si="7"/>
        <v>0</v>
      </c>
      <c r="AG57" s="613">
        <f t="shared" si="7"/>
        <v>0</v>
      </c>
      <c r="AH57" s="613">
        <f t="shared" si="7"/>
        <v>1</v>
      </c>
      <c r="AI57" s="621">
        <v>12</v>
      </c>
      <c r="AJ57" s="614"/>
    </row>
    <row r="58" spans="1:36" s="610" customFormat="1">
      <c r="A58" s="615">
        <v>12</v>
      </c>
      <c r="B58" s="616" t="s">
        <v>1094</v>
      </c>
      <c r="C58" s="617">
        <f t="shared" si="8"/>
        <v>7.9599635006716463E-2</v>
      </c>
      <c r="D58" s="617">
        <f t="shared" si="7"/>
        <v>0.34813038204202651</v>
      </c>
      <c r="E58" s="617">
        <f t="shared" si="7"/>
        <v>2.2264228332928076E-3</v>
      </c>
      <c r="F58" s="617">
        <f t="shared" si="7"/>
        <v>0</v>
      </c>
      <c r="G58" s="617">
        <f t="shared" si="7"/>
        <v>0.38395324773591288</v>
      </c>
      <c r="H58" s="617">
        <f t="shared" si="7"/>
        <v>1.3996297921354949E-3</v>
      </c>
      <c r="I58" s="617">
        <f t="shared" si="7"/>
        <v>0.10115458091192191</v>
      </c>
      <c r="J58" s="617">
        <f t="shared" si="7"/>
        <v>1.6366825290830458E-3</v>
      </c>
      <c r="K58" s="617">
        <f t="shared" si="7"/>
        <v>1.4915803496480428E-2</v>
      </c>
      <c r="L58" s="617">
        <f t="shared" si="7"/>
        <v>2.3967235388763372E-2</v>
      </c>
      <c r="M58" s="617">
        <f t="shared" si="7"/>
        <v>5.660017464731491E-3</v>
      </c>
      <c r="N58" s="617">
        <f t="shared" si="7"/>
        <v>2.1360438010525442E-4</v>
      </c>
      <c r="O58" s="617">
        <f t="shared" si="7"/>
        <v>1.4719288652088212E-3</v>
      </c>
      <c r="P58" s="617">
        <f t="shared" si="7"/>
        <v>6.4070519928705004E-5</v>
      </c>
      <c r="Q58" s="617">
        <f t="shared" si="7"/>
        <v>2.9198063098065169E-4</v>
      </c>
      <c r="R58" s="617">
        <f t="shared" si="7"/>
        <v>3.7709653696927161E-4</v>
      </c>
      <c r="S58" s="617">
        <f t="shared" si="7"/>
        <v>0</v>
      </c>
      <c r="T58" s="617">
        <f t="shared" si="7"/>
        <v>0</v>
      </c>
      <c r="U58" s="617">
        <f t="shared" si="7"/>
        <v>5.1051746226525082E-3</v>
      </c>
      <c r="V58" s="617">
        <f t="shared" si="7"/>
        <v>8.9417016349761583E-3</v>
      </c>
      <c r="W58" s="617">
        <f t="shared" si="7"/>
        <v>3.3957146866052238E-3</v>
      </c>
      <c r="X58" s="617">
        <f t="shared" si="7"/>
        <v>7.2180612911056539E-3</v>
      </c>
      <c r="Y58" s="617">
        <f t="shared" si="7"/>
        <v>6.4688519840869537E-3</v>
      </c>
      <c r="Z58" s="617">
        <f t="shared" si="7"/>
        <v>7.5560573991613792E-4</v>
      </c>
      <c r="AA58" s="617">
        <f t="shared" si="7"/>
        <v>3.0525719064002812E-3</v>
      </c>
      <c r="AB58" s="617">
        <f t="shared" si="7"/>
        <v>0</v>
      </c>
      <c r="AC58" s="617">
        <f t="shared" si="7"/>
        <v>0</v>
      </c>
      <c r="AD58" s="617">
        <f t="shared" si="7"/>
        <v>0</v>
      </c>
      <c r="AE58" s="617">
        <f t="shared" si="7"/>
        <v>0</v>
      </c>
      <c r="AF58" s="617">
        <f t="shared" si="7"/>
        <v>0</v>
      </c>
      <c r="AG58" s="617">
        <f t="shared" si="7"/>
        <v>0</v>
      </c>
      <c r="AH58" s="617">
        <f t="shared" si="7"/>
        <v>1</v>
      </c>
      <c r="AI58" s="622">
        <v>13</v>
      </c>
      <c r="AJ58" s="618"/>
    </row>
    <row r="59" spans="1:36" s="610" customFormat="1">
      <c r="A59" s="588"/>
      <c r="B59" s="520">
        <v>1</v>
      </c>
      <c r="C59" s="551">
        <v>2</v>
      </c>
      <c r="D59" s="520">
        <v>3</v>
      </c>
      <c r="E59" s="551">
        <v>4</v>
      </c>
      <c r="F59" s="520">
        <v>5</v>
      </c>
      <c r="G59" s="551">
        <v>6</v>
      </c>
      <c r="H59" s="520">
        <v>7</v>
      </c>
      <c r="I59" s="551">
        <v>8</v>
      </c>
      <c r="J59" s="520">
        <v>9</v>
      </c>
      <c r="K59" s="551">
        <v>10</v>
      </c>
      <c r="L59" s="520">
        <v>11</v>
      </c>
      <c r="M59" s="551">
        <v>12</v>
      </c>
      <c r="N59" s="520">
        <v>13</v>
      </c>
      <c r="O59" s="551">
        <v>14</v>
      </c>
      <c r="P59" s="520">
        <v>15</v>
      </c>
      <c r="Q59" s="551">
        <v>16</v>
      </c>
      <c r="R59" s="520">
        <v>17</v>
      </c>
      <c r="S59" s="551">
        <v>18</v>
      </c>
      <c r="T59" s="520">
        <v>19</v>
      </c>
      <c r="U59" s="551">
        <v>20</v>
      </c>
      <c r="V59" s="520">
        <v>21</v>
      </c>
      <c r="W59" s="551">
        <v>22</v>
      </c>
      <c r="X59" s="520">
        <v>23</v>
      </c>
      <c r="Y59" s="551">
        <v>24</v>
      </c>
      <c r="Z59" s="520">
        <v>25</v>
      </c>
      <c r="AA59" s="551">
        <v>26</v>
      </c>
      <c r="AB59" s="520">
        <v>27</v>
      </c>
      <c r="AC59" s="551">
        <v>28</v>
      </c>
      <c r="AD59" s="520">
        <v>29</v>
      </c>
      <c r="AE59" s="551">
        <v>30</v>
      </c>
      <c r="AF59" s="610">
        <v>31</v>
      </c>
      <c r="AG59" s="610">
        <v>32</v>
      </c>
      <c r="AH59" s="610">
        <v>33</v>
      </c>
      <c r="AI59" s="622">
        <v>14</v>
      </c>
      <c r="AJ59" s="618"/>
    </row>
    <row r="60" spans="1:36">
      <c r="A60" s="610" t="s">
        <v>1097</v>
      </c>
    </row>
    <row r="61" spans="1:36">
      <c r="A61" s="1507" t="s">
        <v>0</v>
      </c>
      <c r="B61" s="1511" t="s">
        <v>632</v>
      </c>
      <c r="C61" s="1518" t="s">
        <v>1005</v>
      </c>
      <c r="D61" s="1518"/>
      <c r="E61" s="1518"/>
      <c r="F61" s="1507" t="s">
        <v>1006</v>
      </c>
      <c r="G61" s="1507" t="s">
        <v>1007</v>
      </c>
      <c r="H61" s="1507" t="s">
        <v>1008</v>
      </c>
      <c r="I61" s="1507" t="s">
        <v>1009</v>
      </c>
      <c r="J61" s="1507" t="s">
        <v>1010</v>
      </c>
      <c r="K61" s="1507" t="s">
        <v>1011</v>
      </c>
      <c r="L61" s="1507" t="s">
        <v>1012</v>
      </c>
      <c r="M61" s="1507" t="s">
        <v>1013</v>
      </c>
      <c r="N61" s="1507" t="s">
        <v>1014</v>
      </c>
      <c r="O61" s="1507" t="s">
        <v>1015</v>
      </c>
      <c r="P61" s="1517" t="s">
        <v>1016</v>
      </c>
      <c r="Q61" s="1517"/>
      <c r="R61" s="1517"/>
      <c r="S61" s="1507" t="s">
        <v>1017</v>
      </c>
      <c r="T61" s="1507" t="s">
        <v>1018</v>
      </c>
      <c r="U61" s="1507" t="s">
        <v>1019</v>
      </c>
      <c r="V61" s="1507" t="s">
        <v>1020</v>
      </c>
      <c r="W61" s="1507" t="s">
        <v>1021</v>
      </c>
      <c r="X61" s="1517" t="s">
        <v>1022</v>
      </c>
      <c r="Y61" s="1517"/>
      <c r="Z61" s="1517"/>
      <c r="AA61" s="1517"/>
      <c r="AB61" s="1507" t="s">
        <v>1023</v>
      </c>
      <c r="AC61" s="1507" t="s">
        <v>1024</v>
      </c>
      <c r="AD61" s="1507" t="s">
        <v>1025</v>
      </c>
      <c r="AE61" s="1507" t="s">
        <v>1026</v>
      </c>
      <c r="AF61" s="1507" t="s">
        <v>1027</v>
      </c>
      <c r="AG61" s="1507" t="s">
        <v>1028</v>
      </c>
      <c r="AH61" s="1507" t="s">
        <v>1029</v>
      </c>
      <c r="AI61" s="552"/>
      <c r="AJ61" s="552"/>
    </row>
    <row r="62" spans="1:36" ht="49.5">
      <c r="A62" s="1508"/>
      <c r="B62" s="1512"/>
      <c r="C62" s="592" t="s">
        <v>1030</v>
      </c>
      <c r="D62" s="592" t="s">
        <v>1031</v>
      </c>
      <c r="E62" s="592" t="s">
        <v>1032</v>
      </c>
      <c r="F62" s="1508"/>
      <c r="G62" s="1508"/>
      <c r="H62" s="1508"/>
      <c r="I62" s="1508"/>
      <c r="J62" s="1508"/>
      <c r="K62" s="1508"/>
      <c r="L62" s="1508"/>
      <c r="M62" s="1508"/>
      <c r="N62" s="1508"/>
      <c r="O62" s="1508"/>
      <c r="P62" s="593" t="s">
        <v>1033</v>
      </c>
      <c r="Q62" s="593" t="s">
        <v>1034</v>
      </c>
      <c r="R62" s="593" t="s">
        <v>1035</v>
      </c>
      <c r="S62" s="1508"/>
      <c r="T62" s="1508"/>
      <c r="U62" s="1508"/>
      <c r="V62" s="1508"/>
      <c r="W62" s="1508"/>
      <c r="X62" s="593" t="s">
        <v>1036</v>
      </c>
      <c r="Y62" s="593" t="s">
        <v>1037</v>
      </c>
      <c r="Z62" s="593" t="s">
        <v>1038</v>
      </c>
      <c r="AA62" s="593" t="s">
        <v>1039</v>
      </c>
      <c r="AB62" s="1508"/>
      <c r="AC62" s="1508"/>
      <c r="AD62" s="1508"/>
      <c r="AE62" s="1508"/>
      <c r="AF62" s="1508"/>
      <c r="AG62" s="1508"/>
      <c r="AH62" s="1508"/>
      <c r="AI62" s="588"/>
      <c r="AJ62" s="588"/>
    </row>
    <row r="63" spans="1:36">
      <c r="A63" s="612">
        <v>1</v>
      </c>
      <c r="B63" s="601" t="s">
        <v>1082</v>
      </c>
      <c r="C63" s="613">
        <f t="shared" ref="C63:AH70" si="9">C31/$AH31</f>
        <v>0</v>
      </c>
      <c r="D63" s="613">
        <f t="shared" si="9"/>
        <v>0.18560239562985217</v>
      </c>
      <c r="E63" s="613">
        <f t="shared" si="9"/>
        <v>2.0138940719213482E-3</v>
      </c>
      <c r="F63" s="613">
        <f t="shared" si="9"/>
        <v>0</v>
      </c>
      <c r="G63" s="613">
        <f t="shared" si="9"/>
        <v>0</v>
      </c>
      <c r="H63" s="613">
        <f t="shared" si="9"/>
        <v>0</v>
      </c>
      <c r="I63" s="613">
        <f t="shared" si="9"/>
        <v>0.50030311016660833</v>
      </c>
      <c r="J63" s="613">
        <f t="shared" si="9"/>
        <v>0.3120806001316182</v>
      </c>
      <c r="K63" s="613">
        <f t="shared" si="9"/>
        <v>0</v>
      </c>
      <c r="L63" s="613">
        <f t="shared" si="9"/>
        <v>0</v>
      </c>
      <c r="M63" s="613">
        <f t="shared" si="9"/>
        <v>0</v>
      </c>
      <c r="N63" s="613">
        <f t="shared" si="9"/>
        <v>0</v>
      </c>
      <c r="O63" s="613">
        <f t="shared" si="9"/>
        <v>0</v>
      </c>
      <c r="P63" s="613">
        <f t="shared" si="9"/>
        <v>0</v>
      </c>
      <c r="Q63" s="613">
        <f t="shared" si="9"/>
        <v>0</v>
      </c>
      <c r="R63" s="613">
        <f t="shared" si="9"/>
        <v>0</v>
      </c>
      <c r="S63" s="613">
        <f t="shared" si="9"/>
        <v>0</v>
      </c>
      <c r="T63" s="613">
        <f t="shared" si="9"/>
        <v>0</v>
      </c>
      <c r="U63" s="613">
        <f t="shared" si="9"/>
        <v>0</v>
      </c>
      <c r="V63" s="613">
        <f t="shared" si="9"/>
        <v>0</v>
      </c>
      <c r="W63" s="613">
        <f t="shared" si="9"/>
        <v>0</v>
      </c>
      <c r="X63" s="613">
        <f t="shared" si="9"/>
        <v>0</v>
      </c>
      <c r="Y63" s="613">
        <f t="shared" si="9"/>
        <v>0</v>
      </c>
      <c r="Z63" s="613">
        <f t="shared" si="9"/>
        <v>0</v>
      </c>
      <c r="AA63" s="613">
        <f t="shared" si="9"/>
        <v>0</v>
      </c>
      <c r="AB63" s="613">
        <f t="shared" si="9"/>
        <v>0</v>
      </c>
      <c r="AC63" s="613">
        <f t="shared" si="9"/>
        <v>0</v>
      </c>
      <c r="AD63" s="613">
        <f t="shared" si="9"/>
        <v>0</v>
      </c>
      <c r="AE63" s="613">
        <f t="shared" si="9"/>
        <v>0</v>
      </c>
      <c r="AF63" s="613">
        <f t="shared" si="9"/>
        <v>0</v>
      </c>
      <c r="AG63" s="613">
        <f t="shared" si="9"/>
        <v>0</v>
      </c>
      <c r="AH63" s="613">
        <f t="shared" si="9"/>
        <v>1</v>
      </c>
    </row>
    <row r="64" spans="1:36">
      <c r="A64" s="612">
        <v>2</v>
      </c>
      <c r="B64" s="601" t="s">
        <v>668</v>
      </c>
      <c r="C64" s="613">
        <f t="shared" si="9"/>
        <v>0.15028907751544973</v>
      </c>
      <c r="D64" s="613">
        <f t="shared" si="9"/>
        <v>0.43130525255642932</v>
      </c>
      <c r="E64" s="613">
        <f t="shared" si="9"/>
        <v>2.2135511888846729E-3</v>
      </c>
      <c r="F64" s="613">
        <f t="shared" si="9"/>
        <v>0</v>
      </c>
      <c r="G64" s="613">
        <f t="shared" si="9"/>
        <v>0.2917899707828302</v>
      </c>
      <c r="H64" s="613">
        <f t="shared" si="9"/>
        <v>0</v>
      </c>
      <c r="I64" s="613">
        <f t="shared" si="9"/>
        <v>5.6937161687092924E-2</v>
      </c>
      <c r="J64" s="613">
        <f t="shared" si="9"/>
        <v>0</v>
      </c>
      <c r="K64" s="613">
        <f t="shared" si="9"/>
        <v>3.6501893330821503E-2</v>
      </c>
      <c r="L64" s="613">
        <f t="shared" si="9"/>
        <v>1.4225529104232148E-2</v>
      </c>
      <c r="M64" s="613">
        <f t="shared" si="9"/>
        <v>0</v>
      </c>
      <c r="N64" s="613">
        <f t="shared" si="9"/>
        <v>5.9065952580847994E-5</v>
      </c>
      <c r="O64" s="613">
        <f t="shared" si="9"/>
        <v>7.6506466025998252E-4</v>
      </c>
      <c r="P64" s="613">
        <f t="shared" si="9"/>
        <v>0</v>
      </c>
      <c r="Q64" s="613">
        <f t="shared" si="9"/>
        <v>0</v>
      </c>
      <c r="R64" s="613">
        <f t="shared" si="9"/>
        <v>0</v>
      </c>
      <c r="S64" s="613">
        <f t="shared" si="9"/>
        <v>0</v>
      </c>
      <c r="T64" s="613">
        <f t="shared" si="9"/>
        <v>0</v>
      </c>
      <c r="U64" s="613">
        <f t="shared" si="9"/>
        <v>1.0078513303218781E-2</v>
      </c>
      <c r="V64" s="613">
        <f t="shared" si="9"/>
        <v>1.2196086556893698E-3</v>
      </c>
      <c r="W64" s="613">
        <f t="shared" si="9"/>
        <v>7.5962122485699862E-4</v>
      </c>
      <c r="X64" s="613">
        <f t="shared" si="9"/>
        <v>2.3822188456880861E-3</v>
      </c>
      <c r="Y64" s="613">
        <f t="shared" si="9"/>
        <v>1.0252868112223259E-3</v>
      </c>
      <c r="Z64" s="613">
        <f t="shared" si="9"/>
        <v>1.8361800610649864E-4</v>
      </c>
      <c r="AA64" s="613">
        <f t="shared" si="9"/>
        <v>2.6456637463660319E-4</v>
      </c>
      <c r="AB64" s="613">
        <f t="shared" si="9"/>
        <v>0</v>
      </c>
      <c r="AC64" s="613">
        <f t="shared" si="9"/>
        <v>0</v>
      </c>
      <c r="AD64" s="613">
        <f t="shared" si="9"/>
        <v>0</v>
      </c>
      <c r="AE64" s="613">
        <f t="shared" si="9"/>
        <v>0</v>
      </c>
      <c r="AF64" s="613">
        <f t="shared" si="9"/>
        <v>0</v>
      </c>
      <c r="AG64" s="613">
        <f t="shared" si="9"/>
        <v>0</v>
      </c>
      <c r="AH64" s="613">
        <f t="shared" si="9"/>
        <v>1</v>
      </c>
    </row>
    <row r="65" spans="1:34">
      <c r="A65" s="612">
        <v>3</v>
      </c>
      <c r="B65" s="601" t="s">
        <v>653</v>
      </c>
      <c r="C65" s="613">
        <f t="shared" si="9"/>
        <v>6.6674896923827359E-2</v>
      </c>
      <c r="D65" s="613">
        <f t="shared" si="9"/>
        <v>0.27698058645615181</v>
      </c>
      <c r="E65" s="613">
        <f t="shared" si="9"/>
        <v>2.3305416236697888E-3</v>
      </c>
      <c r="F65" s="613">
        <f t="shared" si="9"/>
        <v>0</v>
      </c>
      <c r="G65" s="613">
        <f t="shared" si="9"/>
        <v>0.4564942344381222</v>
      </c>
      <c r="H65" s="613">
        <f t="shared" si="9"/>
        <v>0</v>
      </c>
      <c r="I65" s="613">
        <f t="shared" si="9"/>
        <v>0.14449831884783176</v>
      </c>
      <c r="J65" s="613">
        <f t="shared" si="9"/>
        <v>0</v>
      </c>
      <c r="K65" s="613">
        <f t="shared" si="9"/>
        <v>1.0172735826461965E-2</v>
      </c>
      <c r="L65" s="613">
        <f t="shared" si="9"/>
        <v>7.1125852563007125E-4</v>
      </c>
      <c r="M65" s="613">
        <f t="shared" si="9"/>
        <v>0</v>
      </c>
      <c r="N65" s="613">
        <f t="shared" si="9"/>
        <v>7.0987998603763743E-5</v>
      </c>
      <c r="O65" s="613">
        <f t="shared" si="9"/>
        <v>2.7192248445911499E-4</v>
      </c>
      <c r="P65" s="613">
        <f t="shared" si="9"/>
        <v>0</v>
      </c>
      <c r="Q65" s="613">
        <f t="shared" si="9"/>
        <v>0</v>
      </c>
      <c r="R65" s="613">
        <f t="shared" si="9"/>
        <v>2.3962300146348275E-5</v>
      </c>
      <c r="S65" s="613">
        <f t="shared" si="9"/>
        <v>0</v>
      </c>
      <c r="T65" s="613">
        <f t="shared" si="9"/>
        <v>0</v>
      </c>
      <c r="U65" s="613">
        <f t="shared" si="9"/>
        <v>2.8389122898180462E-3</v>
      </c>
      <c r="V65" s="613">
        <f t="shared" si="9"/>
        <v>1.1804030196121997E-2</v>
      </c>
      <c r="W65" s="613">
        <f t="shared" si="9"/>
        <v>1.0662384732270994E-2</v>
      </c>
      <c r="X65" s="613">
        <f t="shared" si="9"/>
        <v>6.9769006578469595E-3</v>
      </c>
      <c r="Y65" s="613">
        <f t="shared" si="9"/>
        <v>6.9001612283973515E-3</v>
      </c>
      <c r="Z65" s="613">
        <f t="shared" si="9"/>
        <v>7.4053384011531708E-4</v>
      </c>
      <c r="AA65" s="613">
        <f t="shared" si="9"/>
        <v>1.717046888583216E-3</v>
      </c>
      <c r="AB65" s="613">
        <f t="shared" si="9"/>
        <v>0</v>
      </c>
      <c r="AC65" s="613">
        <f t="shared" si="9"/>
        <v>0</v>
      </c>
      <c r="AD65" s="613">
        <f t="shared" si="9"/>
        <v>0</v>
      </c>
      <c r="AE65" s="613">
        <f t="shared" si="9"/>
        <v>1.3058474194195245E-4</v>
      </c>
      <c r="AF65" s="613">
        <f t="shared" si="9"/>
        <v>0</v>
      </c>
      <c r="AG65" s="613">
        <f t="shared" si="9"/>
        <v>0</v>
      </c>
      <c r="AH65" s="613">
        <f t="shared" si="9"/>
        <v>1</v>
      </c>
    </row>
    <row r="66" spans="1:34">
      <c r="A66" s="612">
        <v>4</v>
      </c>
      <c r="B66" s="601" t="s">
        <v>646</v>
      </c>
      <c r="C66" s="613">
        <f t="shared" si="9"/>
        <v>5.8417532816921691E-2</v>
      </c>
      <c r="D66" s="613">
        <f t="shared" si="9"/>
        <v>0.35661602886016935</v>
      </c>
      <c r="E66" s="613">
        <f t="shared" si="9"/>
        <v>1.3493315497099697E-3</v>
      </c>
      <c r="F66" s="613">
        <f t="shared" si="9"/>
        <v>0</v>
      </c>
      <c r="G66" s="613">
        <f t="shared" si="9"/>
        <v>0.43527248157308829</v>
      </c>
      <c r="H66" s="613">
        <f t="shared" si="9"/>
        <v>0</v>
      </c>
      <c r="I66" s="613">
        <f t="shared" si="9"/>
        <v>0.10396301554070488</v>
      </c>
      <c r="J66" s="613">
        <f t="shared" si="9"/>
        <v>0</v>
      </c>
      <c r="K66" s="613">
        <f t="shared" si="9"/>
        <v>6.613984824119898E-3</v>
      </c>
      <c r="L66" s="613">
        <f t="shared" si="9"/>
        <v>1.0586650167284499E-3</v>
      </c>
      <c r="M66" s="613">
        <f t="shared" si="9"/>
        <v>0</v>
      </c>
      <c r="N66" s="613">
        <f t="shared" si="9"/>
        <v>2.6786018711392964E-5</v>
      </c>
      <c r="O66" s="613">
        <f t="shared" si="9"/>
        <v>2.8441994856076433E-4</v>
      </c>
      <c r="P66" s="613">
        <f t="shared" si="9"/>
        <v>0</v>
      </c>
      <c r="Q66" s="613">
        <f t="shared" si="9"/>
        <v>0</v>
      </c>
      <c r="R66" s="613">
        <f t="shared" si="9"/>
        <v>0</v>
      </c>
      <c r="S66" s="613">
        <f t="shared" si="9"/>
        <v>0</v>
      </c>
      <c r="T66" s="613">
        <f t="shared" si="9"/>
        <v>0</v>
      </c>
      <c r="U66" s="613">
        <f t="shared" si="9"/>
        <v>8.85550316104846E-3</v>
      </c>
      <c r="V66" s="613">
        <f t="shared" si="9"/>
        <v>5.0034587280924255E-3</v>
      </c>
      <c r="W66" s="613">
        <f t="shared" si="9"/>
        <v>4.9475123079638231E-3</v>
      </c>
      <c r="X66" s="613">
        <f t="shared" si="9"/>
        <v>8.8188128564942111E-3</v>
      </c>
      <c r="Y66" s="613">
        <f t="shared" si="9"/>
        <v>1.354990689132311E-3</v>
      </c>
      <c r="Z66" s="613">
        <f t="shared" si="9"/>
        <v>2.3082603387596849E-4</v>
      </c>
      <c r="AA66" s="613">
        <f t="shared" si="9"/>
        <v>7.0989937050087853E-3</v>
      </c>
      <c r="AB66" s="613">
        <f t="shared" si="9"/>
        <v>0</v>
      </c>
      <c r="AC66" s="613">
        <f t="shared" si="9"/>
        <v>0</v>
      </c>
      <c r="AD66" s="613">
        <f t="shared" si="9"/>
        <v>0</v>
      </c>
      <c r="AE66" s="613">
        <f t="shared" si="9"/>
        <v>8.7656369669336784E-5</v>
      </c>
      <c r="AF66" s="613">
        <f t="shared" si="9"/>
        <v>0</v>
      </c>
      <c r="AG66" s="613">
        <f t="shared" si="9"/>
        <v>0</v>
      </c>
      <c r="AH66" s="613">
        <f t="shared" si="9"/>
        <v>1</v>
      </c>
    </row>
    <row r="67" spans="1:34">
      <c r="A67" s="612">
        <v>5</v>
      </c>
      <c r="B67" s="601" t="s">
        <v>674</v>
      </c>
      <c r="C67" s="613">
        <f t="shared" si="9"/>
        <v>6.1780085314413806E-2</v>
      </c>
      <c r="D67" s="613">
        <f t="shared" si="9"/>
        <v>0.36184323909252375</v>
      </c>
      <c r="E67" s="613">
        <f t="shared" si="9"/>
        <v>2.5902994971811906E-3</v>
      </c>
      <c r="F67" s="613">
        <f t="shared" si="9"/>
        <v>0</v>
      </c>
      <c r="G67" s="613">
        <f t="shared" si="9"/>
        <v>0.40979548160529539</v>
      </c>
      <c r="H67" s="613">
        <f t="shared" si="9"/>
        <v>0</v>
      </c>
      <c r="I67" s="613">
        <f t="shared" si="9"/>
        <v>0.11381065712195333</v>
      </c>
      <c r="J67" s="613">
        <f t="shared" si="9"/>
        <v>0</v>
      </c>
      <c r="K67" s="613">
        <f t="shared" si="9"/>
        <v>1.0313824329959476E-2</v>
      </c>
      <c r="L67" s="613">
        <f t="shared" si="9"/>
        <v>1.8940993955972139E-4</v>
      </c>
      <c r="M67" s="613">
        <f t="shared" si="9"/>
        <v>0</v>
      </c>
      <c r="N67" s="613">
        <f t="shared" si="9"/>
        <v>5.178158801472342E-4</v>
      </c>
      <c r="O67" s="613">
        <f t="shared" si="9"/>
        <v>1.8885056427073708E-4</v>
      </c>
      <c r="P67" s="613">
        <f t="shared" si="9"/>
        <v>0</v>
      </c>
      <c r="Q67" s="613">
        <f t="shared" si="9"/>
        <v>0</v>
      </c>
      <c r="R67" s="613">
        <f t="shared" si="9"/>
        <v>5.298281083720865E-5</v>
      </c>
      <c r="S67" s="613">
        <f t="shared" si="9"/>
        <v>0</v>
      </c>
      <c r="T67" s="613">
        <f t="shared" si="9"/>
        <v>0</v>
      </c>
      <c r="U67" s="613">
        <f t="shared" si="9"/>
        <v>2.7059688171971884E-3</v>
      </c>
      <c r="V67" s="613">
        <f t="shared" si="9"/>
        <v>1.8323239597770938E-2</v>
      </c>
      <c r="W67" s="613">
        <f t="shared" si="9"/>
        <v>1.7548942544278253E-3</v>
      </c>
      <c r="X67" s="613">
        <f t="shared" si="9"/>
        <v>9.2241456753462073E-3</v>
      </c>
      <c r="Y67" s="613">
        <f t="shared" si="9"/>
        <v>6.0041415734468275E-3</v>
      </c>
      <c r="Z67" s="613">
        <f t="shared" si="9"/>
        <v>8.2840554453979883E-4</v>
      </c>
      <c r="AA67" s="613">
        <f t="shared" si="9"/>
        <v>7.6558381129338723E-5</v>
      </c>
      <c r="AB67" s="613">
        <f t="shared" si="9"/>
        <v>0</v>
      </c>
      <c r="AC67" s="613">
        <f t="shared" si="9"/>
        <v>0</v>
      </c>
      <c r="AD67" s="613">
        <f t="shared" si="9"/>
        <v>0</v>
      </c>
      <c r="AE67" s="613">
        <f t="shared" si="9"/>
        <v>0</v>
      </c>
      <c r="AF67" s="613">
        <f t="shared" si="9"/>
        <v>0</v>
      </c>
      <c r="AG67" s="613">
        <f t="shared" si="9"/>
        <v>0</v>
      </c>
      <c r="AH67" s="613">
        <f t="shared" si="9"/>
        <v>1</v>
      </c>
    </row>
    <row r="68" spans="1:34">
      <c r="A68" s="612">
        <v>6</v>
      </c>
      <c r="B68" s="601" t="s">
        <v>649</v>
      </c>
      <c r="C68" s="613">
        <f t="shared" si="9"/>
        <v>6.8140549623663546E-2</v>
      </c>
      <c r="D68" s="613">
        <f t="shared" si="9"/>
        <v>0.38879237397166111</v>
      </c>
      <c r="E68" s="613">
        <f t="shared" si="9"/>
        <v>2.7513373246269577E-3</v>
      </c>
      <c r="F68" s="613">
        <f t="shared" si="9"/>
        <v>0</v>
      </c>
      <c r="G68" s="613">
        <f t="shared" si="9"/>
        <v>0.41037384392225529</v>
      </c>
      <c r="H68" s="613">
        <f t="shared" si="9"/>
        <v>7.1268564160380217E-3</v>
      </c>
      <c r="I68" s="613">
        <f t="shared" si="9"/>
        <v>8.0730222240444585E-2</v>
      </c>
      <c r="J68" s="613">
        <f t="shared" si="9"/>
        <v>0</v>
      </c>
      <c r="K68" s="613">
        <f t="shared" si="9"/>
        <v>1.1523312460798799E-2</v>
      </c>
      <c r="L68" s="613">
        <f t="shared" si="9"/>
        <v>1.0115368911808769E-3</v>
      </c>
      <c r="M68" s="613">
        <f t="shared" si="9"/>
        <v>2.378221478140155E-4</v>
      </c>
      <c r="N68" s="613">
        <f t="shared" si="9"/>
        <v>0</v>
      </c>
      <c r="O68" s="613">
        <f t="shared" si="9"/>
        <v>2.8870134888863585E-4</v>
      </c>
      <c r="P68" s="613">
        <f t="shared" si="9"/>
        <v>0</v>
      </c>
      <c r="Q68" s="613">
        <f t="shared" si="9"/>
        <v>0</v>
      </c>
      <c r="R68" s="613">
        <f t="shared" si="9"/>
        <v>0</v>
      </c>
      <c r="S68" s="613">
        <f t="shared" si="9"/>
        <v>0</v>
      </c>
      <c r="T68" s="613">
        <f t="shared" si="9"/>
        <v>0</v>
      </c>
      <c r="U68" s="613">
        <f t="shared" si="9"/>
        <v>9.4822334961769394E-3</v>
      </c>
      <c r="V68" s="613">
        <f t="shared" si="9"/>
        <v>6.8177606812597526E-3</v>
      </c>
      <c r="W68" s="613">
        <f t="shared" si="9"/>
        <v>1.2533650738897931E-3</v>
      </c>
      <c r="X68" s="613">
        <f t="shared" si="9"/>
        <v>5.2580428234616098E-3</v>
      </c>
      <c r="Y68" s="613">
        <f t="shared" si="9"/>
        <v>3.01639882383148E-3</v>
      </c>
      <c r="Z68" s="613">
        <f t="shared" si="9"/>
        <v>4.7046505234227265E-4</v>
      </c>
      <c r="AA68" s="613">
        <f t="shared" si="9"/>
        <v>2.7251777016663301E-3</v>
      </c>
      <c r="AB68" s="613">
        <f t="shared" si="9"/>
        <v>0</v>
      </c>
      <c r="AC68" s="613">
        <f t="shared" si="9"/>
        <v>0</v>
      </c>
      <c r="AD68" s="613">
        <f t="shared" si="9"/>
        <v>0</v>
      </c>
      <c r="AE68" s="613">
        <f t="shared" si="9"/>
        <v>0</v>
      </c>
      <c r="AF68" s="613">
        <f t="shared" si="9"/>
        <v>0</v>
      </c>
      <c r="AG68" s="613">
        <f t="shared" si="9"/>
        <v>0</v>
      </c>
      <c r="AH68" s="613">
        <f t="shared" si="9"/>
        <v>1</v>
      </c>
    </row>
    <row r="69" spans="1:34">
      <c r="A69" s="612">
        <v>7</v>
      </c>
      <c r="B69" s="601" t="s">
        <v>650</v>
      </c>
      <c r="C69" s="613">
        <f t="shared" si="9"/>
        <v>6.5457965962744225E-2</v>
      </c>
      <c r="D69" s="613">
        <f t="shared" si="9"/>
        <v>0.28539941980304834</v>
      </c>
      <c r="E69" s="613">
        <f t="shared" si="9"/>
        <v>2.355675651875323E-3</v>
      </c>
      <c r="F69" s="613">
        <f t="shared" si="9"/>
        <v>0</v>
      </c>
      <c r="G69" s="613">
        <f t="shared" si="9"/>
        <v>0.44968365412934741</v>
      </c>
      <c r="H69" s="613">
        <f t="shared" si="9"/>
        <v>0</v>
      </c>
      <c r="I69" s="613">
        <f t="shared" si="9"/>
        <v>0.14192163975151906</v>
      </c>
      <c r="J69" s="613">
        <f t="shared" si="9"/>
        <v>0</v>
      </c>
      <c r="K69" s="613">
        <f t="shared" si="9"/>
        <v>1.1807963360077393E-2</v>
      </c>
      <c r="L69" s="613">
        <f t="shared" si="9"/>
        <v>1.4882731536144974E-4</v>
      </c>
      <c r="M69" s="613">
        <f t="shared" si="9"/>
        <v>0</v>
      </c>
      <c r="N69" s="613">
        <f t="shared" si="9"/>
        <v>0</v>
      </c>
      <c r="O69" s="613">
        <f t="shared" si="9"/>
        <v>1.9279187230176093E-4</v>
      </c>
      <c r="P69" s="613">
        <f t="shared" si="9"/>
        <v>0</v>
      </c>
      <c r="Q69" s="613">
        <f t="shared" si="9"/>
        <v>0</v>
      </c>
      <c r="R69" s="613">
        <f t="shared" si="9"/>
        <v>0</v>
      </c>
      <c r="S69" s="613">
        <f t="shared" si="9"/>
        <v>0</v>
      </c>
      <c r="T69" s="613">
        <f t="shared" si="9"/>
        <v>0</v>
      </c>
      <c r="U69" s="613">
        <f t="shared" si="9"/>
        <v>1.8333232268267864E-2</v>
      </c>
      <c r="V69" s="613">
        <f t="shared" si="9"/>
        <v>9.0625234133848813E-3</v>
      </c>
      <c r="W69" s="613">
        <f t="shared" si="9"/>
        <v>5.2312306014734734E-3</v>
      </c>
      <c r="X69" s="613">
        <f t="shared" si="9"/>
        <v>5.0010150873673557E-3</v>
      </c>
      <c r="Y69" s="613">
        <f t="shared" si="9"/>
        <v>3.2188135064394122E-3</v>
      </c>
      <c r="Z69" s="613">
        <f t="shared" si="9"/>
        <v>1.3911303584359187E-3</v>
      </c>
      <c r="AA69" s="613">
        <f t="shared" si="9"/>
        <v>7.9411691835614112E-4</v>
      </c>
      <c r="AB69" s="613">
        <f t="shared" si="9"/>
        <v>0</v>
      </c>
      <c r="AC69" s="613">
        <f t="shared" si="9"/>
        <v>0</v>
      </c>
      <c r="AD69" s="613">
        <f t="shared" si="9"/>
        <v>0</v>
      </c>
      <c r="AE69" s="613">
        <f t="shared" si="9"/>
        <v>0</v>
      </c>
      <c r="AF69" s="613">
        <f t="shared" si="9"/>
        <v>0</v>
      </c>
      <c r="AG69" s="613">
        <f t="shared" si="9"/>
        <v>0</v>
      </c>
      <c r="AH69" s="613">
        <f t="shared" si="9"/>
        <v>1</v>
      </c>
    </row>
    <row r="70" spans="1:34">
      <c r="A70" s="612">
        <v>8</v>
      </c>
      <c r="B70" s="601" t="s">
        <v>642</v>
      </c>
      <c r="C70" s="613">
        <f t="shared" si="9"/>
        <v>0.12939995581187286</v>
      </c>
      <c r="D70" s="613">
        <f t="shared" si="9"/>
        <v>0.42348702387701831</v>
      </c>
      <c r="E70" s="613">
        <f t="shared" si="9"/>
        <v>1.7147775299862656E-3</v>
      </c>
      <c r="F70" s="613">
        <f t="shared" si="9"/>
        <v>0</v>
      </c>
      <c r="G70" s="613">
        <f t="shared" si="9"/>
        <v>0.31926021062042181</v>
      </c>
      <c r="H70" s="613">
        <f t="shared" si="9"/>
        <v>2.1630458753989887E-3</v>
      </c>
      <c r="I70" s="613">
        <f t="shared" si="9"/>
        <v>7.3144717977759482E-2</v>
      </c>
      <c r="J70" s="613">
        <f t="shared" si="9"/>
        <v>0</v>
      </c>
      <c r="K70" s="613">
        <f t="shared" si="9"/>
        <v>1.0424936829729298E-2</v>
      </c>
      <c r="L70" s="613">
        <f t="shared" si="9"/>
        <v>1.8724094180431565E-3</v>
      </c>
      <c r="M70" s="613">
        <f t="shared" si="9"/>
        <v>0</v>
      </c>
      <c r="N70" s="613">
        <f t="shared" si="9"/>
        <v>0</v>
      </c>
      <c r="O70" s="613">
        <f t="shared" si="9"/>
        <v>2.1468975362469824E-4</v>
      </c>
      <c r="P70" s="613">
        <f t="shared" si="9"/>
        <v>0</v>
      </c>
      <c r="Q70" s="613">
        <f t="shared" si="9"/>
        <v>0</v>
      </c>
      <c r="R70" s="613">
        <f t="shared" si="9"/>
        <v>0</v>
      </c>
      <c r="S70" s="613">
        <f t="shared" si="9"/>
        <v>0</v>
      </c>
      <c r="T70" s="613">
        <f t="shared" si="9"/>
        <v>0</v>
      </c>
      <c r="U70" s="613">
        <f t="shared" si="9"/>
        <v>3.918244724335696E-3</v>
      </c>
      <c r="V70" s="613">
        <f t="shared" si="9"/>
        <v>9.3092709339019225E-3</v>
      </c>
      <c r="W70" s="613">
        <f t="shared" si="9"/>
        <v>8.6455997507409125E-3</v>
      </c>
      <c r="X70" s="613">
        <f t="shared" si="9"/>
        <v>7.6615605639898483E-3</v>
      </c>
      <c r="Y70" s="613">
        <f t="shared" si="9"/>
        <v>7.0396223868206828E-3</v>
      </c>
      <c r="Z70" s="613">
        <f t="shared" si="9"/>
        <v>1.0470011260921776E-3</v>
      </c>
      <c r="AA70" s="613">
        <f t="shared" si="9"/>
        <v>6.9693282026388279E-4</v>
      </c>
      <c r="AB70" s="613">
        <f t="shared" si="9"/>
        <v>0</v>
      </c>
      <c r="AC70" s="613">
        <f t="shared" si="9"/>
        <v>0</v>
      </c>
      <c r="AD70" s="613">
        <f t="shared" si="9"/>
        <v>0</v>
      </c>
      <c r="AE70" s="613">
        <f t="shared" si="9"/>
        <v>0</v>
      </c>
      <c r="AF70" s="613">
        <f t="shared" si="9"/>
        <v>0</v>
      </c>
      <c r="AG70" s="613">
        <f t="shared" si="9"/>
        <v>0</v>
      </c>
      <c r="AH70" s="613">
        <f t="shared" ref="D70:AH74" si="10">AH38/$AH38</f>
        <v>1</v>
      </c>
    </row>
    <row r="71" spans="1:34">
      <c r="A71" s="612">
        <v>9</v>
      </c>
      <c r="B71" s="601" t="s">
        <v>636</v>
      </c>
      <c r="C71" s="613">
        <f t="shared" ref="C71:C74" si="11">C39/$AH39</f>
        <v>0.11404040819370456</v>
      </c>
      <c r="D71" s="613">
        <f t="shared" si="10"/>
        <v>0.41448152318327897</v>
      </c>
      <c r="E71" s="613">
        <f t="shared" si="10"/>
        <v>3.3090943651909758E-3</v>
      </c>
      <c r="F71" s="613">
        <f t="shared" si="10"/>
        <v>0</v>
      </c>
      <c r="G71" s="613">
        <f t="shared" si="10"/>
        <v>0.33738122555609124</v>
      </c>
      <c r="H71" s="613">
        <f t="shared" si="10"/>
        <v>0</v>
      </c>
      <c r="I71" s="613">
        <f t="shared" si="10"/>
        <v>9.1409847361432262E-2</v>
      </c>
      <c r="J71" s="613">
        <f t="shared" si="10"/>
        <v>0</v>
      </c>
      <c r="K71" s="613">
        <f t="shared" si="10"/>
        <v>8.1037138088655078E-3</v>
      </c>
      <c r="L71" s="613">
        <f t="shared" si="10"/>
        <v>1.1005574191350505E-4</v>
      </c>
      <c r="M71" s="613">
        <f t="shared" si="10"/>
        <v>0</v>
      </c>
      <c r="N71" s="613">
        <f t="shared" si="10"/>
        <v>0</v>
      </c>
      <c r="O71" s="613">
        <f t="shared" si="10"/>
        <v>2.9755767585796378E-4</v>
      </c>
      <c r="P71" s="613">
        <f t="shared" si="10"/>
        <v>0</v>
      </c>
      <c r="Q71" s="613">
        <f t="shared" si="10"/>
        <v>0</v>
      </c>
      <c r="R71" s="613">
        <f t="shared" si="10"/>
        <v>7.7579231975065553E-3</v>
      </c>
      <c r="S71" s="613">
        <f t="shared" si="10"/>
        <v>0</v>
      </c>
      <c r="T71" s="613">
        <f t="shared" si="10"/>
        <v>0</v>
      </c>
      <c r="U71" s="613">
        <f t="shared" si="10"/>
        <v>1.2213503066010926E-3</v>
      </c>
      <c r="V71" s="613">
        <f t="shared" si="10"/>
        <v>5.3398682479317587E-3</v>
      </c>
      <c r="W71" s="613">
        <f t="shared" si="10"/>
        <v>5.9373365444347851E-3</v>
      </c>
      <c r="X71" s="613">
        <f t="shared" si="10"/>
        <v>4.1057190960641426E-3</v>
      </c>
      <c r="Y71" s="613">
        <f t="shared" si="10"/>
        <v>5.5856440820704545E-3</v>
      </c>
      <c r="Z71" s="613">
        <f t="shared" si="10"/>
        <v>3.5485449580691987E-4</v>
      </c>
      <c r="AA71" s="613">
        <f t="shared" si="10"/>
        <v>5.6387814324930974E-4</v>
      </c>
      <c r="AB71" s="613">
        <f t="shared" si="10"/>
        <v>0</v>
      </c>
      <c r="AC71" s="613">
        <f t="shared" si="10"/>
        <v>0</v>
      </c>
      <c r="AD71" s="613">
        <f t="shared" si="10"/>
        <v>0</v>
      </c>
      <c r="AE71" s="613">
        <f t="shared" si="10"/>
        <v>0</v>
      </c>
      <c r="AF71" s="613">
        <f t="shared" si="10"/>
        <v>0</v>
      </c>
      <c r="AG71" s="613">
        <f t="shared" si="10"/>
        <v>0</v>
      </c>
      <c r="AH71" s="613">
        <f t="shared" si="10"/>
        <v>1</v>
      </c>
    </row>
    <row r="72" spans="1:34">
      <c r="A72" s="612">
        <v>10</v>
      </c>
      <c r="B72" s="601" t="s">
        <v>756</v>
      </c>
      <c r="C72" s="613">
        <f t="shared" si="11"/>
        <v>0</v>
      </c>
      <c r="D72" s="613">
        <f t="shared" si="10"/>
        <v>0</v>
      </c>
      <c r="E72" s="613">
        <f t="shared" si="10"/>
        <v>3.8159258680515697E-4</v>
      </c>
      <c r="F72" s="613">
        <f t="shared" si="10"/>
        <v>0</v>
      </c>
      <c r="G72" s="613">
        <f t="shared" si="10"/>
        <v>3.1186363379204622E-3</v>
      </c>
      <c r="H72" s="613">
        <f t="shared" si="10"/>
        <v>8.0606235171717319E-3</v>
      </c>
      <c r="I72" s="613">
        <f t="shared" si="10"/>
        <v>1.3640643368168494E-6</v>
      </c>
      <c r="J72" s="613">
        <f t="shared" si="10"/>
        <v>0</v>
      </c>
      <c r="K72" s="613">
        <f t="shared" si="10"/>
        <v>1.4583189901491527E-4</v>
      </c>
      <c r="L72" s="613">
        <f t="shared" si="10"/>
        <v>0.27594642258683694</v>
      </c>
      <c r="M72" s="613">
        <f t="shared" si="10"/>
        <v>0.20293632510218779</v>
      </c>
      <c r="N72" s="613">
        <f t="shared" si="10"/>
        <v>7.167686469139508E-3</v>
      </c>
      <c r="O72" s="613">
        <f t="shared" si="10"/>
        <v>2.7680990739509183E-3</v>
      </c>
      <c r="P72" s="613">
        <f t="shared" si="10"/>
        <v>4.1173533402319717E-3</v>
      </c>
      <c r="Q72" s="613">
        <f t="shared" si="10"/>
        <v>4.5230691722316233E-3</v>
      </c>
      <c r="R72" s="613">
        <f t="shared" si="10"/>
        <v>1.6270483747025444E-2</v>
      </c>
      <c r="S72" s="613">
        <f t="shared" si="10"/>
        <v>0</v>
      </c>
      <c r="T72" s="613">
        <f t="shared" si="10"/>
        <v>0</v>
      </c>
      <c r="U72" s="613">
        <f t="shared" si="10"/>
        <v>0.10234492907359662</v>
      </c>
      <c r="V72" s="613">
        <f t="shared" si="10"/>
        <v>1.2672804697200835E-2</v>
      </c>
      <c r="W72" s="613">
        <f t="shared" si="10"/>
        <v>0</v>
      </c>
      <c r="X72" s="613">
        <f t="shared" si="10"/>
        <v>6.0877864105027345E-2</v>
      </c>
      <c r="Y72" s="613">
        <f t="shared" si="10"/>
        <v>0.21873783460043339</v>
      </c>
      <c r="Z72" s="613">
        <f t="shared" si="10"/>
        <v>1.4529970003655759E-2</v>
      </c>
      <c r="AA72" s="613">
        <f t="shared" si="10"/>
        <v>6.5399109623232823E-2</v>
      </c>
      <c r="AB72" s="613">
        <f t="shared" si="10"/>
        <v>0</v>
      </c>
      <c r="AC72" s="613">
        <f t="shared" si="10"/>
        <v>0</v>
      </c>
      <c r="AD72" s="613">
        <f t="shared" si="10"/>
        <v>0</v>
      </c>
      <c r="AE72" s="613">
        <f t="shared" si="10"/>
        <v>0</v>
      </c>
      <c r="AF72" s="613">
        <f t="shared" si="10"/>
        <v>0</v>
      </c>
      <c r="AG72" s="613">
        <f t="shared" si="10"/>
        <v>0</v>
      </c>
      <c r="AH72" s="613">
        <f t="shared" si="10"/>
        <v>1</v>
      </c>
    </row>
    <row r="73" spans="1:34">
      <c r="A73" s="612">
        <v>11</v>
      </c>
      <c r="B73" s="601" t="s">
        <v>746</v>
      </c>
      <c r="C73" s="613">
        <f t="shared" si="11"/>
        <v>0</v>
      </c>
      <c r="D73" s="613">
        <f t="shared" si="10"/>
        <v>0</v>
      </c>
      <c r="E73" s="613">
        <f t="shared" si="10"/>
        <v>1</v>
      </c>
      <c r="F73" s="613">
        <f t="shared" si="10"/>
        <v>0</v>
      </c>
      <c r="G73" s="613">
        <f t="shared" si="10"/>
        <v>0</v>
      </c>
      <c r="H73" s="613">
        <f t="shared" si="10"/>
        <v>0</v>
      </c>
      <c r="I73" s="613">
        <f t="shared" si="10"/>
        <v>0</v>
      </c>
      <c r="J73" s="613">
        <f t="shared" si="10"/>
        <v>0</v>
      </c>
      <c r="K73" s="613">
        <f t="shared" si="10"/>
        <v>0</v>
      </c>
      <c r="L73" s="613">
        <f t="shared" si="10"/>
        <v>0</v>
      </c>
      <c r="M73" s="613">
        <f t="shared" si="10"/>
        <v>0</v>
      </c>
      <c r="N73" s="613">
        <f t="shared" si="10"/>
        <v>0</v>
      </c>
      <c r="O73" s="613">
        <f t="shared" si="10"/>
        <v>0</v>
      </c>
      <c r="P73" s="613">
        <f t="shared" si="10"/>
        <v>0</v>
      </c>
      <c r="Q73" s="613">
        <f t="shared" si="10"/>
        <v>0</v>
      </c>
      <c r="R73" s="613">
        <f t="shared" si="10"/>
        <v>0</v>
      </c>
      <c r="S73" s="613">
        <f t="shared" si="10"/>
        <v>0</v>
      </c>
      <c r="T73" s="613">
        <f t="shared" si="10"/>
        <v>0</v>
      </c>
      <c r="U73" s="613">
        <f t="shared" si="10"/>
        <v>0</v>
      </c>
      <c r="V73" s="613">
        <f t="shared" si="10"/>
        <v>0</v>
      </c>
      <c r="W73" s="613">
        <f t="shared" si="10"/>
        <v>0</v>
      </c>
      <c r="X73" s="613">
        <f t="shared" si="10"/>
        <v>0</v>
      </c>
      <c r="Y73" s="613">
        <f t="shared" si="10"/>
        <v>0</v>
      </c>
      <c r="Z73" s="613">
        <f t="shared" si="10"/>
        <v>0</v>
      </c>
      <c r="AA73" s="613">
        <f t="shared" si="10"/>
        <v>0</v>
      </c>
      <c r="AB73" s="613">
        <f t="shared" si="10"/>
        <v>0</v>
      </c>
      <c r="AC73" s="613">
        <f t="shared" si="10"/>
        <v>0</v>
      </c>
      <c r="AD73" s="613">
        <f t="shared" si="10"/>
        <v>0</v>
      </c>
      <c r="AE73" s="613">
        <f t="shared" si="10"/>
        <v>0</v>
      </c>
      <c r="AF73" s="613">
        <f t="shared" si="10"/>
        <v>0</v>
      </c>
      <c r="AG73" s="613">
        <f t="shared" si="10"/>
        <v>0</v>
      </c>
      <c r="AH73" s="613">
        <f t="shared" si="10"/>
        <v>1</v>
      </c>
    </row>
    <row r="74" spans="1:34">
      <c r="A74" s="615">
        <v>12</v>
      </c>
      <c r="B74" s="616" t="s">
        <v>1094</v>
      </c>
      <c r="C74" s="617">
        <f t="shared" si="11"/>
        <v>9.1178494101146104E-2</v>
      </c>
      <c r="D74" s="617">
        <f t="shared" si="10"/>
        <v>0.35828788767866759</v>
      </c>
      <c r="E74" s="617">
        <f t="shared" si="10"/>
        <v>2.3784937323219893E-3</v>
      </c>
      <c r="F74" s="617">
        <f t="shared" si="10"/>
        <v>0</v>
      </c>
      <c r="G74" s="617">
        <f t="shared" si="10"/>
        <v>0.37077694873701611</v>
      </c>
      <c r="H74" s="617">
        <f t="shared" si="10"/>
        <v>1.2956798897919787E-3</v>
      </c>
      <c r="I74" s="617">
        <f t="shared" si="10"/>
        <v>9.7942237058596046E-2</v>
      </c>
      <c r="J74" s="617">
        <f t="shared" si="10"/>
        <v>1.5689681911214243E-3</v>
      </c>
      <c r="K74" s="617">
        <f t="shared" si="10"/>
        <v>1.4630639450397907E-2</v>
      </c>
      <c r="L74" s="617">
        <f t="shared" si="10"/>
        <v>1.072024783610246E-2</v>
      </c>
      <c r="M74" s="617">
        <f t="shared" si="10"/>
        <v>5.5010778527802293E-3</v>
      </c>
      <c r="N74" s="617">
        <f t="shared" si="10"/>
        <v>2.5771986949390684E-4</v>
      </c>
      <c r="O74" s="617">
        <f t="shared" si="10"/>
        <v>4.199014429955005E-4</v>
      </c>
      <c r="P74" s="617">
        <f t="shared" si="10"/>
        <v>1.1101246880471066E-4</v>
      </c>
      <c r="Q74" s="617">
        <f t="shared" si="10"/>
        <v>1.2195141730430701E-4</v>
      </c>
      <c r="R74" s="617">
        <f t="shared" si="10"/>
        <v>1.4466364866676973E-3</v>
      </c>
      <c r="S74" s="617">
        <f t="shared" si="10"/>
        <v>0</v>
      </c>
      <c r="T74" s="617">
        <f t="shared" si="10"/>
        <v>0</v>
      </c>
      <c r="U74" s="617">
        <f t="shared" si="10"/>
        <v>9.6608815166800768E-3</v>
      </c>
      <c r="V74" s="617">
        <f t="shared" si="10"/>
        <v>7.6271319077053376E-3</v>
      </c>
      <c r="W74" s="617">
        <f t="shared" si="10"/>
        <v>4.7240635144827677E-3</v>
      </c>
      <c r="X74" s="617">
        <f t="shared" si="10"/>
        <v>7.1538985998465436E-3</v>
      </c>
      <c r="Y74" s="617">
        <f t="shared" si="10"/>
        <v>9.8531231403870996E-3</v>
      </c>
      <c r="Z74" s="617">
        <f t="shared" si="10"/>
        <v>9.6506085879055571E-4</v>
      </c>
      <c r="AA74" s="617">
        <f t="shared" si="10"/>
        <v>3.3477404169203252E-3</v>
      </c>
      <c r="AB74" s="617">
        <f t="shared" si="10"/>
        <v>0</v>
      </c>
      <c r="AC74" s="617">
        <f t="shared" si="10"/>
        <v>0</v>
      </c>
      <c r="AD74" s="617">
        <f t="shared" si="10"/>
        <v>0</v>
      </c>
      <c r="AE74" s="617">
        <f t="shared" si="10"/>
        <v>3.0203831979332197E-5</v>
      </c>
      <c r="AF74" s="617">
        <f t="shared" si="10"/>
        <v>0</v>
      </c>
      <c r="AG74" s="617">
        <f t="shared" si="10"/>
        <v>0</v>
      </c>
      <c r="AH74" s="617">
        <f t="shared" si="10"/>
        <v>1</v>
      </c>
    </row>
  </sheetData>
  <mergeCells count="118">
    <mergeCell ref="AG45:AG46"/>
    <mergeCell ref="AH45:AH46"/>
    <mergeCell ref="AB45:AB46"/>
    <mergeCell ref="AC45:AC46"/>
    <mergeCell ref="AD45:AD46"/>
    <mergeCell ref="AE45:AE46"/>
    <mergeCell ref="AG61:AG62"/>
    <mergeCell ref="AH61:AH62"/>
    <mergeCell ref="X61:AA61"/>
    <mergeCell ref="AB61:AB62"/>
    <mergeCell ref="AC61:AC62"/>
    <mergeCell ref="AD61:AD62"/>
    <mergeCell ref="AE61:AE62"/>
    <mergeCell ref="AF61:AF62"/>
    <mergeCell ref="U61:U62"/>
    <mergeCell ref="V61:V62"/>
    <mergeCell ref="W61:W62"/>
    <mergeCell ref="A61:A62"/>
    <mergeCell ref="B61:B62"/>
    <mergeCell ref="C61:E61"/>
    <mergeCell ref="F61:F62"/>
    <mergeCell ref="G61:G62"/>
    <mergeCell ref="H61:H62"/>
    <mergeCell ref="I61:I62"/>
    <mergeCell ref="J61:J62"/>
    <mergeCell ref="K61:K62"/>
    <mergeCell ref="L61:L62"/>
    <mergeCell ref="M61:M62"/>
    <mergeCell ref="N61:N62"/>
    <mergeCell ref="O61:O62"/>
    <mergeCell ref="P61:R61"/>
    <mergeCell ref="S61:S62"/>
    <mergeCell ref="T61:T62"/>
    <mergeCell ref="A45:A46"/>
    <mergeCell ref="B45:B46"/>
    <mergeCell ref="C45:E45"/>
    <mergeCell ref="F45:F46"/>
    <mergeCell ref="G45:G46"/>
    <mergeCell ref="H45:H46"/>
    <mergeCell ref="AE29:AE30"/>
    <mergeCell ref="AF29:AF30"/>
    <mergeCell ref="AG29:AG30"/>
    <mergeCell ref="W45:W46"/>
    <mergeCell ref="X45:AA45"/>
    <mergeCell ref="O45:O46"/>
    <mergeCell ref="P45:R45"/>
    <mergeCell ref="S45:S46"/>
    <mergeCell ref="T45:T46"/>
    <mergeCell ref="U45:U46"/>
    <mergeCell ref="V45:V46"/>
    <mergeCell ref="I45:I46"/>
    <mergeCell ref="J45:J46"/>
    <mergeCell ref="K45:K46"/>
    <mergeCell ref="L45:L46"/>
    <mergeCell ref="M45:M46"/>
    <mergeCell ref="N45:N46"/>
    <mergeCell ref="AF45:AF46"/>
    <mergeCell ref="A43:B43"/>
    <mergeCell ref="V29:V30"/>
    <mergeCell ref="W29:W30"/>
    <mergeCell ref="X29:AA29"/>
    <mergeCell ref="AB29:AB30"/>
    <mergeCell ref="AC29:AC30"/>
    <mergeCell ref="AD29:AD30"/>
    <mergeCell ref="N29:N30"/>
    <mergeCell ref="O29:O30"/>
    <mergeCell ref="P29:R29"/>
    <mergeCell ref="S29:S30"/>
    <mergeCell ref="T29:T30"/>
    <mergeCell ref="U29:U30"/>
    <mergeCell ref="H29:H30"/>
    <mergeCell ref="I29:I30"/>
    <mergeCell ref="J29:J30"/>
    <mergeCell ref="K29:K30"/>
    <mergeCell ref="L29:L30"/>
    <mergeCell ref="M29:M30"/>
    <mergeCell ref="AH9:AH10"/>
    <mergeCell ref="AI9:AJ9"/>
    <mergeCell ref="A26:B26"/>
    <mergeCell ref="A29:A30"/>
    <mergeCell ref="B29:B30"/>
    <mergeCell ref="C29:E29"/>
    <mergeCell ref="F29:F30"/>
    <mergeCell ref="G29:G30"/>
    <mergeCell ref="W9:W10"/>
    <mergeCell ref="X9:AA9"/>
    <mergeCell ref="AB9:AB10"/>
    <mergeCell ref="AC9:AC10"/>
    <mergeCell ref="AD9:AD10"/>
    <mergeCell ref="AE9:AE10"/>
    <mergeCell ref="O9:O10"/>
    <mergeCell ref="P9:R9"/>
    <mergeCell ref="S9:S10"/>
    <mergeCell ref="T9:T10"/>
    <mergeCell ref="U9:U10"/>
    <mergeCell ref="AH29:AH30"/>
    <mergeCell ref="AI29:AJ29"/>
    <mergeCell ref="A1:G1"/>
    <mergeCell ref="V1:AG1"/>
    <mergeCell ref="A2:G2"/>
    <mergeCell ref="V2:AG2"/>
    <mergeCell ref="A3:G3"/>
    <mergeCell ref="A4:G4"/>
    <mergeCell ref="V9:V10"/>
    <mergeCell ref="I9:I10"/>
    <mergeCell ref="J9:J10"/>
    <mergeCell ref="K9:K10"/>
    <mergeCell ref="L9:L10"/>
    <mergeCell ref="M9:M10"/>
    <mergeCell ref="N9:N10"/>
    <mergeCell ref="A9:A10"/>
    <mergeCell ref="B9:B10"/>
    <mergeCell ref="C9:E9"/>
    <mergeCell ref="F9:F10"/>
    <mergeCell ref="G9:G10"/>
    <mergeCell ref="H9:H10"/>
    <mergeCell ref="AF9:AF10"/>
    <mergeCell ref="AG9:AG10"/>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5"/>
  <sheetViews>
    <sheetView topLeftCell="A136" workbookViewId="0">
      <selection activeCell="D19" sqref="D19"/>
    </sheetView>
  </sheetViews>
  <sheetFormatPr defaultRowHeight="15"/>
  <cols>
    <col min="2" max="3" width="12.42578125" customWidth="1"/>
    <col min="4" max="4" width="14.42578125" customWidth="1"/>
    <col min="5" max="5" width="22.5703125" customWidth="1"/>
    <col min="6" max="6" width="20.42578125" style="561" customWidth="1"/>
    <col min="11" max="13" width="13.85546875" customWidth="1"/>
  </cols>
  <sheetData>
    <row r="1" spans="1:10">
      <c r="F1" s="561" t="s">
        <v>1102</v>
      </c>
    </row>
    <row r="2" spans="1:10" ht="15.75" thickBot="1">
      <c r="A2" s="560"/>
      <c r="B2" s="185"/>
      <c r="C2" s="185"/>
      <c r="D2" s="185"/>
      <c r="E2" s="185"/>
      <c r="F2" s="563"/>
      <c r="G2" s="185"/>
      <c r="H2" s="185"/>
    </row>
    <row r="3" spans="1:10" s="643" customFormat="1" ht="15.75" thickBot="1">
      <c r="A3" s="647" t="s">
        <v>492</v>
      </c>
      <c r="B3" s="648">
        <v>64171</v>
      </c>
      <c r="C3" s="648" t="s">
        <v>493</v>
      </c>
      <c r="D3" s="648" t="s">
        <v>494</v>
      </c>
      <c r="E3" s="648" t="s">
        <v>976</v>
      </c>
      <c r="F3" s="649">
        <v>26382879.799404033</v>
      </c>
      <c r="G3" s="650">
        <v>1898301</v>
      </c>
      <c r="H3" s="648"/>
      <c r="I3" s="643" t="str">
        <f>RIGHT(D3,7)</f>
        <v>1898301</v>
      </c>
      <c r="J3" s="643">
        <f>I3-G3</f>
        <v>0</v>
      </c>
    </row>
    <row r="4" spans="1:10" s="643" customFormat="1" ht="15.75" thickBot="1">
      <c r="A4" s="647" t="s">
        <v>492</v>
      </c>
      <c r="B4" s="648">
        <v>64171</v>
      </c>
      <c r="C4" s="648" t="s">
        <v>493</v>
      </c>
      <c r="D4" s="648" t="s">
        <v>496</v>
      </c>
      <c r="E4" s="648" t="s">
        <v>976</v>
      </c>
      <c r="F4" s="649">
        <v>46406961.681592315</v>
      </c>
      <c r="G4" s="650">
        <v>1898302</v>
      </c>
      <c r="H4" s="648"/>
      <c r="I4" s="643" t="str">
        <f t="shared" ref="I4:I67" si="0">RIGHT(D4,7)</f>
        <v>1898302</v>
      </c>
      <c r="J4" s="643">
        <f t="shared" ref="J4:J67" si="1">I4-G4</f>
        <v>0</v>
      </c>
    </row>
    <row r="5" spans="1:10" s="643" customFormat="1" ht="15.75" thickBot="1">
      <c r="A5" s="647" t="s">
        <v>492</v>
      </c>
      <c r="B5" s="648">
        <v>64171</v>
      </c>
      <c r="C5" s="648" t="s">
        <v>493</v>
      </c>
      <c r="D5" s="648" t="s">
        <v>497</v>
      </c>
      <c r="E5" s="648" t="s">
        <v>976</v>
      </c>
      <c r="F5" s="649">
        <v>29884255.908083763</v>
      </c>
      <c r="G5" s="650">
        <v>1898303</v>
      </c>
      <c r="H5" s="648"/>
      <c r="I5" s="643" t="str">
        <f t="shared" si="0"/>
        <v>1898303</v>
      </c>
      <c r="J5" s="643">
        <f t="shared" si="1"/>
        <v>0</v>
      </c>
    </row>
    <row r="6" spans="1:10" s="643" customFormat="1" ht="15.75" thickBot="1">
      <c r="A6" s="647" t="s">
        <v>492</v>
      </c>
      <c r="B6" s="648">
        <v>64171</v>
      </c>
      <c r="C6" s="648" t="s">
        <v>493</v>
      </c>
      <c r="D6" s="648" t="s">
        <v>498</v>
      </c>
      <c r="E6" s="648" t="s">
        <v>976</v>
      </c>
      <c r="F6" s="649">
        <v>10694291.097004356</v>
      </c>
      <c r="G6" s="650">
        <v>1898304</v>
      </c>
      <c r="H6" s="648"/>
      <c r="I6" s="643" t="str">
        <f t="shared" si="0"/>
        <v>1898304</v>
      </c>
      <c r="J6" s="643">
        <f t="shared" si="1"/>
        <v>0</v>
      </c>
    </row>
    <row r="7" spans="1:10" s="643" customFormat="1" ht="15.75" thickBot="1">
      <c r="A7" s="647" t="s">
        <v>492</v>
      </c>
      <c r="B7" s="648">
        <v>64171</v>
      </c>
      <c r="C7" s="648" t="s">
        <v>493</v>
      </c>
      <c r="D7" s="648" t="s">
        <v>499</v>
      </c>
      <c r="E7" s="648" t="s">
        <v>976</v>
      </c>
      <c r="F7" s="649">
        <v>7186257.1642638044</v>
      </c>
      <c r="G7" s="650">
        <v>1898305</v>
      </c>
      <c r="H7" s="648"/>
      <c r="I7" s="643" t="str">
        <f t="shared" si="0"/>
        <v>1898305</v>
      </c>
      <c r="J7" s="643">
        <f t="shared" si="1"/>
        <v>0</v>
      </c>
    </row>
    <row r="8" spans="1:10" s="643" customFormat="1" ht="15.75" thickBot="1">
      <c r="A8" s="647" t="s">
        <v>492</v>
      </c>
      <c r="B8" s="648">
        <v>64171</v>
      </c>
      <c r="C8" s="648" t="s">
        <v>493</v>
      </c>
      <c r="D8" s="648" t="s">
        <v>500</v>
      </c>
      <c r="E8" s="648" t="s">
        <v>976</v>
      </c>
      <c r="F8" s="649">
        <v>17968178.644364547</v>
      </c>
      <c r="G8" s="650">
        <v>1898306</v>
      </c>
      <c r="H8" s="648"/>
      <c r="I8" s="643" t="str">
        <f t="shared" si="0"/>
        <v>1898306</v>
      </c>
      <c r="J8" s="643">
        <f t="shared" si="1"/>
        <v>0</v>
      </c>
    </row>
    <row r="9" spans="1:10" s="643" customFormat="1" ht="15.75" thickBot="1">
      <c r="A9" s="647" t="s">
        <v>492</v>
      </c>
      <c r="B9" s="648">
        <v>64171</v>
      </c>
      <c r="C9" s="648" t="s">
        <v>493</v>
      </c>
      <c r="D9" s="648" t="s">
        <v>501</v>
      </c>
      <c r="E9" s="648" t="s">
        <v>976</v>
      </c>
      <c r="F9" s="649">
        <v>5305340.9293530826</v>
      </c>
      <c r="G9" s="650">
        <v>1898307</v>
      </c>
      <c r="H9" s="648"/>
      <c r="I9" s="643" t="str">
        <f t="shared" si="0"/>
        <v>1898307</v>
      </c>
      <c r="J9" s="643">
        <f t="shared" si="1"/>
        <v>0</v>
      </c>
    </row>
    <row r="10" spans="1:10" s="643" customFormat="1" ht="15.75" thickBot="1">
      <c r="A10" s="647" t="s">
        <v>492</v>
      </c>
      <c r="B10" s="648">
        <v>64171</v>
      </c>
      <c r="C10" s="648" t="s">
        <v>493</v>
      </c>
      <c r="D10" s="648" t="s">
        <v>502</v>
      </c>
      <c r="E10" s="648" t="s">
        <v>976</v>
      </c>
      <c r="F10" s="649">
        <v>5680273.3733925344</v>
      </c>
      <c r="G10" s="650">
        <v>1898308</v>
      </c>
      <c r="H10" s="648"/>
      <c r="I10" s="643" t="str">
        <f t="shared" si="0"/>
        <v>1898308</v>
      </c>
      <c r="J10" s="643">
        <f t="shared" si="1"/>
        <v>0</v>
      </c>
    </row>
    <row r="11" spans="1:10" s="643" customFormat="1" ht="15.75" thickBot="1">
      <c r="A11" s="647" t="s">
        <v>492</v>
      </c>
      <c r="B11" s="648">
        <v>64171</v>
      </c>
      <c r="C11" s="648" t="s">
        <v>493</v>
      </c>
      <c r="D11" s="648" t="s">
        <v>503</v>
      </c>
      <c r="E11" s="648" t="s">
        <v>976</v>
      </c>
      <c r="F11" s="649">
        <v>28193022.924298819</v>
      </c>
      <c r="G11" s="650">
        <v>1898309</v>
      </c>
      <c r="H11" s="648"/>
      <c r="I11" s="643" t="str">
        <f t="shared" si="0"/>
        <v>1898309</v>
      </c>
      <c r="J11" s="643">
        <f t="shared" si="1"/>
        <v>0</v>
      </c>
    </row>
    <row r="12" spans="1:10" s="643" customFormat="1" ht="15.75" thickBot="1">
      <c r="A12" s="647" t="s">
        <v>492</v>
      </c>
      <c r="B12" s="648">
        <v>64171</v>
      </c>
      <c r="C12" s="648" t="s">
        <v>493</v>
      </c>
      <c r="D12" s="648" t="s">
        <v>504</v>
      </c>
      <c r="E12" s="648" t="s">
        <v>976</v>
      </c>
      <c r="F12" s="649">
        <v>5837.9979816939049</v>
      </c>
      <c r="G12" s="650">
        <v>1898310</v>
      </c>
      <c r="H12" s="648"/>
      <c r="I12" s="643" t="str">
        <f t="shared" si="0"/>
        <v>1898310</v>
      </c>
      <c r="J12" s="643">
        <f t="shared" si="1"/>
        <v>0</v>
      </c>
    </row>
    <row r="13" spans="1:10" s="643" customFormat="1" ht="15.75" thickBot="1">
      <c r="A13" s="647" t="s">
        <v>492</v>
      </c>
      <c r="B13" s="648">
        <v>64171</v>
      </c>
      <c r="C13" s="648" t="s">
        <v>493</v>
      </c>
      <c r="D13" s="648" t="s">
        <v>505</v>
      </c>
      <c r="E13" s="648" t="s">
        <v>976</v>
      </c>
      <c r="F13" s="649">
        <v>5990840</v>
      </c>
      <c r="G13" s="650">
        <v>1898311</v>
      </c>
      <c r="H13" s="648"/>
      <c r="I13" s="643" t="str">
        <f t="shared" si="0"/>
        <v>1898311</v>
      </c>
      <c r="J13" s="643">
        <f t="shared" si="1"/>
        <v>0</v>
      </c>
    </row>
    <row r="14" spans="1:10" s="643" customFormat="1" ht="15.75" thickBot="1">
      <c r="A14" s="647" t="s">
        <v>492</v>
      </c>
      <c r="B14" s="648">
        <v>64171</v>
      </c>
      <c r="C14" s="648" t="s">
        <v>493</v>
      </c>
      <c r="D14" s="648" t="s">
        <v>494</v>
      </c>
      <c r="E14" s="648" t="s">
        <v>977</v>
      </c>
      <c r="F14" s="649">
        <v>21681125.782188222</v>
      </c>
      <c r="G14" s="650">
        <v>1898301</v>
      </c>
      <c r="H14" s="648"/>
      <c r="I14" s="643" t="str">
        <f t="shared" si="0"/>
        <v>1898301</v>
      </c>
      <c r="J14" s="643">
        <f t="shared" si="1"/>
        <v>0</v>
      </c>
    </row>
    <row r="15" spans="1:10" s="643" customFormat="1" ht="15.75" thickBot="1">
      <c r="A15" s="647" t="s">
        <v>492</v>
      </c>
      <c r="B15" s="648">
        <v>64171</v>
      </c>
      <c r="C15" s="648" t="s">
        <v>493</v>
      </c>
      <c r="D15" s="648" t="s">
        <v>496</v>
      </c>
      <c r="E15" s="648" t="s">
        <v>977</v>
      </c>
      <c r="F15" s="649">
        <v>23407796.659999795</v>
      </c>
      <c r="G15" s="650">
        <v>1898302</v>
      </c>
      <c r="H15" s="648"/>
      <c r="I15" s="643" t="str">
        <f t="shared" si="0"/>
        <v>1898302</v>
      </c>
      <c r="J15" s="643">
        <f t="shared" si="1"/>
        <v>0</v>
      </c>
    </row>
    <row r="16" spans="1:10" s="643" customFormat="1" ht="15.75" thickBot="1">
      <c r="A16" s="647" t="s">
        <v>492</v>
      </c>
      <c r="B16" s="648">
        <v>64171</v>
      </c>
      <c r="C16" s="648" t="s">
        <v>493</v>
      </c>
      <c r="D16" s="648" t="s">
        <v>497</v>
      </c>
      <c r="E16" s="648" t="s">
        <v>977</v>
      </c>
      <c r="F16" s="649">
        <v>40133709.104847968</v>
      </c>
      <c r="G16" s="650">
        <v>1898303</v>
      </c>
      <c r="H16" s="648"/>
      <c r="I16" s="643" t="str">
        <f t="shared" si="0"/>
        <v>1898303</v>
      </c>
      <c r="J16" s="643">
        <f t="shared" si="1"/>
        <v>0</v>
      </c>
    </row>
    <row r="17" spans="1:10" s="643" customFormat="1" ht="15.75" thickBot="1">
      <c r="A17" s="647" t="s">
        <v>492</v>
      </c>
      <c r="B17" s="648">
        <v>64171</v>
      </c>
      <c r="C17" s="648" t="s">
        <v>493</v>
      </c>
      <c r="D17" s="648" t="s">
        <v>498</v>
      </c>
      <c r="E17" s="648" t="s">
        <v>977</v>
      </c>
      <c r="F17" s="649">
        <v>11901336.241369478</v>
      </c>
      <c r="G17" s="650">
        <v>1898304</v>
      </c>
      <c r="H17" s="648"/>
      <c r="I17" s="643" t="str">
        <f t="shared" si="0"/>
        <v>1898304</v>
      </c>
      <c r="J17" s="643">
        <f t="shared" si="1"/>
        <v>0</v>
      </c>
    </row>
    <row r="18" spans="1:10" s="643" customFormat="1" ht="15.75" thickBot="1">
      <c r="A18" s="647" t="s">
        <v>492</v>
      </c>
      <c r="B18" s="648">
        <v>64171</v>
      </c>
      <c r="C18" s="648" t="s">
        <v>493</v>
      </c>
      <c r="D18" s="648" t="s">
        <v>499</v>
      </c>
      <c r="E18" s="648" t="s">
        <v>977</v>
      </c>
      <c r="F18" s="649">
        <v>7053494.6461208388</v>
      </c>
      <c r="G18" s="650">
        <v>1898305</v>
      </c>
      <c r="H18" s="648"/>
      <c r="I18" s="643" t="str">
        <f t="shared" si="0"/>
        <v>1898305</v>
      </c>
      <c r="J18" s="643">
        <f t="shared" si="1"/>
        <v>0</v>
      </c>
    </row>
    <row r="19" spans="1:10" s="643" customFormat="1" ht="15.75" thickBot="1">
      <c r="A19" s="647" t="s">
        <v>492</v>
      </c>
      <c r="B19" s="648">
        <v>64171</v>
      </c>
      <c r="C19" s="648" t="s">
        <v>493</v>
      </c>
      <c r="D19" s="648" t="s">
        <v>500</v>
      </c>
      <c r="E19" s="648" t="s">
        <v>977</v>
      </c>
      <c r="F19" s="649">
        <v>16220527.587845411</v>
      </c>
      <c r="G19" s="650">
        <v>1898306</v>
      </c>
      <c r="H19" s="648"/>
      <c r="I19" s="643" t="str">
        <f t="shared" si="0"/>
        <v>1898306</v>
      </c>
      <c r="J19" s="643">
        <f t="shared" si="1"/>
        <v>0</v>
      </c>
    </row>
    <row r="20" spans="1:10" s="643" customFormat="1" ht="15.75" thickBot="1">
      <c r="A20" s="647" t="s">
        <v>492</v>
      </c>
      <c r="B20" s="648">
        <v>64171</v>
      </c>
      <c r="C20" s="648" t="s">
        <v>493</v>
      </c>
      <c r="D20" s="648" t="s">
        <v>501</v>
      </c>
      <c r="E20" s="648" t="s">
        <v>977</v>
      </c>
      <c r="F20" s="649">
        <v>6984423.7809567405</v>
      </c>
      <c r="G20" s="650">
        <v>1898307</v>
      </c>
      <c r="H20" s="648"/>
      <c r="I20" s="643" t="str">
        <f t="shared" si="0"/>
        <v>1898307</v>
      </c>
      <c r="J20" s="643">
        <f t="shared" si="1"/>
        <v>0</v>
      </c>
    </row>
    <row r="21" spans="1:10" s="643" customFormat="1" ht="15.75" thickBot="1">
      <c r="A21" s="647" t="s">
        <v>492</v>
      </c>
      <c r="B21" s="648">
        <v>64171</v>
      </c>
      <c r="C21" s="648" t="s">
        <v>493</v>
      </c>
      <c r="D21" s="648" t="s">
        <v>502</v>
      </c>
      <c r="E21" s="648" t="s">
        <v>977</v>
      </c>
      <c r="F21" s="649">
        <v>3217692.9540441995</v>
      </c>
      <c r="G21" s="650">
        <v>1898308</v>
      </c>
      <c r="H21" s="648"/>
      <c r="I21" s="643" t="str">
        <f t="shared" si="0"/>
        <v>1898308</v>
      </c>
      <c r="J21" s="643">
        <f t="shared" si="1"/>
        <v>0</v>
      </c>
    </row>
    <row r="22" spans="1:10" s="643" customFormat="1" ht="15.75" thickBot="1">
      <c r="A22" s="647" t="s">
        <v>492</v>
      </c>
      <c r="B22" s="648">
        <v>64171</v>
      </c>
      <c r="C22" s="648" t="s">
        <v>493</v>
      </c>
      <c r="D22" s="648" t="s">
        <v>503</v>
      </c>
      <c r="E22" s="648" t="s">
        <v>977</v>
      </c>
      <c r="F22" s="649">
        <v>16632830.737129325</v>
      </c>
      <c r="G22" s="650">
        <v>1898309</v>
      </c>
      <c r="H22" s="648"/>
      <c r="I22" s="643" t="str">
        <f t="shared" si="0"/>
        <v>1898309</v>
      </c>
      <c r="J22" s="643">
        <f t="shared" si="1"/>
        <v>0</v>
      </c>
    </row>
    <row r="23" spans="1:10" s="643" customFormat="1" ht="15.75" thickBot="1">
      <c r="A23" s="647" t="s">
        <v>492</v>
      </c>
      <c r="B23" s="648">
        <v>64171</v>
      </c>
      <c r="C23" s="648" t="s">
        <v>493</v>
      </c>
      <c r="D23" s="648" t="s">
        <v>504</v>
      </c>
      <c r="E23" s="648" t="s">
        <v>977</v>
      </c>
      <c r="F23" s="649">
        <v>42545.418866277745</v>
      </c>
      <c r="G23" s="650">
        <v>1898310</v>
      </c>
      <c r="H23" s="648"/>
      <c r="I23" s="643" t="str">
        <f t="shared" si="0"/>
        <v>1898310</v>
      </c>
      <c r="J23" s="643">
        <f t="shared" si="1"/>
        <v>0</v>
      </c>
    </row>
    <row r="24" spans="1:10" s="643" customFormat="1" ht="15.75" thickBot="1">
      <c r="A24" s="647" t="s">
        <v>492</v>
      </c>
      <c r="B24" s="648">
        <v>64171</v>
      </c>
      <c r="C24" s="648" t="s">
        <v>493</v>
      </c>
      <c r="D24" s="648" t="s">
        <v>494</v>
      </c>
      <c r="E24" s="648" t="s">
        <v>978</v>
      </c>
      <c r="F24" s="649">
        <v>79082.441217852698</v>
      </c>
      <c r="G24" s="650">
        <v>1898301</v>
      </c>
      <c r="H24" s="648"/>
      <c r="I24" s="643" t="str">
        <f t="shared" si="0"/>
        <v>1898301</v>
      </c>
      <c r="J24" s="643">
        <f t="shared" si="1"/>
        <v>0</v>
      </c>
    </row>
    <row r="25" spans="1:10" s="643" customFormat="1" ht="15.75" thickBot="1">
      <c r="A25" s="647" t="s">
        <v>492</v>
      </c>
      <c r="B25" s="648">
        <v>64171</v>
      </c>
      <c r="C25" s="648" t="s">
        <v>493</v>
      </c>
      <c r="D25" s="648" t="s">
        <v>496</v>
      </c>
      <c r="E25" s="648" t="s">
        <v>978</v>
      </c>
      <c r="F25" s="649">
        <v>9031.1240193060894</v>
      </c>
      <c r="G25" s="650">
        <v>1898302</v>
      </c>
      <c r="H25" s="648"/>
      <c r="I25" s="643" t="str">
        <f t="shared" si="0"/>
        <v>1898302</v>
      </c>
      <c r="J25" s="643">
        <f t="shared" si="1"/>
        <v>0</v>
      </c>
    </row>
    <row r="26" spans="1:10" s="643" customFormat="1" ht="15.75" thickBot="1">
      <c r="A26" s="647" t="s">
        <v>492</v>
      </c>
      <c r="B26" s="648">
        <v>64171</v>
      </c>
      <c r="C26" s="648" t="s">
        <v>493</v>
      </c>
      <c r="D26" s="648" t="s">
        <v>500</v>
      </c>
      <c r="E26" s="648" t="s">
        <v>978</v>
      </c>
      <c r="F26" s="649">
        <v>280185.46587411111</v>
      </c>
      <c r="G26" s="650">
        <v>1898306</v>
      </c>
      <c r="H26" s="648"/>
      <c r="I26" s="643" t="str">
        <f t="shared" si="0"/>
        <v>1898306</v>
      </c>
      <c r="J26" s="643">
        <f t="shared" si="1"/>
        <v>0</v>
      </c>
    </row>
    <row r="27" spans="1:10" s="643" customFormat="1" ht="15.75" thickBot="1">
      <c r="A27" s="647" t="s">
        <v>492</v>
      </c>
      <c r="B27" s="648">
        <v>64171</v>
      </c>
      <c r="C27" s="648" t="s">
        <v>493</v>
      </c>
      <c r="D27" s="648" t="s">
        <v>502</v>
      </c>
      <c r="E27" s="648" t="s">
        <v>978</v>
      </c>
      <c r="F27" s="649">
        <v>28882.031421681837</v>
      </c>
      <c r="G27" s="650">
        <v>1898308</v>
      </c>
      <c r="H27" s="648"/>
      <c r="I27" s="643" t="str">
        <f t="shared" si="0"/>
        <v>1898308</v>
      </c>
      <c r="J27" s="643">
        <f t="shared" si="1"/>
        <v>0</v>
      </c>
    </row>
    <row r="28" spans="1:10" s="643" customFormat="1" ht="15.75" thickBot="1">
      <c r="A28" s="647" t="s">
        <v>492</v>
      </c>
      <c r="B28" s="648">
        <v>64171</v>
      </c>
      <c r="C28" s="648" t="s">
        <v>493</v>
      </c>
      <c r="D28" s="648" t="s">
        <v>504</v>
      </c>
      <c r="E28" s="648" t="s">
        <v>978</v>
      </c>
      <c r="F28" s="649">
        <v>132610.60147875029</v>
      </c>
      <c r="G28" s="650">
        <v>1898310</v>
      </c>
      <c r="H28" s="648"/>
      <c r="I28" s="643" t="str">
        <f t="shared" si="0"/>
        <v>1898310</v>
      </c>
      <c r="J28" s="643">
        <f t="shared" si="1"/>
        <v>0</v>
      </c>
    </row>
    <row r="29" spans="1:10" s="643" customFormat="1" ht="15.75" thickBot="1">
      <c r="A29" s="647" t="s">
        <v>492</v>
      </c>
      <c r="B29" s="648">
        <v>64171</v>
      </c>
      <c r="C29" s="648" t="s">
        <v>493</v>
      </c>
      <c r="D29" s="648" t="s">
        <v>494</v>
      </c>
      <c r="E29" s="648" t="s">
        <v>979</v>
      </c>
      <c r="F29" s="649">
        <v>5737250.3009659881</v>
      </c>
      <c r="G29" s="650">
        <v>1898301</v>
      </c>
      <c r="H29" s="648"/>
      <c r="I29" s="643" t="str">
        <f t="shared" si="0"/>
        <v>1898301</v>
      </c>
      <c r="J29" s="643">
        <f t="shared" si="1"/>
        <v>0</v>
      </c>
    </row>
    <row r="30" spans="1:10" s="643" customFormat="1" ht="15.75" thickBot="1">
      <c r="A30" s="647" t="s">
        <v>492</v>
      </c>
      <c r="B30" s="648">
        <v>64171</v>
      </c>
      <c r="C30" s="648" t="s">
        <v>493</v>
      </c>
      <c r="D30" s="648" t="s">
        <v>496</v>
      </c>
      <c r="E30" s="648" t="s">
        <v>979</v>
      </c>
      <c r="F30" s="649">
        <v>4561542.4083409896</v>
      </c>
      <c r="G30" s="650">
        <v>1898302</v>
      </c>
      <c r="H30" s="648"/>
      <c r="I30" s="643" t="str">
        <f t="shared" si="0"/>
        <v>1898302</v>
      </c>
      <c r="J30" s="643">
        <f t="shared" si="1"/>
        <v>0</v>
      </c>
    </row>
    <row r="31" spans="1:10" s="643" customFormat="1" ht="15.75" thickBot="1">
      <c r="A31" s="647" t="s">
        <v>492</v>
      </c>
      <c r="B31" s="648">
        <v>64171</v>
      </c>
      <c r="C31" s="648" t="s">
        <v>493</v>
      </c>
      <c r="D31" s="648" t="s">
        <v>497</v>
      </c>
      <c r="E31" s="648" t="s">
        <v>979</v>
      </c>
      <c r="F31" s="649">
        <v>12747835.977228751</v>
      </c>
      <c r="G31" s="650">
        <v>1898303</v>
      </c>
      <c r="H31" s="648"/>
      <c r="I31" s="643" t="str">
        <f t="shared" si="0"/>
        <v>1898303</v>
      </c>
      <c r="J31" s="643">
        <f t="shared" si="1"/>
        <v>0</v>
      </c>
    </row>
    <row r="32" spans="1:10" s="643" customFormat="1" ht="15.75" thickBot="1">
      <c r="A32" s="647" t="s">
        <v>492</v>
      </c>
      <c r="B32" s="648">
        <v>64171</v>
      </c>
      <c r="C32" s="648" t="s">
        <v>493</v>
      </c>
      <c r="D32" s="648" t="s">
        <v>498</v>
      </c>
      <c r="E32" s="648" t="s">
        <v>979</v>
      </c>
      <c r="F32" s="649">
        <v>2836654.9902816392</v>
      </c>
      <c r="G32" s="650">
        <v>1898304</v>
      </c>
      <c r="H32" s="648"/>
      <c r="I32" s="643" t="str">
        <f t="shared" si="0"/>
        <v>1898304</v>
      </c>
      <c r="J32" s="643">
        <f t="shared" si="1"/>
        <v>0</v>
      </c>
    </row>
    <row r="33" spans="1:10" s="643" customFormat="1" ht="15.75" thickBot="1">
      <c r="A33" s="647" t="s">
        <v>492</v>
      </c>
      <c r="B33" s="648">
        <v>64171</v>
      </c>
      <c r="C33" s="648" t="s">
        <v>493</v>
      </c>
      <c r="D33" s="648" t="s">
        <v>499</v>
      </c>
      <c r="E33" s="648" t="s">
        <v>979</v>
      </c>
      <c r="F33" s="649">
        <v>1944049.4106476039</v>
      </c>
      <c r="G33" s="650">
        <v>1898305</v>
      </c>
      <c r="H33" s="648"/>
      <c r="I33" s="643" t="str">
        <f t="shared" si="0"/>
        <v>1898305</v>
      </c>
      <c r="J33" s="643">
        <f t="shared" si="1"/>
        <v>0</v>
      </c>
    </row>
    <row r="34" spans="1:10" s="643" customFormat="1" ht="15.75" thickBot="1">
      <c r="A34" s="647" t="s">
        <v>492</v>
      </c>
      <c r="B34" s="648">
        <v>64171</v>
      </c>
      <c r="C34" s="648" t="s">
        <v>493</v>
      </c>
      <c r="D34" s="648" t="s">
        <v>500</v>
      </c>
      <c r="E34" s="648" t="s">
        <v>979</v>
      </c>
      <c r="F34" s="649">
        <v>3195708.7080979585</v>
      </c>
      <c r="G34" s="650">
        <v>1898306</v>
      </c>
      <c r="H34" s="648"/>
      <c r="I34" s="643" t="str">
        <f t="shared" si="0"/>
        <v>1898306</v>
      </c>
      <c r="J34" s="643">
        <f t="shared" si="1"/>
        <v>0</v>
      </c>
    </row>
    <row r="35" spans="1:10" s="643" customFormat="1" ht="15.75" thickBot="1">
      <c r="A35" s="647" t="s">
        <v>492</v>
      </c>
      <c r="B35" s="648">
        <v>64171</v>
      </c>
      <c r="C35" s="648" t="s">
        <v>493</v>
      </c>
      <c r="D35" s="648" t="s">
        <v>501</v>
      </c>
      <c r="E35" s="648" t="s">
        <v>979</v>
      </c>
      <c r="F35" s="649">
        <v>2190567.871583092</v>
      </c>
      <c r="G35" s="650">
        <v>1898307</v>
      </c>
      <c r="H35" s="648"/>
      <c r="I35" s="643" t="str">
        <f t="shared" si="0"/>
        <v>1898307</v>
      </c>
      <c r="J35" s="643">
        <f t="shared" si="1"/>
        <v>0</v>
      </c>
    </row>
    <row r="36" spans="1:10" s="643" customFormat="1" ht="15.75" thickBot="1">
      <c r="A36" s="647" t="s">
        <v>492</v>
      </c>
      <c r="B36" s="648">
        <v>64171</v>
      </c>
      <c r="C36" s="648" t="s">
        <v>493</v>
      </c>
      <c r="D36" s="648" t="s">
        <v>502</v>
      </c>
      <c r="E36" s="648" t="s">
        <v>979</v>
      </c>
      <c r="F36" s="649">
        <v>735409.62041754788</v>
      </c>
      <c r="G36" s="650">
        <v>1898308</v>
      </c>
      <c r="H36" s="648"/>
      <c r="I36" s="643" t="str">
        <f t="shared" si="0"/>
        <v>1898308</v>
      </c>
      <c r="J36" s="643">
        <f t="shared" si="1"/>
        <v>0</v>
      </c>
    </row>
    <row r="37" spans="1:10" s="643" customFormat="1" ht="15.75" thickBot="1">
      <c r="A37" s="647" t="s">
        <v>492</v>
      </c>
      <c r="B37" s="648">
        <v>64171</v>
      </c>
      <c r="C37" s="648" t="s">
        <v>493</v>
      </c>
      <c r="D37" s="648" t="s">
        <v>503</v>
      </c>
      <c r="E37" s="648" t="s">
        <v>979</v>
      </c>
      <c r="F37" s="649">
        <v>4531646.1774087362</v>
      </c>
      <c r="G37" s="650">
        <v>1898309</v>
      </c>
      <c r="H37" s="648"/>
      <c r="I37" s="643" t="str">
        <f t="shared" si="0"/>
        <v>1898309</v>
      </c>
      <c r="J37" s="643">
        <f t="shared" si="1"/>
        <v>0</v>
      </c>
    </row>
    <row r="38" spans="1:10" s="643" customFormat="1" ht="15.75" thickBot="1">
      <c r="A38" s="647" t="s">
        <v>492</v>
      </c>
      <c r="B38" s="648">
        <v>64171</v>
      </c>
      <c r="C38" s="648" t="s">
        <v>493</v>
      </c>
      <c r="D38" s="648" t="s">
        <v>494</v>
      </c>
      <c r="E38" s="643" t="s">
        <v>980</v>
      </c>
      <c r="F38" s="645">
        <v>63879.443363323699</v>
      </c>
      <c r="G38" s="643">
        <v>1898301</v>
      </c>
      <c r="I38" s="643" t="str">
        <f t="shared" si="0"/>
        <v>1898301</v>
      </c>
      <c r="J38" s="643">
        <f t="shared" si="1"/>
        <v>0</v>
      </c>
    </row>
    <row r="39" spans="1:10" s="643" customFormat="1" ht="15.75" thickBot="1">
      <c r="A39" s="647" t="s">
        <v>492</v>
      </c>
      <c r="B39" s="648">
        <v>64171</v>
      </c>
      <c r="C39" s="648" t="s">
        <v>493</v>
      </c>
      <c r="D39" s="648" t="s">
        <v>494</v>
      </c>
      <c r="E39" s="643" t="s">
        <v>981</v>
      </c>
      <c r="F39" s="645">
        <v>853392.77560389647</v>
      </c>
      <c r="G39" s="643">
        <v>1898301</v>
      </c>
      <c r="I39" s="643" t="str">
        <f t="shared" si="0"/>
        <v>1898301</v>
      </c>
      <c r="J39" s="643">
        <f t="shared" si="1"/>
        <v>0</v>
      </c>
    </row>
    <row r="40" spans="1:10" s="643" customFormat="1" ht="15.75" thickBot="1">
      <c r="A40" s="647" t="s">
        <v>492</v>
      </c>
      <c r="B40" s="648">
        <v>64171</v>
      </c>
      <c r="C40" s="648" t="s">
        <v>493</v>
      </c>
      <c r="D40" s="648" t="s">
        <v>496</v>
      </c>
      <c r="E40" s="643" t="s">
        <v>981</v>
      </c>
      <c r="F40" s="645">
        <v>2813432.0435406887</v>
      </c>
      <c r="G40" s="643">
        <v>1898302</v>
      </c>
      <c r="I40" s="643" t="str">
        <f t="shared" si="0"/>
        <v>1898302</v>
      </c>
      <c r="J40" s="643">
        <f t="shared" si="1"/>
        <v>0</v>
      </c>
    </row>
    <row r="41" spans="1:10" s="643" customFormat="1" ht="15.75" thickBot="1">
      <c r="A41" s="647" t="s">
        <v>492</v>
      </c>
      <c r="B41" s="648">
        <v>64171</v>
      </c>
      <c r="C41" s="648" t="s">
        <v>493</v>
      </c>
      <c r="D41" s="648" t="s">
        <v>497</v>
      </c>
      <c r="E41" s="643" t="s">
        <v>981</v>
      </c>
      <c r="F41" s="645">
        <v>905840.90306737425</v>
      </c>
      <c r="G41" s="643">
        <v>1898303</v>
      </c>
      <c r="I41" s="643" t="str">
        <f t="shared" si="0"/>
        <v>1898303</v>
      </c>
      <c r="J41" s="643">
        <f t="shared" si="1"/>
        <v>0</v>
      </c>
    </row>
    <row r="42" spans="1:10" s="643" customFormat="1" ht="15.75" thickBot="1">
      <c r="A42" s="647" t="s">
        <v>492</v>
      </c>
      <c r="B42" s="648">
        <v>64171</v>
      </c>
      <c r="C42" s="648" t="s">
        <v>493</v>
      </c>
      <c r="D42" s="648" t="s">
        <v>498</v>
      </c>
      <c r="E42" s="643" t="s">
        <v>981</v>
      </c>
      <c r="F42" s="645">
        <v>179084.12067372314</v>
      </c>
      <c r="G42" s="643">
        <v>1898304</v>
      </c>
      <c r="I42" s="643" t="str">
        <f t="shared" si="0"/>
        <v>1898304</v>
      </c>
      <c r="J42" s="643">
        <f t="shared" si="1"/>
        <v>0</v>
      </c>
    </row>
    <row r="43" spans="1:10" s="643" customFormat="1" ht="15.75" thickBot="1">
      <c r="A43" s="647" t="s">
        <v>492</v>
      </c>
      <c r="B43" s="648">
        <v>64171</v>
      </c>
      <c r="C43" s="648" t="s">
        <v>493</v>
      </c>
      <c r="D43" s="648" t="s">
        <v>499</v>
      </c>
      <c r="E43" s="643" t="s">
        <v>981</v>
      </c>
      <c r="F43" s="645">
        <v>173656.12052164742</v>
      </c>
      <c r="G43" s="643">
        <v>1898305</v>
      </c>
      <c r="I43" s="643" t="str">
        <f t="shared" si="0"/>
        <v>1898305</v>
      </c>
      <c r="J43" s="643">
        <f t="shared" si="1"/>
        <v>0</v>
      </c>
    </row>
    <row r="44" spans="1:10" s="643" customFormat="1" ht="15.75" thickBot="1">
      <c r="A44" s="647" t="s">
        <v>492</v>
      </c>
      <c r="B44" s="648">
        <v>64171</v>
      </c>
      <c r="C44" s="648" t="s">
        <v>493</v>
      </c>
      <c r="D44" s="648" t="s">
        <v>500</v>
      </c>
      <c r="E44" s="643" t="s">
        <v>981</v>
      </c>
      <c r="F44" s="645">
        <v>465000.57032523403</v>
      </c>
      <c r="G44" s="643">
        <v>1898306</v>
      </c>
      <c r="I44" s="643" t="str">
        <f t="shared" si="0"/>
        <v>1898306</v>
      </c>
      <c r="J44" s="643">
        <f t="shared" si="1"/>
        <v>0</v>
      </c>
    </row>
    <row r="45" spans="1:10" s="643" customFormat="1" ht="15.75" thickBot="1">
      <c r="A45" s="647" t="s">
        <v>492</v>
      </c>
      <c r="B45" s="648">
        <v>64171</v>
      </c>
      <c r="C45" s="648" t="s">
        <v>493</v>
      </c>
      <c r="D45" s="648" t="s">
        <v>501</v>
      </c>
      <c r="E45" s="643" t="s">
        <v>981</v>
      </c>
      <c r="F45" s="645">
        <v>180430.58735042356</v>
      </c>
      <c r="G45" s="643">
        <v>1898307</v>
      </c>
      <c r="I45" s="643" t="str">
        <f t="shared" si="0"/>
        <v>1898307</v>
      </c>
      <c r="J45" s="643">
        <f t="shared" si="1"/>
        <v>0</v>
      </c>
    </row>
    <row r="46" spans="1:10" s="643" customFormat="1" ht="15.75" thickBot="1">
      <c r="A46" s="647" t="s">
        <v>492</v>
      </c>
      <c r="B46" s="648">
        <v>64171</v>
      </c>
      <c r="C46" s="648" t="s">
        <v>493</v>
      </c>
      <c r="D46" s="648" t="s">
        <v>502</v>
      </c>
      <c r="E46" s="643" t="s">
        <v>981</v>
      </c>
      <c r="F46" s="645">
        <v>105714.90675261393</v>
      </c>
      <c r="G46" s="643">
        <v>1898308</v>
      </c>
      <c r="I46" s="643" t="str">
        <f t="shared" si="0"/>
        <v>1898308</v>
      </c>
      <c r="J46" s="643">
        <f t="shared" si="1"/>
        <v>0</v>
      </c>
    </row>
    <row r="47" spans="1:10" s="643" customFormat="1" ht="15.75" thickBot="1">
      <c r="A47" s="647" t="s">
        <v>492</v>
      </c>
      <c r="B47" s="648">
        <v>64171</v>
      </c>
      <c r="C47" s="648" t="s">
        <v>493</v>
      </c>
      <c r="D47" s="648" t="s">
        <v>503</v>
      </c>
      <c r="E47" s="643" t="s">
        <v>981</v>
      </c>
      <c r="F47" s="645">
        <v>401814.87173197092</v>
      </c>
      <c r="G47" s="643">
        <v>1898309</v>
      </c>
      <c r="I47" s="643" t="str">
        <f t="shared" si="0"/>
        <v>1898309</v>
      </c>
      <c r="J47" s="643">
        <f t="shared" si="1"/>
        <v>0</v>
      </c>
    </row>
    <row r="48" spans="1:10" s="643" customFormat="1" ht="15.75" thickBot="1">
      <c r="A48" s="647" t="s">
        <v>492</v>
      </c>
      <c r="B48" s="648">
        <v>64171</v>
      </c>
      <c r="C48" s="648" t="s">
        <v>493</v>
      </c>
      <c r="D48" s="648" t="s">
        <v>494</v>
      </c>
      <c r="E48" s="643" t="s">
        <v>982</v>
      </c>
      <c r="F48" s="645">
        <v>376462.45748832705</v>
      </c>
      <c r="G48" s="643">
        <v>1898301</v>
      </c>
      <c r="I48" s="643" t="str">
        <f t="shared" si="0"/>
        <v>1898301</v>
      </c>
      <c r="J48" s="643">
        <f t="shared" si="1"/>
        <v>0</v>
      </c>
    </row>
    <row r="49" spans="1:10" s="643" customFormat="1" ht="15.75" thickBot="1">
      <c r="A49" s="647" t="s">
        <v>492</v>
      </c>
      <c r="B49" s="648">
        <v>64171</v>
      </c>
      <c r="C49" s="648" t="s">
        <v>493</v>
      </c>
      <c r="D49" s="648" t="s">
        <v>496</v>
      </c>
      <c r="E49" s="643" t="s">
        <v>982</v>
      </c>
      <c r="F49" s="645">
        <v>1070363.735509797</v>
      </c>
      <c r="G49" s="643">
        <v>1898302</v>
      </c>
      <c r="I49" s="643" t="str">
        <f t="shared" si="0"/>
        <v>1898302</v>
      </c>
      <c r="J49" s="643">
        <f t="shared" si="1"/>
        <v>0</v>
      </c>
    </row>
    <row r="50" spans="1:10" s="643" customFormat="1" ht="15.75" thickBot="1">
      <c r="A50" s="647" t="s">
        <v>492</v>
      </c>
      <c r="B50" s="648">
        <v>64171</v>
      </c>
      <c r="C50" s="648" t="s">
        <v>493</v>
      </c>
      <c r="D50" s="648" t="s">
        <v>497</v>
      </c>
      <c r="E50" s="643" t="s">
        <v>982</v>
      </c>
      <c r="F50" s="645">
        <v>62550.960009881746</v>
      </c>
      <c r="G50" s="643">
        <v>1898303</v>
      </c>
      <c r="I50" s="643" t="str">
        <f t="shared" si="0"/>
        <v>1898303</v>
      </c>
      <c r="J50" s="643">
        <f t="shared" si="1"/>
        <v>0</v>
      </c>
    </row>
    <row r="51" spans="1:10" s="643" customFormat="1" ht="15.75" thickBot="1">
      <c r="A51" s="647" t="s">
        <v>492</v>
      </c>
      <c r="B51" s="648">
        <v>64171</v>
      </c>
      <c r="C51" s="648" t="s">
        <v>493</v>
      </c>
      <c r="D51" s="648" t="s">
        <v>498</v>
      </c>
      <c r="E51" s="643" t="s">
        <v>982</v>
      </c>
      <c r="F51" s="645">
        <v>28518.545310529465</v>
      </c>
      <c r="G51" s="643">
        <v>1898304</v>
      </c>
      <c r="I51" s="643" t="str">
        <f t="shared" si="0"/>
        <v>1898304</v>
      </c>
      <c r="J51" s="643">
        <f t="shared" si="1"/>
        <v>0</v>
      </c>
    </row>
    <row r="52" spans="1:10" s="643" customFormat="1" ht="15.75" thickBot="1">
      <c r="A52" s="647" t="s">
        <v>492</v>
      </c>
      <c r="B52" s="648">
        <v>64171</v>
      </c>
      <c r="C52" s="648" t="s">
        <v>493</v>
      </c>
      <c r="D52" s="648" t="s">
        <v>499</v>
      </c>
      <c r="E52" s="643" t="s">
        <v>982</v>
      </c>
      <c r="F52" s="645">
        <v>3239.8232639933208</v>
      </c>
      <c r="G52" s="643">
        <v>1898305</v>
      </c>
      <c r="I52" s="643" t="str">
        <f t="shared" si="0"/>
        <v>1898305</v>
      </c>
      <c r="J52" s="643">
        <f t="shared" si="1"/>
        <v>0</v>
      </c>
    </row>
    <row r="53" spans="1:10" s="643" customFormat="1" ht="15.75" thickBot="1">
      <c r="A53" s="647" t="s">
        <v>492</v>
      </c>
      <c r="B53" s="648">
        <v>64171</v>
      </c>
      <c r="C53" s="648" t="s">
        <v>493</v>
      </c>
      <c r="D53" s="648" t="s">
        <v>500</v>
      </c>
      <c r="E53" s="643" t="s">
        <v>982</v>
      </c>
      <c r="F53" s="645">
        <v>39767.594372544176</v>
      </c>
      <c r="G53" s="643">
        <v>1898306</v>
      </c>
      <c r="I53" s="643" t="str">
        <f t="shared" si="0"/>
        <v>1898306</v>
      </c>
      <c r="J53" s="643">
        <f t="shared" si="1"/>
        <v>0</v>
      </c>
    </row>
    <row r="54" spans="1:10" s="643" customFormat="1" ht="15.75" thickBot="1">
      <c r="A54" s="647" t="s">
        <v>492</v>
      </c>
      <c r="B54" s="648">
        <v>64171</v>
      </c>
      <c r="C54" s="648" t="s">
        <v>493</v>
      </c>
      <c r="D54" s="648" t="s">
        <v>501</v>
      </c>
      <c r="E54" s="643" t="s">
        <v>982</v>
      </c>
      <c r="F54" s="645">
        <v>2277.6328356438089</v>
      </c>
      <c r="G54" s="643">
        <v>1898307</v>
      </c>
      <c r="I54" s="643" t="str">
        <f t="shared" si="0"/>
        <v>1898307</v>
      </c>
      <c r="J54" s="643">
        <f t="shared" si="1"/>
        <v>0</v>
      </c>
    </row>
    <row r="55" spans="1:10" s="643" customFormat="1" ht="15.75" thickBot="1">
      <c r="A55" s="647" t="s">
        <v>492</v>
      </c>
      <c r="B55" s="648">
        <v>64171</v>
      </c>
      <c r="C55" s="648" t="s">
        <v>493</v>
      </c>
      <c r="D55" s="648" t="s">
        <v>502</v>
      </c>
      <c r="E55" s="643" t="s">
        <v>982</v>
      </c>
      <c r="F55" s="645">
        <v>11530.477131039966</v>
      </c>
      <c r="G55" s="643">
        <v>1898308</v>
      </c>
      <c r="I55" s="643" t="str">
        <f t="shared" si="0"/>
        <v>1898308</v>
      </c>
      <c r="J55" s="643">
        <f t="shared" si="1"/>
        <v>0</v>
      </c>
    </row>
    <row r="56" spans="1:10" s="643" customFormat="1" ht="15.75" thickBot="1">
      <c r="A56" s="647" t="s">
        <v>492</v>
      </c>
      <c r="B56" s="648">
        <v>64171</v>
      </c>
      <c r="C56" s="648" t="s">
        <v>493</v>
      </c>
      <c r="D56" s="648" t="s">
        <v>503</v>
      </c>
      <c r="E56" s="643" t="s">
        <v>982</v>
      </c>
      <c r="F56" s="645">
        <v>5427.9034349928779</v>
      </c>
      <c r="G56" s="643">
        <v>1898309</v>
      </c>
      <c r="I56" s="643" t="str">
        <f t="shared" si="0"/>
        <v>1898309</v>
      </c>
      <c r="J56" s="643">
        <f t="shared" si="1"/>
        <v>0</v>
      </c>
    </row>
    <row r="57" spans="1:10" s="643" customFormat="1" ht="15.75" thickBot="1">
      <c r="A57" s="647" t="s">
        <v>492</v>
      </c>
      <c r="B57" s="648">
        <v>64171</v>
      </c>
      <c r="C57" s="648" t="s">
        <v>493</v>
      </c>
      <c r="D57" s="648" t="s">
        <v>504</v>
      </c>
      <c r="E57" s="643" t="s">
        <v>982</v>
      </c>
      <c r="F57" s="645">
        <v>2018316.3928579222</v>
      </c>
      <c r="G57" s="643">
        <v>1898310</v>
      </c>
      <c r="I57" s="643" t="str">
        <f t="shared" si="0"/>
        <v>1898310</v>
      </c>
      <c r="J57" s="643">
        <f t="shared" si="1"/>
        <v>0</v>
      </c>
    </row>
    <row r="58" spans="1:10" s="643" customFormat="1" ht="15.75" thickBot="1">
      <c r="A58" s="647" t="s">
        <v>492</v>
      </c>
      <c r="B58" s="648">
        <v>64171</v>
      </c>
      <c r="C58" s="648" t="s">
        <v>493</v>
      </c>
      <c r="D58" s="648" t="s">
        <v>494</v>
      </c>
      <c r="E58" s="643" t="s">
        <v>983</v>
      </c>
      <c r="F58" s="645">
        <v>325207.80828962184</v>
      </c>
      <c r="G58" s="643">
        <v>1898301</v>
      </c>
      <c r="I58" s="643" t="str">
        <f t="shared" si="0"/>
        <v>1898301</v>
      </c>
      <c r="J58" s="643">
        <f t="shared" si="1"/>
        <v>0</v>
      </c>
    </row>
    <row r="59" spans="1:10" s="643" customFormat="1" ht="15.75" thickBot="1">
      <c r="A59" s="647" t="s">
        <v>492</v>
      </c>
      <c r="B59" s="648">
        <v>64171</v>
      </c>
      <c r="C59" s="648" t="s">
        <v>493</v>
      </c>
      <c r="D59" s="648" t="s">
        <v>504</v>
      </c>
      <c r="E59" s="643" t="s">
        <v>983</v>
      </c>
      <c r="F59" s="645">
        <v>3413921.8683658126</v>
      </c>
      <c r="G59" s="643">
        <v>1898310</v>
      </c>
      <c r="I59" s="643" t="str">
        <f t="shared" si="0"/>
        <v>1898310</v>
      </c>
      <c r="J59" s="643">
        <f t="shared" si="1"/>
        <v>0</v>
      </c>
    </row>
    <row r="60" spans="1:10" s="643" customFormat="1" ht="15.75" thickBot="1">
      <c r="A60" s="647" t="s">
        <v>492</v>
      </c>
      <c r="B60" s="648">
        <v>64171</v>
      </c>
      <c r="C60" s="648" t="s">
        <v>493</v>
      </c>
      <c r="D60" s="648" t="s">
        <v>494</v>
      </c>
      <c r="E60" s="643" t="s">
        <v>984</v>
      </c>
      <c r="F60" s="645">
        <v>14430.855919172809</v>
      </c>
      <c r="G60" s="643">
        <v>1898301</v>
      </c>
      <c r="I60" s="643" t="str">
        <f t="shared" si="0"/>
        <v>1898301</v>
      </c>
      <c r="J60" s="643">
        <f t="shared" si="1"/>
        <v>0</v>
      </c>
    </row>
    <row r="61" spans="1:10" s="643" customFormat="1" ht="15.75" thickBot="1">
      <c r="A61" s="647" t="s">
        <v>492</v>
      </c>
      <c r="B61" s="648">
        <v>64171</v>
      </c>
      <c r="C61" s="648" t="s">
        <v>493</v>
      </c>
      <c r="D61" s="648" t="s">
        <v>496</v>
      </c>
      <c r="E61" s="643" t="s">
        <v>984</v>
      </c>
      <c r="F61" s="645">
        <v>4179.6987192859024</v>
      </c>
      <c r="G61" s="643">
        <v>1898302</v>
      </c>
      <c r="I61" s="643" t="str">
        <f t="shared" si="0"/>
        <v>1898302</v>
      </c>
      <c r="J61" s="643">
        <f t="shared" si="1"/>
        <v>0</v>
      </c>
    </row>
    <row r="62" spans="1:10" s="643" customFormat="1" ht="15.75" thickBot="1">
      <c r="A62" s="647" t="s">
        <v>492</v>
      </c>
      <c r="B62" s="648">
        <v>64171</v>
      </c>
      <c r="C62" s="648" t="s">
        <v>493</v>
      </c>
      <c r="D62" s="648" t="s">
        <v>497</v>
      </c>
      <c r="E62" s="643" t="s">
        <v>984</v>
      </c>
      <c r="F62" s="645">
        <v>5800.9054481874409</v>
      </c>
      <c r="G62" s="643">
        <v>1898303</v>
      </c>
      <c r="I62" s="643" t="str">
        <f t="shared" si="0"/>
        <v>1898303</v>
      </c>
      <c r="J62" s="643">
        <f t="shared" si="1"/>
        <v>0</v>
      </c>
    </row>
    <row r="63" spans="1:10" s="643" customFormat="1" ht="15.75" thickBot="1">
      <c r="A63" s="647" t="s">
        <v>492</v>
      </c>
      <c r="B63" s="648">
        <v>64171</v>
      </c>
      <c r="C63" s="648" t="s">
        <v>493</v>
      </c>
      <c r="D63" s="648" t="s">
        <v>498</v>
      </c>
      <c r="E63" s="643" t="s">
        <v>984</v>
      </c>
      <c r="F63" s="645">
        <v>721.56751780671345</v>
      </c>
      <c r="G63" s="643">
        <v>1898304</v>
      </c>
      <c r="I63" s="643" t="str">
        <f t="shared" si="0"/>
        <v>1898304</v>
      </c>
      <c r="J63" s="643">
        <f t="shared" si="1"/>
        <v>0</v>
      </c>
    </row>
    <row r="64" spans="1:10" s="643" customFormat="1" ht="15.75" thickBot="1">
      <c r="A64" s="647" t="s">
        <v>492</v>
      </c>
      <c r="B64" s="648">
        <v>64171</v>
      </c>
      <c r="C64" s="648" t="s">
        <v>493</v>
      </c>
      <c r="D64" s="648" t="s">
        <v>499</v>
      </c>
      <c r="E64" s="643" t="s">
        <v>984</v>
      </c>
      <c r="F64" s="645">
        <v>8747.9640082264523</v>
      </c>
      <c r="G64" s="643">
        <v>1898305</v>
      </c>
      <c r="I64" s="643" t="str">
        <f t="shared" si="0"/>
        <v>1898305</v>
      </c>
      <c r="J64" s="643">
        <f t="shared" si="1"/>
        <v>0</v>
      </c>
    </row>
    <row r="65" spans="1:10" s="643" customFormat="1" ht="15.75" thickBot="1">
      <c r="A65" s="647" t="s">
        <v>492</v>
      </c>
      <c r="B65" s="648">
        <v>64171</v>
      </c>
      <c r="C65" s="648" t="s">
        <v>493</v>
      </c>
      <c r="D65" s="648" t="s">
        <v>504</v>
      </c>
      <c r="E65" s="643" t="s">
        <v>984</v>
      </c>
      <c r="F65" s="645">
        <v>113454.70249039895</v>
      </c>
      <c r="G65" s="643">
        <v>1898310</v>
      </c>
      <c r="I65" s="643" t="str">
        <f t="shared" si="0"/>
        <v>1898310</v>
      </c>
      <c r="J65" s="643">
        <f t="shared" si="1"/>
        <v>0</v>
      </c>
    </row>
    <row r="66" spans="1:10" s="643" customFormat="1" ht="15.75" thickBot="1">
      <c r="A66" s="647" t="s">
        <v>492</v>
      </c>
      <c r="B66" s="648">
        <v>64171</v>
      </c>
      <c r="C66" s="648" t="s">
        <v>493</v>
      </c>
      <c r="D66" s="648" t="s">
        <v>494</v>
      </c>
      <c r="E66" s="643" t="s">
        <v>985</v>
      </c>
      <c r="F66" s="645">
        <v>5018.3644751925995</v>
      </c>
      <c r="G66" s="643">
        <v>1898301</v>
      </c>
      <c r="I66" s="643" t="str">
        <f t="shared" si="0"/>
        <v>1898301</v>
      </c>
      <c r="J66" s="643">
        <f t="shared" si="1"/>
        <v>0</v>
      </c>
    </row>
    <row r="67" spans="1:10" s="643" customFormat="1" ht="15.75" thickBot="1">
      <c r="A67" s="647" t="s">
        <v>492</v>
      </c>
      <c r="B67" s="648">
        <v>64171</v>
      </c>
      <c r="C67" s="648" t="s">
        <v>493</v>
      </c>
      <c r="D67" s="648" t="s">
        <v>496</v>
      </c>
      <c r="E67" s="643" t="s">
        <v>985</v>
      </c>
      <c r="F67" s="645">
        <v>9132.4127349962546</v>
      </c>
      <c r="G67" s="643">
        <v>1898302</v>
      </c>
      <c r="I67" s="643" t="str">
        <f t="shared" si="0"/>
        <v>1898302</v>
      </c>
      <c r="J67" s="643">
        <f t="shared" si="1"/>
        <v>0</v>
      </c>
    </row>
    <row r="68" spans="1:10" s="643" customFormat="1" ht="15.75" thickBot="1">
      <c r="A68" s="647" t="s">
        <v>492</v>
      </c>
      <c r="B68" s="648">
        <v>64171</v>
      </c>
      <c r="C68" s="648" t="s">
        <v>493</v>
      </c>
      <c r="D68" s="648" t="s">
        <v>504</v>
      </c>
      <c r="E68" s="643" t="s">
        <v>985</v>
      </c>
      <c r="F68" s="645">
        <v>38702.401841446554</v>
      </c>
      <c r="G68" s="643">
        <v>1898310</v>
      </c>
      <c r="I68" s="643" t="str">
        <f t="shared" ref="I68:I131" si="2">RIGHT(D68,7)</f>
        <v>1898310</v>
      </c>
      <c r="J68" s="643">
        <f t="shared" ref="J68:J131" si="3">I68-G68</f>
        <v>0</v>
      </c>
    </row>
    <row r="69" spans="1:10" s="643" customFormat="1" ht="17.25" thickBot="1">
      <c r="A69" s="647" t="s">
        <v>492</v>
      </c>
      <c r="B69" s="648">
        <v>64171</v>
      </c>
      <c r="C69" s="648" t="s">
        <v>493</v>
      </c>
      <c r="D69" s="648" t="s">
        <v>494</v>
      </c>
      <c r="E69" s="651" t="s">
        <v>986</v>
      </c>
      <c r="F69" s="645">
        <v>12028.200434926152</v>
      </c>
      <c r="G69" s="643">
        <v>1898301</v>
      </c>
      <c r="I69" s="643" t="str">
        <f t="shared" si="2"/>
        <v>1898301</v>
      </c>
      <c r="J69" s="643">
        <f t="shared" si="3"/>
        <v>0</v>
      </c>
    </row>
    <row r="70" spans="1:10" s="643" customFormat="1" ht="17.25" thickBot="1">
      <c r="A70" s="647" t="s">
        <v>492</v>
      </c>
      <c r="B70" s="648">
        <v>64171</v>
      </c>
      <c r="C70" s="648" t="s">
        <v>493</v>
      </c>
      <c r="D70" s="648" t="s">
        <v>504</v>
      </c>
      <c r="E70" s="651" t="s">
        <v>986</v>
      </c>
      <c r="F70" s="645">
        <v>126267.99066679111</v>
      </c>
      <c r="G70" s="643">
        <v>1898310</v>
      </c>
      <c r="I70" s="643" t="str">
        <f t="shared" si="2"/>
        <v>1898310</v>
      </c>
      <c r="J70" s="643">
        <f t="shared" si="3"/>
        <v>0</v>
      </c>
    </row>
    <row r="71" spans="1:10" s="643" customFormat="1" ht="17.25" thickBot="1">
      <c r="A71" s="647" t="s">
        <v>492</v>
      </c>
      <c r="B71" s="648">
        <v>64171</v>
      </c>
      <c r="C71" s="648" t="s">
        <v>493</v>
      </c>
      <c r="D71" s="648" t="s">
        <v>494</v>
      </c>
      <c r="E71" s="651" t="s">
        <v>987</v>
      </c>
      <c r="F71" s="645">
        <v>4640.988542896197</v>
      </c>
      <c r="G71" s="643">
        <v>1898301</v>
      </c>
      <c r="I71" s="643" t="str">
        <f t="shared" si="2"/>
        <v>1898301</v>
      </c>
      <c r="J71" s="643">
        <f t="shared" si="3"/>
        <v>0</v>
      </c>
    </row>
    <row r="72" spans="1:10" s="643" customFormat="1" ht="17.25" thickBot="1">
      <c r="A72" s="647" t="s">
        <v>492</v>
      </c>
      <c r="B72" s="648">
        <v>64171</v>
      </c>
      <c r="C72" s="648" t="s">
        <v>493</v>
      </c>
      <c r="D72" s="648" t="s">
        <v>504</v>
      </c>
      <c r="E72" s="651" t="s">
        <v>987</v>
      </c>
      <c r="F72" s="645">
        <v>48719.532168545818</v>
      </c>
      <c r="G72" s="643">
        <v>1898310</v>
      </c>
      <c r="I72" s="643" t="str">
        <f t="shared" si="2"/>
        <v>1898310</v>
      </c>
      <c r="J72" s="643">
        <f t="shared" si="3"/>
        <v>0</v>
      </c>
    </row>
    <row r="73" spans="1:10" s="643" customFormat="1" ht="15.75" thickBot="1">
      <c r="A73" s="647" t="s">
        <v>492</v>
      </c>
      <c r="B73" s="648">
        <v>64171</v>
      </c>
      <c r="C73" s="648" t="s">
        <v>493</v>
      </c>
      <c r="D73" s="648" t="s">
        <v>494</v>
      </c>
      <c r="E73" s="643" t="s">
        <v>988</v>
      </c>
      <c r="F73" s="645">
        <v>19344.868237856113</v>
      </c>
      <c r="G73" s="643">
        <v>1898301</v>
      </c>
      <c r="I73" s="643" t="str">
        <f t="shared" si="2"/>
        <v>1898301</v>
      </c>
      <c r="J73" s="643">
        <f t="shared" si="3"/>
        <v>0</v>
      </c>
    </row>
    <row r="74" spans="1:10" s="643" customFormat="1" ht="15.75" thickBot="1">
      <c r="A74" s="647" t="s">
        <v>492</v>
      </c>
      <c r="B74" s="648">
        <v>64171</v>
      </c>
      <c r="C74" s="648" t="s">
        <v>493</v>
      </c>
      <c r="D74" s="648" t="s">
        <v>504</v>
      </c>
      <c r="E74" s="643" t="s">
        <v>988</v>
      </c>
      <c r="F74" s="645">
        <v>203075.90111445604</v>
      </c>
      <c r="G74" s="643">
        <v>1898310</v>
      </c>
      <c r="I74" s="643" t="str">
        <f t="shared" si="2"/>
        <v>1898310</v>
      </c>
      <c r="J74" s="643">
        <f t="shared" si="3"/>
        <v>0</v>
      </c>
    </row>
    <row r="75" spans="1:10" s="643" customFormat="1" ht="17.25" thickBot="1">
      <c r="A75" s="647" t="s">
        <v>492</v>
      </c>
      <c r="B75" s="648">
        <v>64171</v>
      </c>
      <c r="C75" s="648" t="s">
        <v>493</v>
      </c>
      <c r="D75" s="648" t="s">
        <v>494</v>
      </c>
      <c r="E75" s="651" t="s">
        <v>509</v>
      </c>
      <c r="F75" s="645">
        <v>211200.6244920652</v>
      </c>
      <c r="G75" s="643">
        <v>1898301</v>
      </c>
      <c r="I75" s="643" t="str">
        <f t="shared" si="2"/>
        <v>1898301</v>
      </c>
      <c r="J75" s="643">
        <f t="shared" si="3"/>
        <v>0</v>
      </c>
    </row>
    <row r="76" spans="1:10" s="643" customFormat="1" ht="17.25" thickBot="1">
      <c r="A76" s="647" t="s">
        <v>492</v>
      </c>
      <c r="B76" s="648">
        <v>64171</v>
      </c>
      <c r="C76" s="648" t="s">
        <v>493</v>
      </c>
      <c r="D76" s="648" t="s">
        <v>496</v>
      </c>
      <c r="E76" s="651" t="s">
        <v>509</v>
      </c>
      <c r="F76" s="645">
        <v>358622.4535841734</v>
      </c>
      <c r="G76" s="643">
        <v>1898302</v>
      </c>
      <c r="I76" s="643" t="str">
        <f t="shared" si="2"/>
        <v>1898302</v>
      </c>
      <c r="J76" s="643">
        <f t="shared" si="3"/>
        <v>0</v>
      </c>
    </row>
    <row r="77" spans="1:10" s="643" customFormat="1" ht="17.25" thickBot="1">
      <c r="A77" s="647" t="s">
        <v>492</v>
      </c>
      <c r="B77" s="648">
        <v>64171</v>
      </c>
      <c r="C77" s="648" t="s">
        <v>493</v>
      </c>
      <c r="D77" s="648" t="s">
        <v>497</v>
      </c>
      <c r="E77" s="651" t="s">
        <v>509</v>
      </c>
      <c r="F77" s="645">
        <v>400720.34140635241</v>
      </c>
      <c r="G77" s="643">
        <v>1898303</v>
      </c>
      <c r="I77" s="643" t="str">
        <f t="shared" si="2"/>
        <v>1898303</v>
      </c>
      <c r="J77" s="643">
        <f t="shared" si="3"/>
        <v>0</v>
      </c>
    </row>
    <row r="78" spans="1:10" s="643" customFormat="1" ht="17.25" thickBot="1">
      <c r="A78" s="647" t="s">
        <v>492</v>
      </c>
      <c r="B78" s="648">
        <v>64171</v>
      </c>
      <c r="C78" s="648" t="s">
        <v>493</v>
      </c>
      <c r="D78" s="648" t="s">
        <v>498</v>
      </c>
      <c r="E78" s="651" t="s">
        <v>509</v>
      </c>
      <c r="F78" s="645">
        <v>11270.771920421659</v>
      </c>
      <c r="G78" s="643">
        <v>1898304</v>
      </c>
      <c r="I78" s="643" t="str">
        <f t="shared" si="2"/>
        <v>1898304</v>
      </c>
      <c r="J78" s="643">
        <f t="shared" si="3"/>
        <v>0</v>
      </c>
    </row>
    <row r="79" spans="1:10" s="643" customFormat="1" ht="17.25" thickBot="1">
      <c r="A79" s="647" t="s">
        <v>492</v>
      </c>
      <c r="B79" s="648">
        <v>64171</v>
      </c>
      <c r="C79" s="648" t="s">
        <v>493</v>
      </c>
      <c r="D79" s="648" t="s">
        <v>499</v>
      </c>
      <c r="E79" s="651" t="s">
        <v>509</v>
      </c>
      <c r="F79" s="645">
        <v>155507.92784306378</v>
      </c>
      <c r="G79" s="643">
        <v>1898305</v>
      </c>
      <c r="I79" s="643" t="str">
        <f t="shared" si="2"/>
        <v>1898305</v>
      </c>
      <c r="J79" s="643">
        <f t="shared" si="3"/>
        <v>0</v>
      </c>
    </row>
    <row r="80" spans="1:10" s="643" customFormat="1" ht="17.25" thickBot="1">
      <c r="A80" s="647" t="s">
        <v>492</v>
      </c>
      <c r="B80" s="648">
        <v>64171</v>
      </c>
      <c r="C80" s="648" t="s">
        <v>493</v>
      </c>
      <c r="D80" s="648" t="s">
        <v>501</v>
      </c>
      <c r="E80" s="651" t="s">
        <v>509</v>
      </c>
      <c r="F80" s="645">
        <v>48608.01783386177</v>
      </c>
      <c r="G80" s="643">
        <v>1898307</v>
      </c>
      <c r="I80" s="643" t="str">
        <f t="shared" si="2"/>
        <v>1898307</v>
      </c>
      <c r="J80" s="643">
        <f t="shared" si="3"/>
        <v>0</v>
      </c>
    </row>
    <row r="81" spans="1:10" s="643" customFormat="1" ht="17.25" thickBot="1">
      <c r="A81" s="647" t="s">
        <v>492</v>
      </c>
      <c r="B81" s="648">
        <v>64171</v>
      </c>
      <c r="C81" s="648" t="s">
        <v>493</v>
      </c>
      <c r="D81" s="648" t="s">
        <v>503</v>
      </c>
      <c r="E81" s="651" t="s">
        <v>509</v>
      </c>
      <c r="F81" s="645">
        <v>17762.04172833035</v>
      </c>
      <c r="G81" s="643">
        <v>1898309</v>
      </c>
      <c r="I81" s="643" t="str">
        <f t="shared" si="2"/>
        <v>1898309</v>
      </c>
      <c r="J81" s="643">
        <f t="shared" si="3"/>
        <v>0</v>
      </c>
    </row>
    <row r="82" spans="1:10" s="643" customFormat="1" ht="17.25" thickBot="1">
      <c r="A82" s="647" t="s">
        <v>492</v>
      </c>
      <c r="B82" s="648">
        <v>64171</v>
      </c>
      <c r="C82" s="648" t="s">
        <v>493</v>
      </c>
      <c r="D82" s="648" t="s">
        <v>504</v>
      </c>
      <c r="E82" s="651" t="s">
        <v>509</v>
      </c>
      <c r="F82" s="645">
        <v>554210.24906231125</v>
      </c>
      <c r="G82" s="643">
        <v>1898310</v>
      </c>
      <c r="I82" s="643" t="str">
        <f t="shared" si="2"/>
        <v>1898310</v>
      </c>
      <c r="J82" s="643">
        <f t="shared" si="3"/>
        <v>0</v>
      </c>
    </row>
    <row r="83" spans="1:10" s="643" customFormat="1" ht="17.25" thickBot="1">
      <c r="A83" s="647" t="s">
        <v>492</v>
      </c>
      <c r="B83" s="648">
        <v>64171</v>
      </c>
      <c r="C83" s="648" t="s">
        <v>493</v>
      </c>
      <c r="D83" s="648" t="s">
        <v>494</v>
      </c>
      <c r="E83" s="651" t="s">
        <v>989</v>
      </c>
      <c r="F83" s="645">
        <v>433431.79969636863</v>
      </c>
      <c r="G83" s="643">
        <v>1898301</v>
      </c>
      <c r="I83" s="643" t="str">
        <f t="shared" si="2"/>
        <v>1898301</v>
      </c>
      <c r="J83" s="643">
        <f t="shared" si="3"/>
        <v>0</v>
      </c>
    </row>
    <row r="84" spans="1:10" s="643" customFormat="1" ht="17.25" thickBot="1">
      <c r="A84" s="647" t="s">
        <v>492</v>
      </c>
      <c r="B84" s="648">
        <v>64171</v>
      </c>
      <c r="C84" s="648" t="s">
        <v>493</v>
      </c>
      <c r="D84" s="648" t="s">
        <v>496</v>
      </c>
      <c r="E84" s="651" t="s">
        <v>989</v>
      </c>
      <c r="F84" s="645">
        <v>152651.37062618637</v>
      </c>
      <c r="G84" s="643">
        <v>1898302</v>
      </c>
      <c r="I84" s="643" t="str">
        <f t="shared" si="2"/>
        <v>1898302</v>
      </c>
      <c r="J84" s="643">
        <f t="shared" si="3"/>
        <v>0</v>
      </c>
    </row>
    <row r="85" spans="1:10" s="643" customFormat="1" ht="17.25" thickBot="1">
      <c r="A85" s="647" t="s">
        <v>492</v>
      </c>
      <c r="B85" s="648">
        <v>64171</v>
      </c>
      <c r="C85" s="648" t="s">
        <v>493</v>
      </c>
      <c r="D85" s="648" t="s">
        <v>497</v>
      </c>
      <c r="E85" s="651" t="s">
        <v>989</v>
      </c>
      <c r="F85" s="645">
        <v>189036.00066390409</v>
      </c>
      <c r="G85" s="643">
        <v>1898303</v>
      </c>
      <c r="I85" s="643" t="str">
        <f t="shared" si="2"/>
        <v>1898303</v>
      </c>
      <c r="J85" s="643">
        <f t="shared" si="3"/>
        <v>0</v>
      </c>
    </row>
    <row r="86" spans="1:10" s="643" customFormat="1" ht="17.25" thickBot="1">
      <c r="A86" s="647" t="s">
        <v>492</v>
      </c>
      <c r="B86" s="648">
        <v>64171</v>
      </c>
      <c r="C86" s="648" t="s">
        <v>493</v>
      </c>
      <c r="D86" s="648" t="s">
        <v>498</v>
      </c>
      <c r="E86" s="651" t="s">
        <v>989</v>
      </c>
      <c r="F86" s="645">
        <v>18639.523230360101</v>
      </c>
      <c r="G86" s="643">
        <v>1898304</v>
      </c>
      <c r="I86" s="643" t="str">
        <f t="shared" si="2"/>
        <v>1898304</v>
      </c>
      <c r="J86" s="643">
        <f t="shared" si="3"/>
        <v>0</v>
      </c>
    </row>
    <row r="87" spans="1:10" s="643" customFormat="1" ht="17.25" thickBot="1">
      <c r="A87" s="647" t="s">
        <v>492</v>
      </c>
      <c r="B87" s="648">
        <v>64171</v>
      </c>
      <c r="C87" s="648" t="s">
        <v>493</v>
      </c>
      <c r="D87" s="648" t="s">
        <v>499</v>
      </c>
      <c r="E87" s="651" t="s">
        <v>989</v>
      </c>
      <c r="F87" s="645">
        <v>555753.29034937709</v>
      </c>
      <c r="G87" s="643">
        <v>1898305</v>
      </c>
      <c r="I87" s="643" t="str">
        <f t="shared" si="2"/>
        <v>1898305</v>
      </c>
      <c r="J87" s="643">
        <f t="shared" si="3"/>
        <v>0</v>
      </c>
    </row>
    <row r="88" spans="1:10" s="643" customFormat="1" ht="17.25" thickBot="1">
      <c r="A88" s="647" t="s">
        <v>492</v>
      </c>
      <c r="B88" s="648">
        <v>64171</v>
      </c>
      <c r="C88" s="648" t="s">
        <v>493</v>
      </c>
      <c r="D88" s="648" t="s">
        <v>500</v>
      </c>
      <c r="E88" s="651" t="s">
        <v>989</v>
      </c>
      <c r="F88" s="645">
        <v>267413.44014812901</v>
      </c>
      <c r="G88" s="643">
        <v>1898306</v>
      </c>
      <c r="I88" s="643" t="str">
        <f t="shared" si="2"/>
        <v>1898306</v>
      </c>
      <c r="J88" s="643">
        <f t="shared" si="3"/>
        <v>0</v>
      </c>
    </row>
    <row r="89" spans="1:10" s="643" customFormat="1" ht="17.25" thickBot="1">
      <c r="A89" s="647" t="s">
        <v>492</v>
      </c>
      <c r="B89" s="648">
        <v>64171</v>
      </c>
      <c r="C89" s="648" t="s">
        <v>493</v>
      </c>
      <c r="D89" s="648" t="s">
        <v>501</v>
      </c>
      <c r="E89" s="651" t="s">
        <v>989</v>
      </c>
      <c r="F89" s="645">
        <v>28281.015090726756</v>
      </c>
      <c r="G89" s="643">
        <v>1898307</v>
      </c>
      <c r="I89" s="643" t="str">
        <f t="shared" si="2"/>
        <v>1898307</v>
      </c>
      <c r="J89" s="643">
        <f t="shared" si="3"/>
        <v>0</v>
      </c>
    </row>
    <row r="90" spans="1:10" s="643" customFormat="1" ht="17.25" thickBot="1">
      <c r="A90" s="647" t="s">
        <v>492</v>
      </c>
      <c r="B90" s="648">
        <v>64171</v>
      </c>
      <c r="C90" s="648" t="s">
        <v>493</v>
      </c>
      <c r="D90" s="648" t="s">
        <v>502</v>
      </c>
      <c r="E90" s="651" t="s">
        <v>989</v>
      </c>
      <c r="F90" s="645">
        <v>204536.32405513668</v>
      </c>
      <c r="G90" s="643">
        <v>1898308</v>
      </c>
      <c r="I90" s="643" t="str">
        <f t="shared" si="2"/>
        <v>1898308</v>
      </c>
      <c r="J90" s="643">
        <f t="shared" si="3"/>
        <v>0</v>
      </c>
    </row>
    <row r="91" spans="1:10" s="643" customFormat="1" ht="17.25" thickBot="1">
      <c r="A91" s="647" t="s">
        <v>492</v>
      </c>
      <c r="B91" s="648">
        <v>64171</v>
      </c>
      <c r="C91" s="648" t="s">
        <v>493</v>
      </c>
      <c r="D91" s="648" t="s">
        <v>503</v>
      </c>
      <c r="E91" s="651" t="s">
        <v>989</v>
      </c>
      <c r="F91" s="645">
        <v>194269.1651266095</v>
      </c>
      <c r="G91" s="643">
        <v>1898309</v>
      </c>
      <c r="I91" s="643" t="str">
        <f t="shared" si="2"/>
        <v>1898309</v>
      </c>
      <c r="J91" s="643">
        <f t="shared" si="3"/>
        <v>0</v>
      </c>
    </row>
    <row r="92" spans="1:10" s="643" customFormat="1" ht="17.25" thickBot="1">
      <c r="A92" s="647" t="s">
        <v>492</v>
      </c>
      <c r="B92" s="648">
        <v>64171</v>
      </c>
      <c r="C92" s="648" t="s">
        <v>493</v>
      </c>
      <c r="D92" s="648" t="s">
        <v>504</v>
      </c>
      <c r="E92" s="651" t="s">
        <v>989</v>
      </c>
      <c r="F92" s="645">
        <v>617548.56324086117</v>
      </c>
      <c r="G92" s="643">
        <v>1898310</v>
      </c>
      <c r="I92" s="643" t="str">
        <f t="shared" si="2"/>
        <v>1898310</v>
      </c>
      <c r="J92" s="643">
        <f t="shared" si="3"/>
        <v>0</v>
      </c>
    </row>
    <row r="93" spans="1:10" s="643" customFormat="1" ht="15.75" thickBot="1">
      <c r="A93" s="647" t="s">
        <v>492</v>
      </c>
      <c r="B93" s="648">
        <v>64171</v>
      </c>
      <c r="C93" s="648" t="s">
        <v>493</v>
      </c>
      <c r="D93" s="648" t="s">
        <v>494</v>
      </c>
      <c r="E93" s="643" t="s">
        <v>994</v>
      </c>
      <c r="F93" s="645">
        <v>151148.0877660827</v>
      </c>
      <c r="G93" s="643">
        <v>1898301</v>
      </c>
      <c r="I93" s="643" t="str">
        <f t="shared" si="2"/>
        <v>1898301</v>
      </c>
      <c r="J93" s="643">
        <f t="shared" si="3"/>
        <v>0</v>
      </c>
    </row>
    <row r="94" spans="1:10" s="643" customFormat="1" ht="15.75" thickBot="1">
      <c r="A94" s="647" t="s">
        <v>492</v>
      </c>
      <c r="B94" s="648">
        <v>64171</v>
      </c>
      <c r="C94" s="648" t="s">
        <v>493</v>
      </c>
      <c r="D94" s="648" t="s">
        <v>496</v>
      </c>
      <c r="E94" s="643" t="s">
        <v>994</v>
      </c>
      <c r="F94" s="645">
        <v>4393.7537017596669</v>
      </c>
      <c r="G94" s="643">
        <v>1898302</v>
      </c>
      <c r="I94" s="643" t="str">
        <f t="shared" si="2"/>
        <v>1898302</v>
      </c>
      <c r="J94" s="643">
        <f t="shared" si="3"/>
        <v>0</v>
      </c>
    </row>
    <row r="95" spans="1:10" s="643" customFormat="1" ht="15.75" thickBot="1">
      <c r="A95" s="647" t="s">
        <v>492</v>
      </c>
      <c r="B95" s="648">
        <v>64171</v>
      </c>
      <c r="C95" s="648" t="s">
        <v>493</v>
      </c>
      <c r="D95" s="648" t="s">
        <v>497</v>
      </c>
      <c r="E95" s="643" t="s">
        <v>994</v>
      </c>
      <c r="F95" s="645">
        <v>161891.7376016874</v>
      </c>
      <c r="G95" s="643">
        <v>1898303</v>
      </c>
      <c r="I95" s="643" t="str">
        <f t="shared" si="2"/>
        <v>1898303</v>
      </c>
      <c r="J95" s="643">
        <f t="shared" si="3"/>
        <v>0</v>
      </c>
    </row>
    <row r="96" spans="1:10" s="643" customFormat="1" ht="15.75" thickBot="1">
      <c r="A96" s="647" t="s">
        <v>492</v>
      </c>
      <c r="B96" s="648">
        <v>64171</v>
      </c>
      <c r="C96" s="648" t="s">
        <v>493</v>
      </c>
      <c r="D96" s="648" t="s">
        <v>498</v>
      </c>
      <c r="E96" s="643" t="s">
        <v>994</v>
      </c>
      <c r="F96" s="645">
        <v>444512.89481077087</v>
      </c>
      <c r="G96" s="643">
        <v>1898304</v>
      </c>
      <c r="I96" s="643" t="str">
        <f t="shared" si="2"/>
        <v>1898304</v>
      </c>
      <c r="J96" s="643">
        <f t="shared" si="3"/>
        <v>0</v>
      </c>
    </row>
    <row r="97" spans="1:10" s="643" customFormat="1" ht="15.75" thickBot="1">
      <c r="A97" s="647" t="s">
        <v>492</v>
      </c>
      <c r="B97" s="648">
        <v>64171</v>
      </c>
      <c r="C97" s="648" t="s">
        <v>493</v>
      </c>
      <c r="D97" s="648" t="s">
        <v>499</v>
      </c>
      <c r="E97" s="643" t="s">
        <v>994</v>
      </c>
      <c r="F97" s="645">
        <v>4848.96182513654</v>
      </c>
      <c r="G97" s="643">
        <v>1898305</v>
      </c>
      <c r="I97" s="643" t="str">
        <f t="shared" si="2"/>
        <v>1898305</v>
      </c>
      <c r="J97" s="643">
        <f t="shared" si="3"/>
        <v>0</v>
      </c>
    </row>
    <row r="98" spans="1:10" s="643" customFormat="1" ht="15.75" thickBot="1">
      <c r="A98" s="647" t="s">
        <v>492</v>
      </c>
      <c r="B98" s="648">
        <v>64171</v>
      </c>
      <c r="C98" s="648" t="s">
        <v>493</v>
      </c>
      <c r="D98" s="648" t="s">
        <v>500</v>
      </c>
      <c r="E98" s="643" t="s">
        <v>994</v>
      </c>
      <c r="F98" s="645">
        <v>22018.859905291822</v>
      </c>
      <c r="G98" s="643">
        <v>1898306</v>
      </c>
      <c r="I98" s="643" t="str">
        <f t="shared" si="2"/>
        <v>1898306</v>
      </c>
      <c r="J98" s="643">
        <f t="shared" si="3"/>
        <v>0</v>
      </c>
    </row>
    <row r="99" spans="1:10" s="643" customFormat="1" ht="15.75" thickBot="1">
      <c r="A99" s="647" t="s">
        <v>492</v>
      </c>
      <c r="B99" s="648">
        <v>64171</v>
      </c>
      <c r="C99" s="648" t="s">
        <v>493</v>
      </c>
      <c r="D99" s="648" t="s">
        <v>501</v>
      </c>
      <c r="E99" s="643" t="s">
        <v>994</v>
      </c>
      <c r="F99" s="645">
        <v>925.87163569430368</v>
      </c>
      <c r="G99" s="643">
        <v>1898307</v>
      </c>
      <c r="I99" s="643" t="str">
        <f t="shared" si="2"/>
        <v>1898307</v>
      </c>
      <c r="J99" s="643">
        <f t="shared" si="3"/>
        <v>0</v>
      </c>
    </row>
    <row r="100" spans="1:10" s="643" customFormat="1" ht="15.75" thickBot="1">
      <c r="A100" s="647" t="s">
        <v>492</v>
      </c>
      <c r="B100" s="648">
        <v>64171</v>
      </c>
      <c r="C100" s="648" t="s">
        <v>493</v>
      </c>
      <c r="D100" s="648" t="s">
        <v>502</v>
      </c>
      <c r="E100" s="643" t="s">
        <v>994</v>
      </c>
      <c r="F100" s="645">
        <v>350.08552109141033</v>
      </c>
      <c r="G100" s="643">
        <v>1898308</v>
      </c>
      <c r="I100" s="643" t="str">
        <f t="shared" si="2"/>
        <v>1898308</v>
      </c>
      <c r="J100" s="643">
        <f t="shared" si="3"/>
        <v>0</v>
      </c>
    </row>
    <row r="101" spans="1:10" s="643" customFormat="1" ht="15.75" thickBot="1">
      <c r="A101" s="647" t="s">
        <v>492</v>
      </c>
      <c r="B101" s="648">
        <v>64171</v>
      </c>
      <c r="C101" s="648" t="s">
        <v>493</v>
      </c>
      <c r="D101" s="648" t="s">
        <v>503</v>
      </c>
      <c r="E101" s="643" t="s">
        <v>994</v>
      </c>
      <c r="F101" s="645">
        <v>218229.40922009139</v>
      </c>
      <c r="G101" s="643">
        <v>1898309</v>
      </c>
      <c r="I101" s="643" t="str">
        <f t="shared" si="2"/>
        <v>1898309</v>
      </c>
      <c r="J101" s="643">
        <f t="shared" si="3"/>
        <v>0</v>
      </c>
    </row>
    <row r="102" spans="1:10" s="643" customFormat="1" ht="15.75" thickBot="1">
      <c r="A102" s="647" t="s">
        <v>492</v>
      </c>
      <c r="B102" s="648">
        <v>64171</v>
      </c>
      <c r="C102" s="648" t="s">
        <v>493</v>
      </c>
      <c r="D102" s="648" t="s">
        <v>494</v>
      </c>
      <c r="E102" s="643" t="s">
        <v>991</v>
      </c>
      <c r="F102" s="645">
        <v>388856.59019680135</v>
      </c>
      <c r="G102" s="643">
        <v>1898301</v>
      </c>
      <c r="I102" s="643" t="str">
        <f t="shared" si="2"/>
        <v>1898301</v>
      </c>
      <c r="J102" s="643">
        <f t="shared" si="3"/>
        <v>0</v>
      </c>
    </row>
    <row r="103" spans="1:10" s="643" customFormat="1" ht="15.75" thickBot="1">
      <c r="A103" s="647" t="s">
        <v>492</v>
      </c>
      <c r="B103" s="648">
        <v>64171</v>
      </c>
      <c r="C103" s="648" t="s">
        <v>493</v>
      </c>
      <c r="D103" s="648" t="s">
        <v>496</v>
      </c>
      <c r="E103" s="643" t="s">
        <v>991</v>
      </c>
      <c r="F103" s="645">
        <v>203149.30615939625</v>
      </c>
      <c r="G103" s="643">
        <v>1898302</v>
      </c>
      <c r="I103" s="643" t="str">
        <f t="shared" si="2"/>
        <v>1898302</v>
      </c>
      <c r="J103" s="643">
        <f t="shared" si="3"/>
        <v>0</v>
      </c>
    </row>
    <row r="104" spans="1:10" s="643" customFormat="1" ht="15.75" thickBot="1">
      <c r="A104" s="647" t="s">
        <v>492</v>
      </c>
      <c r="B104" s="648">
        <v>64171</v>
      </c>
      <c r="C104" s="648" t="s">
        <v>493</v>
      </c>
      <c r="D104" s="648" t="s">
        <v>497</v>
      </c>
      <c r="E104" s="643" t="s">
        <v>991</v>
      </c>
      <c r="F104" s="645">
        <v>611441.59054339631</v>
      </c>
      <c r="G104" s="643">
        <v>1898303</v>
      </c>
      <c r="I104" s="643" t="str">
        <f t="shared" si="2"/>
        <v>1898303</v>
      </c>
      <c r="J104" s="643">
        <f t="shared" si="3"/>
        <v>0</v>
      </c>
    </row>
    <row r="105" spans="1:10" s="643" customFormat="1" ht="15.75" thickBot="1">
      <c r="A105" s="647" t="s">
        <v>492</v>
      </c>
      <c r="B105" s="648">
        <v>64171</v>
      </c>
      <c r="C105" s="648" t="s">
        <v>493</v>
      </c>
      <c r="D105" s="648" t="s">
        <v>498</v>
      </c>
      <c r="E105" s="643" t="s">
        <v>991</v>
      </c>
      <c r="F105" s="645">
        <v>76870.18066062835</v>
      </c>
      <c r="G105" s="643">
        <v>1898304</v>
      </c>
      <c r="I105" s="643" t="str">
        <f t="shared" si="2"/>
        <v>1898304</v>
      </c>
      <c r="J105" s="643">
        <f t="shared" si="3"/>
        <v>0</v>
      </c>
    </row>
    <row r="106" spans="1:10" s="643" customFormat="1" ht="15.75" thickBot="1">
      <c r="A106" s="647" t="s">
        <v>492</v>
      </c>
      <c r="B106" s="648">
        <v>64171</v>
      </c>
      <c r="C106" s="648" t="s">
        <v>493</v>
      </c>
      <c r="D106" s="648" t="s">
        <v>499</v>
      </c>
      <c r="E106" s="643" t="s">
        <v>991</v>
      </c>
      <c r="F106" s="645">
        <v>160675.1891338744</v>
      </c>
      <c r="G106" s="643">
        <v>1898305</v>
      </c>
      <c r="I106" s="643" t="str">
        <f t="shared" si="2"/>
        <v>1898305</v>
      </c>
      <c r="J106" s="643">
        <f t="shared" si="3"/>
        <v>0</v>
      </c>
    </row>
    <row r="107" spans="1:10" s="643" customFormat="1" ht="15.75" thickBot="1">
      <c r="A107" s="647" t="s">
        <v>492</v>
      </c>
      <c r="B107" s="648">
        <v>64171</v>
      </c>
      <c r="C107" s="648" t="s">
        <v>493</v>
      </c>
      <c r="D107" s="648" t="s">
        <v>500</v>
      </c>
      <c r="E107" s="643" t="s">
        <v>991</v>
      </c>
      <c r="F107" s="645">
        <v>211499.38882449298</v>
      </c>
      <c r="G107" s="643">
        <v>1898306</v>
      </c>
      <c r="I107" s="643" t="str">
        <f t="shared" si="2"/>
        <v>1898306</v>
      </c>
      <c r="J107" s="643">
        <f t="shared" si="3"/>
        <v>0</v>
      </c>
    </row>
    <row r="108" spans="1:10" s="643" customFormat="1" ht="15.75" thickBot="1">
      <c r="A108" s="647" t="s">
        <v>492</v>
      </c>
      <c r="B108" s="648">
        <v>64171</v>
      </c>
      <c r="C108" s="648" t="s">
        <v>493</v>
      </c>
      <c r="D108" s="648" t="s">
        <v>501</v>
      </c>
      <c r="E108" s="643" t="s">
        <v>991</v>
      </c>
      <c r="F108" s="645">
        <v>79932.172601090191</v>
      </c>
      <c r="G108" s="643">
        <v>1898307</v>
      </c>
      <c r="I108" s="643" t="str">
        <f t="shared" si="2"/>
        <v>1898307</v>
      </c>
      <c r="J108" s="643">
        <f t="shared" si="3"/>
        <v>0</v>
      </c>
    </row>
    <row r="109" spans="1:10" s="643" customFormat="1" ht="15.75" thickBot="1">
      <c r="A109" s="647" t="s">
        <v>492</v>
      </c>
      <c r="B109" s="648">
        <v>64171</v>
      </c>
      <c r="C109" s="648" t="s">
        <v>493</v>
      </c>
      <c r="D109" s="648" t="s">
        <v>502</v>
      </c>
      <c r="E109" s="643" t="s">
        <v>991</v>
      </c>
      <c r="F109" s="645">
        <v>84521.175821945726</v>
      </c>
      <c r="G109" s="643">
        <v>1898308</v>
      </c>
      <c r="I109" s="643" t="str">
        <f t="shared" si="2"/>
        <v>1898308</v>
      </c>
      <c r="J109" s="643">
        <f t="shared" si="3"/>
        <v>0</v>
      </c>
    </row>
    <row r="110" spans="1:10" s="643" customFormat="1" ht="15.75" thickBot="1">
      <c r="A110" s="647" t="s">
        <v>492</v>
      </c>
      <c r="B110" s="648">
        <v>64171</v>
      </c>
      <c r="C110" s="648" t="s">
        <v>493</v>
      </c>
      <c r="D110" s="648" t="s">
        <v>503</v>
      </c>
      <c r="E110" s="643" t="s">
        <v>991</v>
      </c>
      <c r="F110" s="645">
        <v>203884.30993035744</v>
      </c>
      <c r="G110" s="643">
        <v>1898309</v>
      </c>
      <c r="I110" s="643" t="str">
        <f t="shared" si="2"/>
        <v>1898309</v>
      </c>
      <c r="J110" s="643">
        <f t="shared" si="3"/>
        <v>0</v>
      </c>
    </row>
    <row r="111" spans="1:10" s="643" customFormat="1" ht="15.75" thickBot="1">
      <c r="A111" s="647" t="s">
        <v>492</v>
      </c>
      <c r="B111" s="648">
        <v>64171</v>
      </c>
      <c r="C111" s="648" t="s">
        <v>493</v>
      </c>
      <c r="D111" s="648" t="s">
        <v>504</v>
      </c>
      <c r="E111" s="643" t="s">
        <v>991</v>
      </c>
      <c r="F111" s="645">
        <v>1009980.8115813431</v>
      </c>
      <c r="G111" s="643">
        <v>1898310</v>
      </c>
      <c r="I111" s="643" t="str">
        <f t="shared" si="2"/>
        <v>1898310</v>
      </c>
      <c r="J111" s="643">
        <f t="shared" si="3"/>
        <v>0</v>
      </c>
    </row>
    <row r="112" spans="1:10" s="643" customFormat="1" ht="17.25" thickBot="1">
      <c r="A112" s="647" t="s">
        <v>492</v>
      </c>
      <c r="B112" s="648">
        <v>64171</v>
      </c>
      <c r="C112" s="648" t="s">
        <v>493</v>
      </c>
      <c r="D112" s="648" t="s">
        <v>494</v>
      </c>
      <c r="E112" s="651" t="s">
        <v>506</v>
      </c>
      <c r="F112" s="645">
        <v>783626.30054615007</v>
      </c>
      <c r="G112" s="643">
        <v>1898301</v>
      </c>
      <c r="I112" s="643" t="str">
        <f t="shared" si="2"/>
        <v>1898301</v>
      </c>
      <c r="J112" s="643">
        <f t="shared" si="3"/>
        <v>0</v>
      </c>
    </row>
    <row r="113" spans="1:10" s="643" customFormat="1" ht="17.25" thickBot="1">
      <c r="A113" s="647" t="s">
        <v>492</v>
      </c>
      <c r="B113" s="648">
        <v>64171</v>
      </c>
      <c r="C113" s="648" t="s">
        <v>493</v>
      </c>
      <c r="D113" s="648" t="s">
        <v>496</v>
      </c>
      <c r="E113" s="651" t="s">
        <v>506</v>
      </c>
      <c r="F113" s="645">
        <v>287254.06659387192</v>
      </c>
      <c r="G113" s="643">
        <v>1898302</v>
      </c>
      <c r="I113" s="643" t="str">
        <f t="shared" si="2"/>
        <v>1898302</v>
      </c>
      <c r="J113" s="643">
        <f t="shared" si="3"/>
        <v>0</v>
      </c>
    </row>
    <row r="114" spans="1:10" s="643" customFormat="1" ht="17.25" thickBot="1">
      <c r="A114" s="647" t="s">
        <v>492</v>
      </c>
      <c r="B114" s="648">
        <v>64171</v>
      </c>
      <c r="C114" s="648" t="s">
        <v>493</v>
      </c>
      <c r="D114" s="648" t="s">
        <v>497</v>
      </c>
      <c r="E114" s="651" t="s">
        <v>506</v>
      </c>
      <c r="F114" s="645">
        <v>2220149.0195658249</v>
      </c>
      <c r="G114" s="643">
        <v>1898303</v>
      </c>
      <c r="I114" s="643" t="str">
        <f t="shared" si="2"/>
        <v>1898303</v>
      </c>
      <c r="J114" s="643">
        <f t="shared" si="3"/>
        <v>0</v>
      </c>
    </row>
    <row r="115" spans="1:10" s="643" customFormat="1" ht="17.25" thickBot="1">
      <c r="A115" s="647" t="s">
        <v>492</v>
      </c>
      <c r="B115" s="648">
        <v>64171</v>
      </c>
      <c r="C115" s="648" t="s">
        <v>493</v>
      </c>
      <c r="D115" s="648" t="s">
        <v>498</v>
      </c>
      <c r="E115" s="651" t="s">
        <v>506</v>
      </c>
      <c r="F115" s="645">
        <v>130784.60867517458</v>
      </c>
      <c r="G115" s="643">
        <v>1898304</v>
      </c>
      <c r="I115" s="643" t="str">
        <f t="shared" si="2"/>
        <v>1898304</v>
      </c>
      <c r="J115" s="643">
        <f t="shared" si="3"/>
        <v>0</v>
      </c>
    </row>
    <row r="116" spans="1:10" s="643" customFormat="1" ht="17.25" thickBot="1">
      <c r="A116" s="647" t="s">
        <v>492</v>
      </c>
      <c r="B116" s="648">
        <v>64171</v>
      </c>
      <c r="C116" s="648" t="s">
        <v>493</v>
      </c>
      <c r="D116" s="648" t="s">
        <v>499</v>
      </c>
      <c r="E116" s="651" t="s">
        <v>506</v>
      </c>
      <c r="F116" s="645">
        <v>293245.34606304462</v>
      </c>
      <c r="G116" s="643">
        <v>1898305</v>
      </c>
      <c r="I116" s="643" t="str">
        <f t="shared" si="2"/>
        <v>1898305</v>
      </c>
      <c r="J116" s="643">
        <f t="shared" si="3"/>
        <v>0</v>
      </c>
    </row>
    <row r="117" spans="1:10" s="643" customFormat="1" ht="17.25" thickBot="1">
      <c r="A117" s="647" t="s">
        <v>492</v>
      </c>
      <c r="B117" s="648">
        <v>64171</v>
      </c>
      <c r="C117" s="648" t="s">
        <v>493</v>
      </c>
      <c r="D117" s="648" t="s">
        <v>500</v>
      </c>
      <c r="E117" s="651" t="s">
        <v>506</v>
      </c>
      <c r="F117" s="645">
        <v>307620.42529959907</v>
      </c>
      <c r="G117" s="643">
        <v>1898306</v>
      </c>
      <c r="I117" s="643" t="str">
        <f t="shared" si="2"/>
        <v>1898306</v>
      </c>
      <c r="J117" s="643">
        <f t="shared" si="3"/>
        <v>0</v>
      </c>
    </row>
    <row r="118" spans="1:10" s="643" customFormat="1" ht="17.25" thickBot="1">
      <c r="A118" s="647" t="s">
        <v>492</v>
      </c>
      <c r="B118" s="648">
        <v>64171</v>
      </c>
      <c r="C118" s="648" t="s">
        <v>493</v>
      </c>
      <c r="D118" s="648" t="s">
        <v>501</v>
      </c>
      <c r="E118" s="651" t="s">
        <v>506</v>
      </c>
      <c r="F118" s="645">
        <v>161605.877894467</v>
      </c>
      <c r="G118" s="643">
        <v>1898307</v>
      </c>
      <c r="I118" s="643" t="str">
        <f t="shared" si="2"/>
        <v>1898307</v>
      </c>
      <c r="J118" s="643">
        <f t="shared" si="3"/>
        <v>0</v>
      </c>
    </row>
    <row r="119" spans="1:10" s="643" customFormat="1" ht="17.25" thickBot="1">
      <c r="A119" s="647" t="s">
        <v>492</v>
      </c>
      <c r="B119" s="648">
        <v>64171</v>
      </c>
      <c r="C119" s="648" t="s">
        <v>493</v>
      </c>
      <c r="D119" s="648" t="s">
        <v>502</v>
      </c>
      <c r="E119" s="651" t="s">
        <v>506</v>
      </c>
      <c r="F119" s="645">
        <v>265053.19428647833</v>
      </c>
      <c r="G119" s="643">
        <v>1898308</v>
      </c>
      <c r="I119" s="643" t="str">
        <f t="shared" si="2"/>
        <v>1898308</v>
      </c>
      <c r="J119" s="643">
        <f t="shared" si="3"/>
        <v>0</v>
      </c>
    </row>
    <row r="120" spans="1:10" s="643" customFormat="1" ht="17.25" thickBot="1">
      <c r="A120" s="647" t="s">
        <v>492</v>
      </c>
      <c r="B120" s="648">
        <v>64171</v>
      </c>
      <c r="C120" s="648" t="s">
        <v>493</v>
      </c>
      <c r="D120" s="648" t="s">
        <v>503</v>
      </c>
      <c r="E120" s="651" t="s">
        <v>506</v>
      </c>
      <c r="F120" s="645">
        <v>514626.32058329246</v>
      </c>
      <c r="G120" s="643">
        <v>1898309</v>
      </c>
      <c r="I120" s="643" t="str">
        <f t="shared" si="2"/>
        <v>1898309</v>
      </c>
      <c r="J120" s="643">
        <f t="shared" si="3"/>
        <v>0</v>
      </c>
    </row>
    <row r="121" spans="1:10" s="643" customFormat="1" ht="17.25" thickBot="1">
      <c r="A121" s="647" t="s">
        <v>492</v>
      </c>
      <c r="B121" s="648">
        <v>64171</v>
      </c>
      <c r="C121" s="648" t="s">
        <v>493</v>
      </c>
      <c r="D121" s="648" t="s">
        <v>504</v>
      </c>
      <c r="E121" s="651" t="s">
        <v>506</v>
      </c>
      <c r="F121" s="645">
        <v>808945.4246340536</v>
      </c>
      <c r="G121" s="643">
        <v>1898310</v>
      </c>
      <c r="I121" s="643" t="str">
        <f t="shared" si="2"/>
        <v>1898310</v>
      </c>
      <c r="J121" s="643">
        <f t="shared" si="3"/>
        <v>0</v>
      </c>
    </row>
    <row r="122" spans="1:10" s="643" customFormat="1" ht="16.5" thickBot="1">
      <c r="A122" s="647" t="s">
        <v>492</v>
      </c>
      <c r="B122" s="648">
        <v>64171</v>
      </c>
      <c r="C122" s="648" t="s">
        <v>493</v>
      </c>
      <c r="D122" s="648" t="s">
        <v>494</v>
      </c>
      <c r="E122" s="652" t="s">
        <v>507</v>
      </c>
      <c r="F122" s="645">
        <v>51711.88604772056</v>
      </c>
      <c r="G122" s="643">
        <v>1898301</v>
      </c>
      <c r="I122" s="643" t="str">
        <f t="shared" si="2"/>
        <v>1898301</v>
      </c>
      <c r="J122" s="643">
        <f t="shared" si="3"/>
        <v>0</v>
      </c>
    </row>
    <row r="123" spans="1:10" s="643" customFormat="1" ht="16.5" thickBot="1">
      <c r="A123" s="647" t="s">
        <v>492</v>
      </c>
      <c r="B123" s="648">
        <v>64171</v>
      </c>
      <c r="C123" s="648" t="s">
        <v>493</v>
      </c>
      <c r="D123" s="648" t="s">
        <v>496</v>
      </c>
      <c r="E123" s="652" t="s">
        <v>507</v>
      </c>
      <c r="F123" s="645">
        <v>27685.153950185097</v>
      </c>
      <c r="G123" s="643">
        <v>1898302</v>
      </c>
      <c r="I123" s="643" t="str">
        <f t="shared" si="2"/>
        <v>1898302</v>
      </c>
      <c r="J123" s="643">
        <f t="shared" si="3"/>
        <v>0</v>
      </c>
    </row>
    <row r="124" spans="1:10" s="643" customFormat="1" ht="16.5" thickBot="1">
      <c r="A124" s="647" t="s">
        <v>492</v>
      </c>
      <c r="B124" s="648">
        <v>64171</v>
      </c>
      <c r="C124" s="648" t="s">
        <v>493</v>
      </c>
      <c r="D124" s="648" t="s">
        <v>497</v>
      </c>
      <c r="E124" s="652" t="s">
        <v>507</v>
      </c>
      <c r="F124" s="645">
        <v>65925.968516201901</v>
      </c>
      <c r="G124" s="643">
        <v>1898303</v>
      </c>
      <c r="I124" s="643" t="str">
        <f t="shared" si="2"/>
        <v>1898303</v>
      </c>
      <c r="J124" s="643">
        <f t="shared" si="3"/>
        <v>0</v>
      </c>
    </row>
    <row r="125" spans="1:10" s="643" customFormat="1" ht="16.5" thickBot="1">
      <c r="A125" s="647" t="s">
        <v>492</v>
      </c>
      <c r="B125" s="648">
        <v>64171</v>
      </c>
      <c r="C125" s="648" t="s">
        <v>493</v>
      </c>
      <c r="D125" s="648" t="s">
        <v>498</v>
      </c>
      <c r="E125" s="652" t="s">
        <v>507</v>
      </c>
      <c r="F125" s="645">
        <v>3348.0383591045238</v>
      </c>
      <c r="G125" s="643">
        <v>1898304</v>
      </c>
      <c r="I125" s="643" t="str">
        <f t="shared" si="2"/>
        <v>1898304</v>
      </c>
      <c r="J125" s="643">
        <f t="shared" si="3"/>
        <v>0</v>
      </c>
    </row>
    <row r="126" spans="1:10" s="643" customFormat="1" ht="16.5" thickBot="1">
      <c r="A126" s="647" t="s">
        <v>492</v>
      </c>
      <c r="B126" s="648">
        <v>64171</v>
      </c>
      <c r="C126" s="648" t="s">
        <v>493</v>
      </c>
      <c r="D126" s="648" t="s">
        <v>499</v>
      </c>
      <c r="E126" s="652" t="s">
        <v>507</v>
      </c>
      <c r="F126" s="645">
        <v>7153.7075620763735</v>
      </c>
      <c r="G126" s="643">
        <v>1898305</v>
      </c>
      <c r="I126" s="643" t="str">
        <f t="shared" si="2"/>
        <v>1898305</v>
      </c>
      <c r="J126" s="643">
        <f t="shared" si="3"/>
        <v>0</v>
      </c>
    </row>
    <row r="127" spans="1:10" s="643" customFormat="1" ht="16.5" thickBot="1">
      <c r="A127" s="647" t="s">
        <v>492</v>
      </c>
      <c r="B127" s="648">
        <v>64171</v>
      </c>
      <c r="C127" s="648" t="s">
        <v>493</v>
      </c>
      <c r="D127" s="648" t="s">
        <v>500</v>
      </c>
      <c r="E127" s="652" t="s">
        <v>507</v>
      </c>
      <c r="F127" s="645">
        <v>8684.8769319349358</v>
      </c>
      <c r="G127" s="643">
        <v>1898306</v>
      </c>
      <c r="I127" s="643" t="str">
        <f t="shared" si="2"/>
        <v>1898306</v>
      </c>
      <c r="J127" s="643">
        <f t="shared" si="3"/>
        <v>0</v>
      </c>
    </row>
    <row r="128" spans="1:10" s="643" customFormat="1" ht="16.5" thickBot="1">
      <c r="A128" s="647" t="s">
        <v>492</v>
      </c>
      <c r="B128" s="648">
        <v>64171</v>
      </c>
      <c r="C128" s="648" t="s">
        <v>493</v>
      </c>
      <c r="D128" s="648" t="s">
        <v>501</v>
      </c>
      <c r="E128" s="652" t="s">
        <v>507</v>
      </c>
      <c r="F128" s="645">
        <v>23613.802839700242</v>
      </c>
      <c r="G128" s="643">
        <v>1898307</v>
      </c>
      <c r="I128" s="643" t="str">
        <f t="shared" si="2"/>
        <v>1898307</v>
      </c>
      <c r="J128" s="643">
        <f t="shared" si="3"/>
        <v>0</v>
      </c>
    </row>
    <row r="129" spans="1:10" s="643" customFormat="1" ht="16.5" thickBot="1">
      <c r="A129" s="647" t="s">
        <v>492</v>
      </c>
      <c r="B129" s="648">
        <v>64171</v>
      </c>
      <c r="C129" s="648" t="s">
        <v>493</v>
      </c>
      <c r="D129" s="648" t="s">
        <v>502</v>
      </c>
      <c r="E129" s="652" t="s">
        <v>507</v>
      </c>
      <c r="F129" s="645">
        <v>9405.6196611176292</v>
      </c>
      <c r="G129" s="643">
        <v>1898308</v>
      </c>
      <c r="I129" s="643" t="str">
        <f t="shared" si="2"/>
        <v>1898308</v>
      </c>
      <c r="J129" s="643">
        <f t="shared" si="3"/>
        <v>0</v>
      </c>
    </row>
    <row r="130" spans="1:10" s="643" customFormat="1" ht="16.5" thickBot="1">
      <c r="A130" s="647" t="s">
        <v>492</v>
      </c>
      <c r="B130" s="648">
        <v>64171</v>
      </c>
      <c r="C130" s="648" t="s">
        <v>493</v>
      </c>
      <c r="D130" s="648" t="s">
        <v>503</v>
      </c>
      <c r="E130" s="652" t="s">
        <v>507</v>
      </c>
      <c r="F130" s="645">
        <v>18905.387664080194</v>
      </c>
      <c r="G130" s="643">
        <v>1898309</v>
      </c>
      <c r="I130" s="643" t="str">
        <f t="shared" si="2"/>
        <v>1898309</v>
      </c>
      <c r="J130" s="643">
        <f t="shared" si="3"/>
        <v>0</v>
      </c>
    </row>
    <row r="131" spans="1:10" s="643" customFormat="1" ht="16.5" thickBot="1">
      <c r="A131" s="647" t="s">
        <v>492</v>
      </c>
      <c r="B131" s="648">
        <v>64171</v>
      </c>
      <c r="C131" s="648" t="s">
        <v>493</v>
      </c>
      <c r="D131" s="648" t="s">
        <v>504</v>
      </c>
      <c r="E131" s="652" t="s">
        <v>507</v>
      </c>
      <c r="F131" s="645">
        <v>214518.47779611973</v>
      </c>
      <c r="G131" s="643">
        <v>1898310</v>
      </c>
      <c r="I131" s="643" t="str">
        <f t="shared" si="2"/>
        <v>1898310</v>
      </c>
      <c r="J131" s="643">
        <f t="shared" si="3"/>
        <v>0</v>
      </c>
    </row>
    <row r="132" spans="1:10" s="643" customFormat="1" ht="15.75" thickBot="1">
      <c r="A132" s="647" t="s">
        <v>492</v>
      </c>
      <c r="B132" s="648">
        <v>64171</v>
      </c>
      <c r="C132" s="648" t="s">
        <v>493</v>
      </c>
      <c r="D132" s="648" t="s">
        <v>494</v>
      </c>
      <c r="E132" s="643" t="s">
        <v>992</v>
      </c>
      <c r="F132" s="645">
        <v>221107.62512350586</v>
      </c>
      <c r="G132" s="643">
        <v>1898301</v>
      </c>
      <c r="I132" s="643" t="str">
        <f t="shared" ref="I132:I180" si="4">RIGHT(D132,7)</f>
        <v>1898301</v>
      </c>
      <c r="J132" s="643">
        <f t="shared" ref="J132:J180" si="5">I132-G132</f>
        <v>0</v>
      </c>
    </row>
    <row r="133" spans="1:10" s="643" customFormat="1" ht="15.75" thickBot="1">
      <c r="A133" s="647" t="s">
        <v>492</v>
      </c>
      <c r="B133" s="648">
        <v>64171</v>
      </c>
      <c r="C133" s="648" t="s">
        <v>493</v>
      </c>
      <c r="D133" s="648" t="s">
        <v>496</v>
      </c>
      <c r="E133" s="643" t="s">
        <v>992</v>
      </c>
      <c r="F133" s="645">
        <v>196.1309272437191</v>
      </c>
      <c r="G133" s="643">
        <v>1898302</v>
      </c>
      <c r="I133" s="643" t="str">
        <f t="shared" si="4"/>
        <v>1898302</v>
      </c>
      <c r="J133" s="643">
        <f t="shared" si="5"/>
        <v>0</v>
      </c>
    </row>
    <row r="134" spans="1:10" s="643" customFormat="1" ht="15.75" thickBot="1">
      <c r="A134" s="647" t="s">
        <v>492</v>
      </c>
      <c r="B134" s="648">
        <v>64171</v>
      </c>
      <c r="C134" s="648" t="s">
        <v>493</v>
      </c>
      <c r="D134" s="648" t="s">
        <v>497</v>
      </c>
      <c r="E134" s="643" t="s">
        <v>992</v>
      </c>
      <c r="F134" s="645">
        <v>10205.583016711265</v>
      </c>
      <c r="G134" s="643">
        <v>1898303</v>
      </c>
      <c r="I134" s="643" t="str">
        <f t="shared" si="4"/>
        <v>1898303</v>
      </c>
      <c r="J134" s="643">
        <f t="shared" si="5"/>
        <v>0</v>
      </c>
    </row>
    <row r="135" spans="1:10" s="643" customFormat="1" ht="15.75" thickBot="1">
      <c r="A135" s="647" t="s">
        <v>492</v>
      </c>
      <c r="B135" s="648">
        <v>64171</v>
      </c>
      <c r="C135" s="648" t="s">
        <v>493</v>
      </c>
      <c r="D135" s="648" t="s">
        <v>498</v>
      </c>
      <c r="E135" s="643" t="s">
        <v>992</v>
      </c>
      <c r="F135" s="645">
        <v>522770.42018600658</v>
      </c>
      <c r="G135" s="643">
        <v>1898304</v>
      </c>
      <c r="I135" s="643" t="str">
        <f t="shared" si="4"/>
        <v>1898304</v>
      </c>
      <c r="J135" s="643">
        <f t="shared" si="5"/>
        <v>0</v>
      </c>
    </row>
    <row r="136" spans="1:10" s="643" customFormat="1" ht="15.75" thickBot="1">
      <c r="A136" s="647" t="s">
        <v>492</v>
      </c>
      <c r="B136" s="648">
        <v>64171</v>
      </c>
      <c r="C136" s="648" t="s">
        <v>493</v>
      </c>
      <c r="D136" s="648" t="s">
        <v>499</v>
      </c>
      <c r="E136" s="643" t="s">
        <v>992</v>
      </c>
      <c r="F136" s="645">
        <v>2260.4483973120227</v>
      </c>
      <c r="G136" s="643">
        <v>1898305</v>
      </c>
      <c r="I136" s="643" t="str">
        <f t="shared" si="4"/>
        <v>1898305</v>
      </c>
      <c r="J136" s="643">
        <f t="shared" si="5"/>
        <v>0</v>
      </c>
    </row>
    <row r="137" spans="1:10" s="643" customFormat="1" ht="15.75" thickBot="1">
      <c r="A137" s="647" t="s">
        <v>492</v>
      </c>
      <c r="B137" s="648">
        <v>64171</v>
      </c>
      <c r="C137" s="648" t="s">
        <v>493</v>
      </c>
      <c r="D137" s="648" t="s">
        <v>500</v>
      </c>
      <c r="E137" s="643" t="s">
        <v>992</v>
      </c>
      <c r="F137" s="645">
        <v>45751.438010744481</v>
      </c>
      <c r="G137" s="643">
        <v>1898306</v>
      </c>
      <c r="I137" s="643" t="str">
        <f t="shared" si="4"/>
        <v>1898306</v>
      </c>
      <c r="J137" s="643">
        <f t="shared" si="5"/>
        <v>0</v>
      </c>
    </row>
    <row r="138" spans="1:10" s="643" customFormat="1" ht="15.75" thickBot="1">
      <c r="A138" s="647" t="s">
        <v>492</v>
      </c>
      <c r="B138" s="648">
        <v>64171</v>
      </c>
      <c r="C138" s="648" t="s">
        <v>493</v>
      </c>
      <c r="D138" s="648" t="s">
        <v>501</v>
      </c>
      <c r="E138" s="643" t="s">
        <v>992</v>
      </c>
      <c r="F138" s="645">
        <v>69.440025476945394</v>
      </c>
      <c r="G138" s="643">
        <v>1898307</v>
      </c>
      <c r="I138" s="643" t="str">
        <f t="shared" si="4"/>
        <v>1898307</v>
      </c>
      <c r="J138" s="643">
        <f t="shared" si="5"/>
        <v>0</v>
      </c>
    </row>
    <row r="139" spans="1:10" s="643" customFormat="1" ht="15.75" thickBot="1">
      <c r="A139" s="647" t="s">
        <v>492</v>
      </c>
      <c r="B139" s="648">
        <v>64171</v>
      </c>
      <c r="C139" s="648" t="s">
        <v>493</v>
      </c>
      <c r="D139" s="648" t="s">
        <v>502</v>
      </c>
      <c r="E139" s="643" t="s">
        <v>992</v>
      </c>
      <c r="F139" s="645">
        <v>627.23749461386933</v>
      </c>
      <c r="G139" s="643">
        <v>1898308</v>
      </c>
      <c r="I139" s="643" t="str">
        <f t="shared" si="4"/>
        <v>1898308</v>
      </c>
      <c r="J139" s="643">
        <f t="shared" si="5"/>
        <v>0</v>
      </c>
    </row>
    <row r="140" spans="1:10" s="643" customFormat="1" ht="15.75" thickBot="1">
      <c r="A140" s="647" t="s">
        <v>492</v>
      </c>
      <c r="B140" s="648">
        <v>64171</v>
      </c>
      <c r="C140" s="648" t="s">
        <v>493</v>
      </c>
      <c r="D140" s="648" t="s">
        <v>503</v>
      </c>
      <c r="E140" s="643" t="s">
        <v>992</v>
      </c>
      <c r="F140" s="645">
        <v>5716.7517433973162</v>
      </c>
      <c r="G140" s="643">
        <v>1898309</v>
      </c>
      <c r="I140" s="643" t="str">
        <f t="shared" si="4"/>
        <v>1898309</v>
      </c>
      <c r="J140" s="643">
        <f t="shared" si="5"/>
        <v>0</v>
      </c>
    </row>
    <row r="141" spans="1:10" s="643" customFormat="1" ht="15.75" thickBot="1">
      <c r="A141" s="647" t="s">
        <v>492</v>
      </c>
      <c r="B141" s="648">
        <v>64171</v>
      </c>
      <c r="C141" s="648" t="s">
        <v>493</v>
      </c>
      <c r="D141" s="648" t="s">
        <v>504</v>
      </c>
      <c r="E141" s="643" t="s">
        <v>992</v>
      </c>
      <c r="F141" s="645">
        <v>1043674.6658532161</v>
      </c>
      <c r="G141" s="643">
        <v>1898310</v>
      </c>
      <c r="I141" s="643" t="str">
        <f t="shared" si="4"/>
        <v>1898310</v>
      </c>
      <c r="J141" s="643">
        <f t="shared" si="5"/>
        <v>0</v>
      </c>
    </row>
    <row r="142" spans="1:10" ht="15.75" thickBot="1">
      <c r="A142" s="566" t="s">
        <v>492</v>
      </c>
      <c r="B142" s="567">
        <v>64171</v>
      </c>
      <c r="C142" s="568" t="s">
        <v>493</v>
      </c>
      <c r="D142" s="567" t="s">
        <v>494</v>
      </c>
      <c r="E142" s="342" t="s">
        <v>976</v>
      </c>
      <c r="F142" s="74">
        <v>151869</v>
      </c>
      <c r="G142" s="342">
        <v>1898301</v>
      </c>
      <c r="H142" s="342"/>
      <c r="I142" t="str">
        <f t="shared" si="4"/>
        <v>1898301</v>
      </c>
      <c r="J142">
        <f t="shared" si="5"/>
        <v>0</v>
      </c>
    </row>
    <row r="143" spans="1:10" ht="15.75" thickBot="1">
      <c r="A143" s="566" t="s">
        <v>492</v>
      </c>
      <c r="B143" s="567">
        <v>64171</v>
      </c>
      <c r="C143" s="567" t="s">
        <v>493</v>
      </c>
      <c r="D143" s="568" t="s">
        <v>496</v>
      </c>
      <c r="E143" s="342" t="s">
        <v>976</v>
      </c>
      <c r="F143" s="74">
        <v>27697184.01867187</v>
      </c>
      <c r="G143" s="342">
        <v>1898302</v>
      </c>
      <c r="H143" s="342"/>
      <c r="I143" t="str">
        <f t="shared" si="4"/>
        <v>1898302</v>
      </c>
      <c r="J143">
        <f t="shared" si="5"/>
        <v>0</v>
      </c>
    </row>
    <row r="144" spans="1:10" ht="15.75" thickBot="1">
      <c r="A144" s="566" t="s">
        <v>492</v>
      </c>
      <c r="B144" s="567">
        <v>64171</v>
      </c>
      <c r="C144" s="568" t="s">
        <v>493</v>
      </c>
      <c r="D144" s="567" t="s">
        <v>497</v>
      </c>
      <c r="E144" s="342" t="s">
        <v>976</v>
      </c>
      <c r="F144" s="74">
        <v>17099167.611048967</v>
      </c>
      <c r="G144" s="342">
        <v>1898303</v>
      </c>
      <c r="H144" s="342"/>
      <c r="I144" t="str">
        <f t="shared" si="4"/>
        <v>1898303</v>
      </c>
      <c r="J144">
        <f t="shared" si="5"/>
        <v>0</v>
      </c>
    </row>
    <row r="145" spans="1:10" ht="15.75" thickBot="1">
      <c r="A145" s="566" t="s">
        <v>492</v>
      </c>
      <c r="B145" s="567">
        <v>64171</v>
      </c>
      <c r="C145" s="567" t="s">
        <v>493</v>
      </c>
      <c r="D145" s="568" t="s">
        <v>498</v>
      </c>
      <c r="E145" s="342" t="s">
        <v>976</v>
      </c>
      <c r="F145" s="74">
        <v>9543928.140042793</v>
      </c>
      <c r="G145" s="342">
        <v>1898304</v>
      </c>
      <c r="H145" s="342"/>
      <c r="I145" t="str">
        <f t="shared" si="4"/>
        <v>1898304</v>
      </c>
      <c r="J145">
        <f t="shared" si="5"/>
        <v>0</v>
      </c>
    </row>
    <row r="146" spans="1:10" ht="15.75" thickBot="1">
      <c r="A146" s="566" t="s">
        <v>492</v>
      </c>
      <c r="B146" s="567">
        <v>64171</v>
      </c>
      <c r="C146" s="568" t="s">
        <v>493</v>
      </c>
      <c r="D146" s="567" t="s">
        <v>499</v>
      </c>
      <c r="E146" s="342" t="s">
        <v>976</v>
      </c>
      <c r="F146" s="74">
        <v>9747010.4741382394</v>
      </c>
      <c r="G146" s="342">
        <v>1898305</v>
      </c>
      <c r="H146" s="342"/>
      <c r="I146" t="str">
        <f t="shared" si="4"/>
        <v>1898305</v>
      </c>
      <c r="J146">
        <f t="shared" si="5"/>
        <v>0</v>
      </c>
    </row>
    <row r="147" spans="1:10" ht="15.75" thickBot="1">
      <c r="A147" s="566" t="s">
        <v>492</v>
      </c>
      <c r="B147" s="567">
        <v>64171</v>
      </c>
      <c r="C147" s="567" t="s">
        <v>493</v>
      </c>
      <c r="D147" s="568" t="s">
        <v>500</v>
      </c>
      <c r="E147" s="342" t="s">
        <v>976</v>
      </c>
      <c r="F147" s="74">
        <v>17577253.346280172</v>
      </c>
      <c r="G147" s="342">
        <v>1898306</v>
      </c>
      <c r="H147" s="342"/>
      <c r="I147" t="str">
        <f t="shared" si="4"/>
        <v>1898306</v>
      </c>
      <c r="J147">
        <f t="shared" si="5"/>
        <v>0</v>
      </c>
    </row>
    <row r="148" spans="1:10" ht="15.75" thickBot="1">
      <c r="A148" s="566" t="s">
        <v>492</v>
      </c>
      <c r="B148" s="567">
        <v>64171</v>
      </c>
      <c r="C148" s="568" t="s">
        <v>493</v>
      </c>
      <c r="D148" s="567" t="s">
        <v>501</v>
      </c>
      <c r="E148" s="342" t="s">
        <v>976</v>
      </c>
      <c r="F148" s="74">
        <v>3192322.4549123328</v>
      </c>
      <c r="G148" s="342">
        <v>1898307</v>
      </c>
      <c r="H148" s="342"/>
      <c r="I148" t="str">
        <f t="shared" si="4"/>
        <v>1898307</v>
      </c>
      <c r="J148">
        <f t="shared" si="5"/>
        <v>0</v>
      </c>
    </row>
    <row r="149" spans="1:10" ht="15.75" thickBot="1">
      <c r="A149" s="566" t="s">
        <v>492</v>
      </c>
      <c r="B149" s="567">
        <v>64171</v>
      </c>
      <c r="C149" s="567" t="s">
        <v>493</v>
      </c>
      <c r="D149" s="568" t="s">
        <v>502</v>
      </c>
      <c r="E149" s="342" t="s">
        <v>976</v>
      </c>
      <c r="F149" s="74">
        <v>8461568.3359798621</v>
      </c>
      <c r="G149" s="342">
        <v>1898308</v>
      </c>
      <c r="H149" s="342"/>
      <c r="I149" t="str">
        <f t="shared" si="4"/>
        <v>1898308</v>
      </c>
      <c r="J149">
        <f t="shared" si="5"/>
        <v>0</v>
      </c>
    </row>
    <row r="150" spans="1:10" ht="15.75" thickBot="1">
      <c r="A150" s="566" t="s">
        <v>492</v>
      </c>
      <c r="B150" s="567">
        <v>64171</v>
      </c>
      <c r="C150" s="568" t="s">
        <v>493</v>
      </c>
      <c r="D150" s="567" t="s">
        <v>503</v>
      </c>
      <c r="E150" s="342" t="s">
        <v>976</v>
      </c>
      <c r="F150" s="74">
        <v>13281968.478723451</v>
      </c>
      <c r="G150" s="342">
        <v>1898309</v>
      </c>
      <c r="H150" s="342"/>
      <c r="I150" t="str">
        <f t="shared" si="4"/>
        <v>1898309</v>
      </c>
      <c r="J150">
        <f t="shared" si="5"/>
        <v>0</v>
      </c>
    </row>
    <row r="151" spans="1:10" ht="15.75" thickBot="1">
      <c r="A151" s="566" t="s">
        <v>492</v>
      </c>
      <c r="B151" s="567">
        <v>64171</v>
      </c>
      <c r="C151" s="567" t="s">
        <v>493</v>
      </c>
      <c r="D151" s="567" t="s">
        <v>505</v>
      </c>
      <c r="E151" s="342" t="s">
        <v>976</v>
      </c>
      <c r="F151" s="74">
        <v>13754007.404266398</v>
      </c>
      <c r="G151" s="342">
        <v>1898311</v>
      </c>
      <c r="H151" s="342"/>
      <c r="I151" t="str">
        <f t="shared" si="4"/>
        <v>1898311</v>
      </c>
      <c r="J151">
        <f t="shared" si="5"/>
        <v>0</v>
      </c>
    </row>
    <row r="152" spans="1:10" ht="17.25" thickBot="1">
      <c r="A152" s="566" t="s">
        <v>492</v>
      </c>
      <c r="B152" s="567">
        <v>64171</v>
      </c>
      <c r="C152" s="567" t="s">
        <v>493</v>
      </c>
      <c r="D152" s="568" t="s">
        <v>496</v>
      </c>
      <c r="E152" s="564" t="s">
        <v>977</v>
      </c>
      <c r="F152" s="74">
        <v>12391641.223814277</v>
      </c>
      <c r="G152" s="342">
        <v>1898302</v>
      </c>
      <c r="I152" t="str">
        <f t="shared" si="4"/>
        <v>1898302</v>
      </c>
      <c r="J152">
        <f t="shared" si="5"/>
        <v>0</v>
      </c>
    </row>
    <row r="153" spans="1:10" ht="17.25" thickBot="1">
      <c r="A153" s="566" t="s">
        <v>492</v>
      </c>
      <c r="B153" s="567">
        <v>64171</v>
      </c>
      <c r="C153" s="568" t="s">
        <v>493</v>
      </c>
      <c r="D153" s="567" t="s">
        <v>497</v>
      </c>
      <c r="E153" s="564" t="s">
        <v>977</v>
      </c>
      <c r="F153" s="74">
        <v>28697724.450718738</v>
      </c>
      <c r="G153" s="342">
        <v>1898303</v>
      </c>
      <c r="I153" t="str">
        <f t="shared" si="4"/>
        <v>1898303</v>
      </c>
      <c r="J153">
        <f t="shared" si="5"/>
        <v>0</v>
      </c>
    </row>
    <row r="154" spans="1:10" ht="17.25" thickBot="1">
      <c r="A154" s="566" t="s">
        <v>492</v>
      </c>
      <c r="B154" s="567">
        <v>64171</v>
      </c>
      <c r="C154" s="567" t="s">
        <v>493</v>
      </c>
      <c r="D154" s="568" t="s">
        <v>498</v>
      </c>
      <c r="E154" s="564" t="s">
        <v>977</v>
      </c>
      <c r="F154" s="74">
        <v>23366954.232307255</v>
      </c>
      <c r="G154" s="342">
        <v>1898304</v>
      </c>
      <c r="I154" t="str">
        <f t="shared" si="4"/>
        <v>1898304</v>
      </c>
      <c r="J154">
        <f t="shared" si="5"/>
        <v>0</v>
      </c>
    </row>
    <row r="155" spans="1:10" ht="17.25" thickBot="1">
      <c r="A155" s="566" t="s">
        <v>492</v>
      </c>
      <c r="B155" s="567">
        <v>64171</v>
      </c>
      <c r="C155" s="568" t="s">
        <v>493</v>
      </c>
      <c r="D155" s="567" t="s">
        <v>499</v>
      </c>
      <c r="E155" s="564" t="s">
        <v>977</v>
      </c>
      <c r="F155" s="74">
        <v>15745234.387094084</v>
      </c>
      <c r="G155" s="342">
        <v>1898305</v>
      </c>
      <c r="I155" t="str">
        <f t="shared" si="4"/>
        <v>1898305</v>
      </c>
      <c r="J155">
        <f t="shared" si="5"/>
        <v>0</v>
      </c>
    </row>
    <row r="156" spans="1:10" ht="17.25" thickBot="1">
      <c r="A156" s="566" t="s">
        <v>492</v>
      </c>
      <c r="B156" s="567">
        <v>64171</v>
      </c>
      <c r="C156" s="567" t="s">
        <v>493</v>
      </c>
      <c r="D156" s="568" t="s">
        <v>500</v>
      </c>
      <c r="E156" s="564" t="s">
        <v>977</v>
      </c>
      <c r="F156" s="74">
        <v>11434881.172492262</v>
      </c>
      <c r="G156" s="342">
        <v>1898306</v>
      </c>
      <c r="I156" t="str">
        <f t="shared" si="4"/>
        <v>1898306</v>
      </c>
      <c r="J156">
        <f t="shared" si="5"/>
        <v>0</v>
      </c>
    </row>
    <row r="157" spans="1:10" ht="17.25" thickBot="1">
      <c r="A157" s="566" t="s">
        <v>492</v>
      </c>
      <c r="B157" s="567">
        <v>64171</v>
      </c>
      <c r="C157" s="568" t="s">
        <v>493</v>
      </c>
      <c r="D157" s="567" t="s">
        <v>501</v>
      </c>
      <c r="E157" s="564" t="s">
        <v>977</v>
      </c>
      <c r="F157" s="74">
        <v>1065850.0526257863</v>
      </c>
      <c r="G157" s="342">
        <v>1898307</v>
      </c>
      <c r="I157" t="str">
        <f t="shared" si="4"/>
        <v>1898307</v>
      </c>
      <c r="J157">
        <f t="shared" si="5"/>
        <v>0</v>
      </c>
    </row>
    <row r="158" spans="1:10" ht="17.25" thickBot="1">
      <c r="A158" s="566" t="s">
        <v>492</v>
      </c>
      <c r="B158" s="567">
        <v>64171</v>
      </c>
      <c r="C158" s="567" t="s">
        <v>493</v>
      </c>
      <c r="D158" s="568" t="s">
        <v>502</v>
      </c>
      <c r="E158" s="564" t="s">
        <v>977</v>
      </c>
      <c r="F158" s="74">
        <v>6867073.8582426049</v>
      </c>
      <c r="G158" s="342">
        <v>1898308</v>
      </c>
      <c r="I158" t="str">
        <f t="shared" si="4"/>
        <v>1898308</v>
      </c>
      <c r="J158">
        <f t="shared" si="5"/>
        <v>0</v>
      </c>
    </row>
    <row r="159" spans="1:10" ht="17.25" thickBot="1">
      <c r="A159" s="566" t="s">
        <v>492</v>
      </c>
      <c r="B159" s="567">
        <v>64171</v>
      </c>
      <c r="C159" s="568" t="s">
        <v>493</v>
      </c>
      <c r="D159" s="567" t="s">
        <v>503</v>
      </c>
      <c r="E159" s="564" t="s">
        <v>977</v>
      </c>
      <c r="F159" s="74">
        <v>16564573.007300548</v>
      </c>
      <c r="G159" s="342">
        <v>1898309</v>
      </c>
      <c r="I159" t="str">
        <f t="shared" si="4"/>
        <v>1898309</v>
      </c>
      <c r="J159">
        <f t="shared" si="5"/>
        <v>0</v>
      </c>
    </row>
    <row r="160" spans="1:10" ht="15.75" thickBot="1">
      <c r="A160" s="566" t="s">
        <v>492</v>
      </c>
      <c r="B160" s="567">
        <v>64171</v>
      </c>
      <c r="C160" s="567" t="s">
        <v>493</v>
      </c>
      <c r="D160" s="568" t="s">
        <v>496</v>
      </c>
      <c r="E160" s="342" t="s">
        <v>993</v>
      </c>
      <c r="F160" s="74">
        <v>391750.05275287363</v>
      </c>
      <c r="G160" s="342">
        <v>1898302</v>
      </c>
      <c r="I160" t="str">
        <f t="shared" si="4"/>
        <v>1898302</v>
      </c>
      <c r="J160">
        <f t="shared" si="5"/>
        <v>0</v>
      </c>
    </row>
    <row r="161" spans="1:10" ht="15.75" thickBot="1">
      <c r="A161" s="566" t="s">
        <v>492</v>
      </c>
      <c r="B161" s="567">
        <v>64171</v>
      </c>
      <c r="C161" s="568" t="s">
        <v>493</v>
      </c>
      <c r="D161" s="567" t="s">
        <v>497</v>
      </c>
      <c r="E161" s="342" t="s">
        <v>993</v>
      </c>
      <c r="F161" s="74">
        <v>-185081.43425686401</v>
      </c>
      <c r="G161" s="342">
        <v>1898303</v>
      </c>
      <c r="I161" t="str">
        <f t="shared" si="4"/>
        <v>1898303</v>
      </c>
      <c r="J161">
        <f t="shared" si="5"/>
        <v>0</v>
      </c>
    </row>
    <row r="162" spans="1:10" ht="15.75" thickBot="1">
      <c r="A162" s="566" t="s">
        <v>492</v>
      </c>
      <c r="B162" s="567">
        <v>64171</v>
      </c>
      <c r="C162" s="567" t="s">
        <v>493</v>
      </c>
      <c r="D162" s="568" t="s">
        <v>498</v>
      </c>
      <c r="E162" s="342" t="s">
        <v>993</v>
      </c>
      <c r="F162" s="74">
        <v>198971.26559999998</v>
      </c>
      <c r="G162" s="342">
        <v>1898304</v>
      </c>
      <c r="I162" t="str">
        <f t="shared" si="4"/>
        <v>1898304</v>
      </c>
      <c r="J162">
        <f t="shared" si="5"/>
        <v>0</v>
      </c>
    </row>
    <row r="163" spans="1:10" ht="15.75" thickBot="1">
      <c r="A163" s="566" t="s">
        <v>492</v>
      </c>
      <c r="B163" s="567">
        <v>64171</v>
      </c>
      <c r="C163" s="568" t="s">
        <v>493</v>
      </c>
      <c r="D163" s="567" t="s">
        <v>499</v>
      </c>
      <c r="E163" s="342" t="s">
        <v>993</v>
      </c>
      <c r="F163" s="74">
        <v>-548189.66141581698</v>
      </c>
      <c r="G163" s="342">
        <v>1898305</v>
      </c>
      <c r="I163" t="str">
        <f t="shared" si="4"/>
        <v>1898305</v>
      </c>
      <c r="J163">
        <f t="shared" si="5"/>
        <v>0</v>
      </c>
    </row>
    <row r="164" spans="1:10" ht="15.75" thickBot="1">
      <c r="A164" s="566" t="s">
        <v>492</v>
      </c>
      <c r="B164" s="567">
        <v>64171</v>
      </c>
      <c r="C164" s="567" t="s">
        <v>493</v>
      </c>
      <c r="D164" s="568" t="s">
        <v>500</v>
      </c>
      <c r="E164" s="342" t="s">
        <v>993</v>
      </c>
      <c r="F164" s="74">
        <v>-233388.76936983113</v>
      </c>
      <c r="G164" s="342">
        <v>1898306</v>
      </c>
      <c r="I164" t="str">
        <f t="shared" si="4"/>
        <v>1898306</v>
      </c>
      <c r="J164">
        <f t="shared" si="5"/>
        <v>0</v>
      </c>
    </row>
    <row r="165" spans="1:10" ht="15.75" thickBot="1">
      <c r="A165" s="566" t="s">
        <v>492</v>
      </c>
      <c r="B165" s="567">
        <v>64171</v>
      </c>
      <c r="C165" s="568" t="s">
        <v>493</v>
      </c>
      <c r="D165" s="567" t="s">
        <v>501</v>
      </c>
      <c r="E165" s="342" t="s">
        <v>993</v>
      </c>
      <c r="F165" s="74">
        <v>311077.07943510887</v>
      </c>
      <c r="G165" s="342">
        <v>1898307</v>
      </c>
      <c r="I165" t="str">
        <f t="shared" si="4"/>
        <v>1898307</v>
      </c>
      <c r="J165">
        <f t="shared" si="5"/>
        <v>0</v>
      </c>
    </row>
    <row r="166" spans="1:10" ht="15.75" thickBot="1">
      <c r="A166" s="566" t="s">
        <v>492</v>
      </c>
      <c r="B166" s="567">
        <v>64171</v>
      </c>
      <c r="C166" s="567" t="s">
        <v>493</v>
      </c>
      <c r="D166" s="568" t="s">
        <v>502</v>
      </c>
      <c r="E166" s="342" t="s">
        <v>993</v>
      </c>
      <c r="F166" s="74">
        <v>-156194.35340000002</v>
      </c>
      <c r="G166" s="342">
        <v>1898308</v>
      </c>
      <c r="I166" t="str">
        <f t="shared" si="4"/>
        <v>1898308</v>
      </c>
      <c r="J166">
        <f t="shared" si="5"/>
        <v>0</v>
      </c>
    </row>
    <row r="167" spans="1:10" ht="15.75" thickBot="1">
      <c r="A167" s="566" t="s">
        <v>492</v>
      </c>
      <c r="B167" s="567">
        <v>64171</v>
      </c>
      <c r="C167" s="568" t="s">
        <v>493</v>
      </c>
      <c r="D167" s="567" t="s">
        <v>503</v>
      </c>
      <c r="E167" s="342" t="s">
        <v>993</v>
      </c>
      <c r="F167" s="74">
        <v>345751.82750000001</v>
      </c>
      <c r="G167" s="342">
        <v>1898309</v>
      </c>
      <c r="I167" t="str">
        <f t="shared" si="4"/>
        <v>1898309</v>
      </c>
      <c r="J167">
        <f t="shared" si="5"/>
        <v>0</v>
      </c>
    </row>
    <row r="168" spans="1:10" ht="15.75" thickBot="1">
      <c r="A168" s="566" t="s">
        <v>492</v>
      </c>
      <c r="B168" s="567">
        <v>64171</v>
      </c>
      <c r="C168" s="568" t="s">
        <v>493</v>
      </c>
      <c r="D168" s="567" t="s">
        <v>497</v>
      </c>
      <c r="E168" s="342" t="s">
        <v>991</v>
      </c>
      <c r="F168" s="74">
        <v>5708845.7579999994</v>
      </c>
      <c r="G168" s="342">
        <v>1898303</v>
      </c>
      <c r="I168" t="str">
        <f t="shared" si="4"/>
        <v>1898303</v>
      </c>
      <c r="J168">
        <f t="shared" si="5"/>
        <v>0</v>
      </c>
    </row>
    <row r="169" spans="1:10" ht="15.75" thickBot="1">
      <c r="A169" s="566" t="s">
        <v>492</v>
      </c>
      <c r="B169" s="567">
        <v>64171</v>
      </c>
      <c r="C169" s="567" t="s">
        <v>493</v>
      </c>
      <c r="D169" s="568" t="s">
        <v>498</v>
      </c>
      <c r="E169" s="342" t="s">
        <v>991</v>
      </c>
      <c r="F169" s="74">
        <v>5306326.5256953351</v>
      </c>
      <c r="G169" s="342">
        <v>1898304</v>
      </c>
      <c r="I169" t="str">
        <f t="shared" si="4"/>
        <v>1898304</v>
      </c>
      <c r="J169">
        <f t="shared" si="5"/>
        <v>0</v>
      </c>
    </row>
    <row r="170" spans="1:10" ht="15.75" thickBot="1">
      <c r="A170" s="566" t="s">
        <v>492</v>
      </c>
      <c r="B170" s="567">
        <v>64171</v>
      </c>
      <c r="C170" s="568" t="s">
        <v>493</v>
      </c>
      <c r="D170" s="567" t="s">
        <v>499</v>
      </c>
      <c r="E170" s="342" t="s">
        <v>991</v>
      </c>
      <c r="F170" s="74">
        <v>7449.7585416822512</v>
      </c>
      <c r="G170" s="342">
        <v>1898305</v>
      </c>
      <c r="I170" t="str">
        <f t="shared" si="4"/>
        <v>1898305</v>
      </c>
      <c r="J170">
        <f t="shared" si="5"/>
        <v>0</v>
      </c>
    </row>
    <row r="171" spans="1:10" ht="15.75" thickBot="1">
      <c r="A171" s="566" t="s">
        <v>492</v>
      </c>
      <c r="B171" s="567">
        <v>64171</v>
      </c>
      <c r="C171" s="567" t="s">
        <v>493</v>
      </c>
      <c r="D171" s="568" t="s">
        <v>500</v>
      </c>
      <c r="E171" s="342" t="s">
        <v>991</v>
      </c>
      <c r="F171" s="74">
        <v>7458177.3615000015</v>
      </c>
      <c r="G171" s="342">
        <v>1898306</v>
      </c>
      <c r="I171" t="str">
        <f t="shared" si="4"/>
        <v>1898306</v>
      </c>
      <c r="J171">
        <f t="shared" si="5"/>
        <v>0</v>
      </c>
    </row>
    <row r="172" spans="1:10" ht="15.75" thickBot="1">
      <c r="A172" s="566" t="s">
        <v>492</v>
      </c>
      <c r="B172" s="567">
        <v>64171</v>
      </c>
      <c r="C172" s="568" t="s">
        <v>493</v>
      </c>
      <c r="D172" s="567" t="s">
        <v>501</v>
      </c>
      <c r="E172" s="342" t="s">
        <v>991</v>
      </c>
      <c r="F172" s="74">
        <v>3010745.6622421965</v>
      </c>
      <c r="G172" s="342">
        <v>1898307</v>
      </c>
      <c r="I172" t="str">
        <f t="shared" si="4"/>
        <v>1898307</v>
      </c>
      <c r="J172">
        <f t="shared" si="5"/>
        <v>0</v>
      </c>
    </row>
    <row r="173" spans="1:10" ht="15.75" thickBot="1">
      <c r="A173" s="566" t="s">
        <v>492</v>
      </c>
      <c r="B173" s="567">
        <v>64171</v>
      </c>
      <c r="C173" s="567" t="s">
        <v>493</v>
      </c>
      <c r="D173" s="568" t="s">
        <v>502</v>
      </c>
      <c r="E173" s="342" t="s">
        <v>991</v>
      </c>
      <c r="F173" s="74">
        <v>1267887.3374999999</v>
      </c>
      <c r="G173" s="342">
        <v>1898308</v>
      </c>
      <c r="I173" t="str">
        <f t="shared" si="4"/>
        <v>1898308</v>
      </c>
      <c r="J173">
        <f t="shared" si="5"/>
        <v>0</v>
      </c>
    </row>
    <row r="174" spans="1:10" ht="15.75" thickBot="1">
      <c r="A174" s="566" t="s">
        <v>492</v>
      </c>
      <c r="B174" s="567">
        <v>64171</v>
      </c>
      <c r="C174" s="568" t="s">
        <v>493</v>
      </c>
      <c r="D174" s="567" t="s">
        <v>497</v>
      </c>
      <c r="E174" s="342" t="s">
        <v>506</v>
      </c>
      <c r="F174" s="74">
        <v>772743.75</v>
      </c>
      <c r="G174" s="342">
        <v>1898303</v>
      </c>
      <c r="I174" t="str">
        <f t="shared" si="4"/>
        <v>1898303</v>
      </c>
      <c r="J174">
        <f t="shared" si="5"/>
        <v>0</v>
      </c>
    </row>
    <row r="175" spans="1:10" ht="15.75" thickBot="1">
      <c r="A175" s="566" t="s">
        <v>492</v>
      </c>
      <c r="B175" s="567">
        <v>64171</v>
      </c>
      <c r="C175" s="567" t="s">
        <v>493</v>
      </c>
      <c r="D175" s="568" t="s">
        <v>498</v>
      </c>
      <c r="E175" s="342" t="s">
        <v>506</v>
      </c>
      <c r="F175" s="74">
        <v>92088.301983585276</v>
      </c>
      <c r="G175" s="342">
        <v>1898304</v>
      </c>
      <c r="I175" t="str">
        <f t="shared" si="4"/>
        <v>1898304</v>
      </c>
      <c r="J175">
        <f t="shared" si="5"/>
        <v>0</v>
      </c>
    </row>
    <row r="176" spans="1:10" ht="15.75" thickBot="1">
      <c r="A176" s="566" t="s">
        <v>492</v>
      </c>
      <c r="B176" s="567">
        <v>64171</v>
      </c>
      <c r="C176" s="567" t="s">
        <v>493</v>
      </c>
      <c r="D176" s="568" t="s">
        <v>500</v>
      </c>
      <c r="E176" s="342" t="s">
        <v>506</v>
      </c>
      <c r="F176" s="74">
        <v>2132490</v>
      </c>
      <c r="G176" s="342">
        <v>1898306</v>
      </c>
      <c r="I176" t="str">
        <f t="shared" si="4"/>
        <v>1898306</v>
      </c>
      <c r="J176">
        <f t="shared" si="5"/>
        <v>0</v>
      </c>
    </row>
    <row r="177" spans="1:10" ht="15.75" thickBot="1">
      <c r="A177" s="566" t="s">
        <v>492</v>
      </c>
      <c r="B177" s="567">
        <v>64171</v>
      </c>
      <c r="C177" s="568" t="s">
        <v>493</v>
      </c>
      <c r="D177" s="567" t="s">
        <v>501</v>
      </c>
      <c r="E177" s="342" t="s">
        <v>506</v>
      </c>
      <c r="F177" s="74">
        <v>123633.82950929223</v>
      </c>
      <c r="G177" s="342">
        <v>1898307</v>
      </c>
      <c r="I177" t="str">
        <f t="shared" si="4"/>
        <v>1898307</v>
      </c>
      <c r="J177">
        <f t="shared" si="5"/>
        <v>0</v>
      </c>
    </row>
    <row r="178" spans="1:10" ht="15.75" thickBot="1">
      <c r="A178" s="566" t="s">
        <v>492</v>
      </c>
      <c r="B178" s="567">
        <v>64171</v>
      </c>
      <c r="C178" s="567" t="s">
        <v>493</v>
      </c>
      <c r="D178" s="568" t="s">
        <v>502</v>
      </c>
      <c r="E178" s="342" t="s">
        <v>506</v>
      </c>
      <c r="F178" s="74">
        <v>198550</v>
      </c>
      <c r="G178" s="342">
        <v>1898308</v>
      </c>
      <c r="I178" t="str">
        <f t="shared" si="4"/>
        <v>1898308</v>
      </c>
      <c r="J178">
        <f t="shared" si="5"/>
        <v>0</v>
      </c>
    </row>
    <row r="179" spans="1:10" ht="15.75" thickBot="1">
      <c r="A179" s="566" t="s">
        <v>492</v>
      </c>
      <c r="B179" s="567">
        <v>64171</v>
      </c>
      <c r="C179" s="568" t="s">
        <v>493</v>
      </c>
      <c r="D179" s="567" t="s">
        <v>497</v>
      </c>
      <c r="E179" s="342" t="s">
        <v>994</v>
      </c>
      <c r="F179" s="74">
        <v>2705.4545454545455</v>
      </c>
      <c r="G179" s="342">
        <v>1898303</v>
      </c>
      <c r="I179" t="str">
        <f t="shared" si="4"/>
        <v>1898303</v>
      </c>
      <c r="J179">
        <f t="shared" si="5"/>
        <v>0</v>
      </c>
    </row>
    <row r="180" spans="1:10" ht="15.75" thickBot="1">
      <c r="A180" s="566" t="s">
        <v>492</v>
      </c>
      <c r="B180" s="567">
        <v>64171</v>
      </c>
      <c r="C180" s="567" t="s">
        <v>493</v>
      </c>
      <c r="D180" s="568" t="s">
        <v>498</v>
      </c>
      <c r="E180" s="342" t="s">
        <v>994</v>
      </c>
      <c r="F180" s="74">
        <v>126045.86334003236</v>
      </c>
      <c r="G180" s="342">
        <v>1898304</v>
      </c>
      <c r="I180" t="str">
        <f t="shared" si="4"/>
        <v>1898304</v>
      </c>
      <c r="J180">
        <f t="shared" si="5"/>
        <v>0</v>
      </c>
    </row>
    <row r="181" spans="1:10" ht="15.75" thickBot="1">
      <c r="A181" s="566" t="s">
        <v>492</v>
      </c>
      <c r="B181" s="567">
        <v>64171</v>
      </c>
      <c r="C181" s="567" t="s">
        <v>493</v>
      </c>
      <c r="D181" s="568" t="s">
        <v>500</v>
      </c>
      <c r="E181" s="342" t="s">
        <v>994</v>
      </c>
      <c r="F181" s="74">
        <v>427360.36363636365</v>
      </c>
      <c r="G181" s="342">
        <v>1898306</v>
      </c>
      <c r="I181" t="str">
        <f t="shared" ref="I181:I226" si="6">RIGHT(D181,7)</f>
        <v>1898306</v>
      </c>
      <c r="J181">
        <f t="shared" ref="J181:J226" si="7">I181-G181</f>
        <v>0</v>
      </c>
    </row>
    <row r="182" spans="1:10" ht="15.75" thickBot="1">
      <c r="A182" s="566" t="s">
        <v>492</v>
      </c>
      <c r="B182" s="567">
        <v>64171</v>
      </c>
      <c r="C182" s="568" t="s">
        <v>493</v>
      </c>
      <c r="D182" s="567" t="s">
        <v>501</v>
      </c>
      <c r="E182" s="342" t="s">
        <v>994</v>
      </c>
      <c r="F182" s="74">
        <v>4044.9340147881253</v>
      </c>
      <c r="G182" s="342">
        <v>1898307</v>
      </c>
      <c r="I182" t="str">
        <f t="shared" si="6"/>
        <v>1898307</v>
      </c>
      <c r="J182">
        <f t="shared" si="7"/>
        <v>0</v>
      </c>
    </row>
    <row r="183" spans="1:10" ht="15.75" thickBot="1">
      <c r="A183" s="566" t="s">
        <v>492</v>
      </c>
      <c r="B183" s="567">
        <v>64171</v>
      </c>
      <c r="C183" s="567" t="s">
        <v>493</v>
      </c>
      <c r="D183" s="568" t="s">
        <v>502</v>
      </c>
      <c r="E183" s="342" t="s">
        <v>994</v>
      </c>
      <c r="F183" s="74">
        <v>6218.181818181818</v>
      </c>
      <c r="G183" s="342">
        <v>1898308</v>
      </c>
      <c r="I183" t="str">
        <f t="shared" si="6"/>
        <v>1898308</v>
      </c>
      <c r="J183">
        <f t="shared" si="7"/>
        <v>0</v>
      </c>
    </row>
    <row r="184" spans="1:10" ht="15.75" thickBot="1">
      <c r="A184" s="566" t="s">
        <v>492</v>
      </c>
      <c r="B184" s="567">
        <v>64171</v>
      </c>
      <c r="C184" s="568" t="s">
        <v>493</v>
      </c>
      <c r="D184" s="567" t="s">
        <v>503</v>
      </c>
      <c r="E184" s="342" t="s">
        <v>994</v>
      </c>
      <c r="F184" s="74">
        <v>17105.454545454548</v>
      </c>
      <c r="G184" s="342">
        <v>1898309</v>
      </c>
      <c r="I184" t="str">
        <f t="shared" si="6"/>
        <v>1898309</v>
      </c>
      <c r="J184">
        <f t="shared" si="7"/>
        <v>0</v>
      </c>
    </row>
    <row r="185" spans="1:10" ht="17.25" thickBot="1">
      <c r="A185" s="566" t="s">
        <v>492</v>
      </c>
      <c r="B185" s="567">
        <v>64171</v>
      </c>
      <c r="C185" s="568" t="s">
        <v>493</v>
      </c>
      <c r="D185" s="567" t="s">
        <v>497</v>
      </c>
      <c r="E185" s="564" t="s">
        <v>989</v>
      </c>
      <c r="F185" s="74">
        <v>2879235.903272727</v>
      </c>
      <c r="G185" s="342">
        <v>1898303</v>
      </c>
      <c r="I185" t="str">
        <f t="shared" si="6"/>
        <v>1898303</v>
      </c>
      <c r="J185">
        <f t="shared" si="7"/>
        <v>0</v>
      </c>
    </row>
    <row r="186" spans="1:10" ht="17.25" thickBot="1">
      <c r="A186" s="566" t="s">
        <v>492</v>
      </c>
      <c r="B186" s="567">
        <v>64171</v>
      </c>
      <c r="C186" s="567" t="s">
        <v>493</v>
      </c>
      <c r="D186" s="568" t="s">
        <v>498</v>
      </c>
      <c r="E186" s="564" t="s">
        <v>989</v>
      </c>
      <c r="F186" s="74">
        <v>549390.1763557588</v>
      </c>
      <c r="G186" s="342">
        <v>1898304</v>
      </c>
      <c r="I186" t="str">
        <f t="shared" si="6"/>
        <v>1898304</v>
      </c>
      <c r="J186">
        <f t="shared" si="7"/>
        <v>0</v>
      </c>
    </row>
    <row r="187" spans="1:10" ht="17.25" thickBot="1">
      <c r="A187" s="566" t="s">
        <v>492</v>
      </c>
      <c r="B187" s="567">
        <v>64171</v>
      </c>
      <c r="C187" s="568" t="s">
        <v>493</v>
      </c>
      <c r="D187" s="567" t="s">
        <v>499</v>
      </c>
      <c r="E187" s="564" t="s">
        <v>989</v>
      </c>
      <c r="F187" s="74">
        <v>17032.336363636361</v>
      </c>
      <c r="G187" s="342">
        <v>1898305</v>
      </c>
      <c r="I187" t="str">
        <f t="shared" si="6"/>
        <v>1898305</v>
      </c>
      <c r="J187">
        <f t="shared" si="7"/>
        <v>0</v>
      </c>
    </row>
    <row r="188" spans="1:10" ht="17.25" thickBot="1">
      <c r="A188" s="566" t="s">
        <v>492</v>
      </c>
      <c r="B188" s="567">
        <v>64171</v>
      </c>
      <c r="C188" s="567" t="s">
        <v>493</v>
      </c>
      <c r="D188" s="568" t="s">
        <v>500</v>
      </c>
      <c r="E188" s="564" t="s">
        <v>989</v>
      </c>
      <c r="F188" s="74">
        <v>1103317.8267272727</v>
      </c>
      <c r="G188" s="342">
        <v>1898306</v>
      </c>
      <c r="I188" t="str">
        <f t="shared" si="6"/>
        <v>1898306</v>
      </c>
      <c r="J188">
        <f t="shared" si="7"/>
        <v>0</v>
      </c>
    </row>
    <row r="189" spans="1:10" ht="17.25" thickBot="1">
      <c r="A189" s="566" t="s">
        <v>492</v>
      </c>
      <c r="B189" s="567">
        <v>64171</v>
      </c>
      <c r="C189" s="568" t="s">
        <v>493</v>
      </c>
      <c r="D189" s="567" t="s">
        <v>501</v>
      </c>
      <c r="E189" s="564" t="s">
        <v>989</v>
      </c>
      <c r="F189" s="74">
        <v>318538.40197953931</v>
      </c>
      <c r="G189" s="342">
        <v>1898307</v>
      </c>
      <c r="I189" t="str">
        <f t="shared" si="6"/>
        <v>1898307</v>
      </c>
      <c r="J189">
        <f t="shared" si="7"/>
        <v>0</v>
      </c>
    </row>
    <row r="190" spans="1:10" ht="17.25" thickBot="1">
      <c r="A190" s="566" t="s">
        <v>492</v>
      </c>
      <c r="B190" s="567">
        <v>64171</v>
      </c>
      <c r="C190" s="567" t="s">
        <v>493</v>
      </c>
      <c r="D190" s="568" t="s">
        <v>502</v>
      </c>
      <c r="E190" s="564" t="s">
        <v>989</v>
      </c>
      <c r="F190" s="74">
        <v>557995.28181818186</v>
      </c>
      <c r="G190" s="342">
        <v>1898308</v>
      </c>
      <c r="I190" t="str">
        <f t="shared" si="6"/>
        <v>1898308</v>
      </c>
      <c r="J190">
        <f t="shared" si="7"/>
        <v>0</v>
      </c>
    </row>
    <row r="191" spans="1:10" ht="15.75" thickBot="1">
      <c r="A191" s="566" t="s">
        <v>492</v>
      </c>
      <c r="B191" s="567">
        <v>64171</v>
      </c>
      <c r="C191" s="568" t="s">
        <v>493</v>
      </c>
      <c r="D191" s="567" t="s">
        <v>497</v>
      </c>
      <c r="E191" s="342" t="s">
        <v>507</v>
      </c>
      <c r="F191" s="74">
        <v>437327.05999999994</v>
      </c>
      <c r="G191" s="342">
        <v>1898303</v>
      </c>
      <c r="I191" t="str">
        <f t="shared" si="6"/>
        <v>1898303</v>
      </c>
      <c r="J191">
        <f t="shared" si="7"/>
        <v>0</v>
      </c>
    </row>
    <row r="192" spans="1:10" ht="15.75" thickBot="1">
      <c r="A192" s="566" t="s">
        <v>492</v>
      </c>
      <c r="B192" s="567">
        <v>64171</v>
      </c>
      <c r="C192" s="567" t="s">
        <v>493</v>
      </c>
      <c r="D192" s="568" t="s">
        <v>500</v>
      </c>
      <c r="E192" s="342" t="s">
        <v>507</v>
      </c>
      <c r="F192" s="74">
        <v>176700</v>
      </c>
      <c r="G192" s="342">
        <v>1898306</v>
      </c>
      <c r="I192" t="str">
        <f t="shared" si="6"/>
        <v>1898306</v>
      </c>
      <c r="J192">
        <f t="shared" si="7"/>
        <v>0</v>
      </c>
    </row>
    <row r="193" spans="1:10" ht="15.75" thickBot="1">
      <c r="A193" s="566" t="s">
        <v>492</v>
      </c>
      <c r="B193" s="567">
        <v>64171</v>
      </c>
      <c r="C193" s="568" t="s">
        <v>493</v>
      </c>
      <c r="D193" s="567" t="s">
        <v>501</v>
      </c>
      <c r="E193" s="342" t="s">
        <v>507</v>
      </c>
      <c r="F193" s="74">
        <v>561234.32067611173</v>
      </c>
      <c r="G193" s="342">
        <v>1898307</v>
      </c>
      <c r="I193" t="str">
        <f t="shared" si="6"/>
        <v>1898307</v>
      </c>
      <c r="J193">
        <f t="shared" si="7"/>
        <v>0</v>
      </c>
    </row>
    <row r="194" spans="1:10" ht="15.75" thickBot="1">
      <c r="A194" s="566" t="s">
        <v>492</v>
      </c>
      <c r="B194" s="567">
        <v>64171</v>
      </c>
      <c r="C194" s="567" t="s">
        <v>493</v>
      </c>
      <c r="D194" s="568" t="s">
        <v>502</v>
      </c>
      <c r="E194" s="342" t="s">
        <v>507</v>
      </c>
      <c r="F194" s="74">
        <v>262545.32500000001</v>
      </c>
      <c r="G194" s="342">
        <v>1898308</v>
      </c>
      <c r="I194" t="str">
        <f t="shared" si="6"/>
        <v>1898308</v>
      </c>
      <c r="J194">
        <f t="shared" si="7"/>
        <v>0</v>
      </c>
    </row>
    <row r="195" spans="1:10" ht="17.25" thickBot="1">
      <c r="A195" s="566" t="s">
        <v>492</v>
      </c>
      <c r="B195" s="567">
        <v>64171</v>
      </c>
      <c r="C195" s="568" t="s">
        <v>493</v>
      </c>
      <c r="D195" s="567" t="s">
        <v>497</v>
      </c>
      <c r="E195" s="564" t="s">
        <v>995</v>
      </c>
      <c r="F195" s="74">
        <v>153600</v>
      </c>
      <c r="G195" s="342">
        <v>1898303</v>
      </c>
      <c r="I195" t="str">
        <f t="shared" si="6"/>
        <v>1898303</v>
      </c>
      <c r="J195">
        <f t="shared" si="7"/>
        <v>0</v>
      </c>
    </row>
    <row r="196" spans="1:10" ht="17.25" thickBot="1">
      <c r="A196" s="566" t="s">
        <v>492</v>
      </c>
      <c r="B196" s="567">
        <v>64171</v>
      </c>
      <c r="C196" s="567" t="s">
        <v>493</v>
      </c>
      <c r="D196" s="568" t="s">
        <v>498</v>
      </c>
      <c r="E196" s="564" t="s">
        <v>995</v>
      </c>
      <c r="F196" s="74">
        <v>4259083.9667408196</v>
      </c>
      <c r="G196" s="342">
        <v>1898304</v>
      </c>
      <c r="I196" t="str">
        <f t="shared" si="6"/>
        <v>1898304</v>
      </c>
      <c r="J196">
        <f t="shared" si="7"/>
        <v>0</v>
      </c>
    </row>
    <row r="197" spans="1:10" ht="17.25" thickBot="1">
      <c r="A197" s="566" t="s">
        <v>492</v>
      </c>
      <c r="B197" s="567">
        <v>64171</v>
      </c>
      <c r="C197" s="567" t="s">
        <v>493</v>
      </c>
      <c r="D197" s="568" t="s">
        <v>500</v>
      </c>
      <c r="E197" s="564" t="s">
        <v>995</v>
      </c>
      <c r="F197" s="74">
        <v>13950</v>
      </c>
      <c r="G197" s="342">
        <v>1898306</v>
      </c>
      <c r="I197" t="str">
        <f t="shared" si="6"/>
        <v>1898306</v>
      </c>
      <c r="J197">
        <f t="shared" si="7"/>
        <v>0</v>
      </c>
    </row>
    <row r="198" spans="1:10" ht="15.75" thickBot="1">
      <c r="A198" s="566" t="s">
        <v>492</v>
      </c>
      <c r="B198" s="567">
        <v>64171</v>
      </c>
      <c r="C198" s="568" t="s">
        <v>493</v>
      </c>
      <c r="D198" s="567" t="s">
        <v>494</v>
      </c>
      <c r="E198" s="342" t="s">
        <v>1103</v>
      </c>
      <c r="F198" s="74">
        <v>288312.13813722623</v>
      </c>
      <c r="G198" s="342">
        <v>1898301</v>
      </c>
      <c r="I198" t="str">
        <f t="shared" si="6"/>
        <v>1898301</v>
      </c>
      <c r="J198">
        <f t="shared" si="7"/>
        <v>0</v>
      </c>
    </row>
    <row r="199" spans="1:10" ht="15.75" thickBot="1">
      <c r="A199" s="566" t="s">
        <v>492</v>
      </c>
      <c r="B199" s="567">
        <v>64171</v>
      </c>
      <c r="C199" s="567" t="s">
        <v>493</v>
      </c>
      <c r="D199" s="568" t="s">
        <v>496</v>
      </c>
      <c r="E199" s="342" t="s">
        <v>1103</v>
      </c>
      <c r="F199" s="74">
        <v>9296894.4150105678</v>
      </c>
      <c r="G199" s="342">
        <v>1898302</v>
      </c>
      <c r="I199" t="str">
        <f t="shared" si="6"/>
        <v>1898302</v>
      </c>
      <c r="J199">
        <f t="shared" si="7"/>
        <v>0</v>
      </c>
    </row>
    <row r="200" spans="1:10" ht="15.75" thickBot="1">
      <c r="A200" s="566" t="s">
        <v>492</v>
      </c>
      <c r="B200" s="567">
        <v>64171</v>
      </c>
      <c r="C200" s="568" t="s">
        <v>493</v>
      </c>
      <c r="D200" s="567" t="s">
        <v>497</v>
      </c>
      <c r="E200" s="342" t="s">
        <v>1103</v>
      </c>
      <c r="F200" s="74">
        <v>10195417.614521898</v>
      </c>
      <c r="G200" s="342">
        <v>1898303</v>
      </c>
      <c r="I200" t="str">
        <f t="shared" si="6"/>
        <v>1898303</v>
      </c>
      <c r="J200">
        <f t="shared" si="7"/>
        <v>0</v>
      </c>
    </row>
    <row r="201" spans="1:10" ht="15.75" thickBot="1">
      <c r="A201" s="566" t="s">
        <v>492</v>
      </c>
      <c r="B201" s="567">
        <v>64171</v>
      </c>
      <c r="C201" s="567" t="s">
        <v>493</v>
      </c>
      <c r="D201" s="568" t="s">
        <v>498</v>
      </c>
      <c r="E201" s="342" t="s">
        <v>1103</v>
      </c>
      <c r="F201" s="74">
        <v>4183727.8773923535</v>
      </c>
      <c r="G201" s="342">
        <v>1898304</v>
      </c>
      <c r="I201" t="str">
        <f t="shared" si="6"/>
        <v>1898304</v>
      </c>
      <c r="J201">
        <f t="shared" si="7"/>
        <v>0</v>
      </c>
    </row>
    <row r="202" spans="1:10" ht="15.75" thickBot="1">
      <c r="A202" s="566" t="s">
        <v>492</v>
      </c>
      <c r="B202" s="567">
        <v>64171</v>
      </c>
      <c r="C202" s="568" t="s">
        <v>493</v>
      </c>
      <c r="D202" s="567" t="s">
        <v>499</v>
      </c>
      <c r="E202" s="342" t="s">
        <v>1103</v>
      </c>
      <c r="F202" s="74">
        <v>4232906.4199477648</v>
      </c>
      <c r="G202" s="342">
        <v>1898305</v>
      </c>
      <c r="I202" t="str">
        <f t="shared" si="6"/>
        <v>1898305</v>
      </c>
      <c r="J202">
        <f t="shared" si="7"/>
        <v>0</v>
      </c>
    </row>
    <row r="203" spans="1:10" ht="15.75" thickBot="1">
      <c r="A203" s="566" t="s">
        <v>492</v>
      </c>
      <c r="B203" s="567">
        <v>64171</v>
      </c>
      <c r="C203" s="567" t="s">
        <v>493</v>
      </c>
      <c r="D203" s="568" t="s">
        <v>500</v>
      </c>
      <c r="E203" s="342" t="s">
        <v>1103</v>
      </c>
      <c r="F203" s="74">
        <v>4391961.5722327465</v>
      </c>
      <c r="G203" s="342">
        <v>1898306</v>
      </c>
      <c r="I203" t="str">
        <f t="shared" si="6"/>
        <v>1898306</v>
      </c>
      <c r="J203">
        <f t="shared" si="7"/>
        <v>0</v>
      </c>
    </row>
    <row r="204" spans="1:10" ht="15.75" thickBot="1">
      <c r="A204" s="566" t="s">
        <v>492</v>
      </c>
      <c r="B204" s="567">
        <v>64171</v>
      </c>
      <c r="C204" s="568" t="s">
        <v>493</v>
      </c>
      <c r="D204" s="567" t="s">
        <v>501</v>
      </c>
      <c r="E204" s="342" t="s">
        <v>1103</v>
      </c>
      <c r="F204" s="74">
        <v>2353739.2441771333</v>
      </c>
      <c r="G204" s="342">
        <v>1898307</v>
      </c>
      <c r="I204" t="str">
        <f t="shared" si="6"/>
        <v>1898307</v>
      </c>
      <c r="J204">
        <f t="shared" si="7"/>
        <v>0</v>
      </c>
    </row>
    <row r="205" spans="1:10" ht="15.75" thickBot="1">
      <c r="A205" s="566" t="s">
        <v>492</v>
      </c>
      <c r="B205" s="567">
        <v>64171</v>
      </c>
      <c r="C205" s="567" t="s">
        <v>493</v>
      </c>
      <c r="D205" s="568" t="s">
        <v>502</v>
      </c>
      <c r="E205" s="342" t="s">
        <v>1103</v>
      </c>
      <c r="F205" s="74">
        <v>1340769.0763718723</v>
      </c>
      <c r="G205" s="342">
        <v>1898308</v>
      </c>
      <c r="I205" t="str">
        <f t="shared" si="6"/>
        <v>1898308</v>
      </c>
      <c r="J205">
        <f t="shared" si="7"/>
        <v>0</v>
      </c>
    </row>
    <row r="206" spans="1:10" ht="15.75" thickBot="1">
      <c r="A206" s="566" t="s">
        <v>492</v>
      </c>
      <c r="B206" s="567">
        <v>64171</v>
      </c>
      <c r="C206" s="568" t="s">
        <v>493</v>
      </c>
      <c r="D206" s="567" t="s">
        <v>503</v>
      </c>
      <c r="E206" s="342" t="s">
        <v>1103</v>
      </c>
      <c r="F206" s="74">
        <v>2039157.5</v>
      </c>
      <c r="G206" s="342">
        <v>1898309</v>
      </c>
      <c r="I206" t="str">
        <f t="shared" si="6"/>
        <v>1898309</v>
      </c>
      <c r="J206">
        <f t="shared" si="7"/>
        <v>0</v>
      </c>
    </row>
    <row r="207" spans="1:10" ht="15.75" thickBot="1">
      <c r="A207" s="566" t="s">
        <v>492</v>
      </c>
      <c r="B207" s="567">
        <v>64171</v>
      </c>
      <c r="C207" s="567" t="s">
        <v>493</v>
      </c>
      <c r="D207" s="567" t="s">
        <v>505</v>
      </c>
      <c r="E207" s="342" t="s">
        <v>1103</v>
      </c>
      <c r="F207" s="74">
        <v>19883.595733601807</v>
      </c>
      <c r="G207" s="342">
        <v>1898311</v>
      </c>
      <c r="I207" t="str">
        <f t="shared" si="6"/>
        <v>1898311</v>
      </c>
      <c r="J207">
        <f t="shared" si="7"/>
        <v>0</v>
      </c>
    </row>
    <row r="208" spans="1:10" ht="15.75" thickBot="1">
      <c r="A208" s="566" t="s">
        <v>492</v>
      </c>
      <c r="B208" s="567">
        <v>64171</v>
      </c>
      <c r="C208" s="568" t="s">
        <v>493</v>
      </c>
      <c r="D208" s="567" t="s">
        <v>494</v>
      </c>
      <c r="E208" s="342" t="s">
        <v>996</v>
      </c>
      <c r="F208" s="74">
        <v>80543.47541788753</v>
      </c>
      <c r="G208" s="342">
        <v>1898301</v>
      </c>
      <c r="I208" t="str">
        <f t="shared" si="6"/>
        <v>1898301</v>
      </c>
      <c r="J208">
        <f t="shared" si="7"/>
        <v>0</v>
      </c>
    </row>
    <row r="209" spans="1:10" ht="15.75" thickBot="1">
      <c r="A209" s="566" t="s">
        <v>492</v>
      </c>
      <c r="B209" s="567">
        <v>64171</v>
      </c>
      <c r="C209" s="567" t="s">
        <v>493</v>
      </c>
      <c r="D209" s="568" t="s">
        <v>496</v>
      </c>
      <c r="E209" s="342" t="s">
        <v>996</v>
      </c>
      <c r="F209" s="74">
        <v>1822672.8130869158</v>
      </c>
      <c r="G209" s="342">
        <v>1898302</v>
      </c>
      <c r="I209" t="str">
        <f t="shared" si="6"/>
        <v>1898302</v>
      </c>
      <c r="J209">
        <f t="shared" si="7"/>
        <v>0</v>
      </c>
    </row>
    <row r="210" spans="1:10" ht="15.75" thickBot="1">
      <c r="A210" s="566" t="s">
        <v>492</v>
      </c>
      <c r="B210" s="567">
        <v>64171</v>
      </c>
      <c r="C210" s="568" t="s">
        <v>493</v>
      </c>
      <c r="D210" s="567" t="s">
        <v>497</v>
      </c>
      <c r="E210" s="342" t="s">
        <v>996</v>
      </c>
      <c r="F210" s="74">
        <v>1757614.1847000306</v>
      </c>
      <c r="G210" s="342">
        <v>1898303</v>
      </c>
      <c r="I210" t="str">
        <f t="shared" si="6"/>
        <v>1898303</v>
      </c>
      <c r="J210">
        <f t="shared" si="7"/>
        <v>0</v>
      </c>
    </row>
    <row r="211" spans="1:10" ht="15.75" thickBot="1">
      <c r="A211" s="566" t="s">
        <v>492</v>
      </c>
      <c r="B211" s="567">
        <v>64171</v>
      </c>
      <c r="C211" s="567" t="s">
        <v>493</v>
      </c>
      <c r="D211" s="568" t="s">
        <v>498</v>
      </c>
      <c r="E211" s="342" t="s">
        <v>996</v>
      </c>
      <c r="F211" s="74">
        <v>1345228.803444237</v>
      </c>
      <c r="G211" s="342">
        <v>1898304</v>
      </c>
      <c r="I211" t="str">
        <f t="shared" si="6"/>
        <v>1898304</v>
      </c>
      <c r="J211">
        <f t="shared" si="7"/>
        <v>0</v>
      </c>
    </row>
    <row r="212" spans="1:10" ht="15.75" thickBot="1">
      <c r="A212" s="566" t="s">
        <v>492</v>
      </c>
      <c r="B212" s="567">
        <v>64171</v>
      </c>
      <c r="C212" s="568" t="s">
        <v>493</v>
      </c>
      <c r="D212" s="567" t="s">
        <v>499</v>
      </c>
      <c r="E212" s="342" t="s">
        <v>996</v>
      </c>
      <c r="F212" s="74">
        <v>478169.50009118236</v>
      </c>
      <c r="G212" s="342">
        <v>1898305</v>
      </c>
      <c r="I212" t="str">
        <f t="shared" si="6"/>
        <v>1898305</v>
      </c>
      <c r="J212">
        <f t="shared" si="7"/>
        <v>0</v>
      </c>
    </row>
    <row r="213" spans="1:10" ht="15.75" thickBot="1">
      <c r="A213" s="566" t="s">
        <v>492</v>
      </c>
      <c r="B213" s="567">
        <v>64171</v>
      </c>
      <c r="C213" s="567" t="s">
        <v>493</v>
      </c>
      <c r="D213" s="568" t="s">
        <v>500</v>
      </c>
      <c r="E213" s="342" t="s">
        <v>996</v>
      </c>
      <c r="F213" s="74">
        <v>1656960.4348396184</v>
      </c>
      <c r="G213" s="342">
        <v>1898306</v>
      </c>
      <c r="I213" t="str">
        <f t="shared" si="6"/>
        <v>1898306</v>
      </c>
      <c r="J213">
        <f t="shared" si="7"/>
        <v>0</v>
      </c>
    </row>
    <row r="214" spans="1:10" ht="15.75" thickBot="1">
      <c r="A214" s="566" t="s">
        <v>492</v>
      </c>
      <c r="B214" s="567">
        <v>64171</v>
      </c>
      <c r="C214" s="568" t="s">
        <v>493</v>
      </c>
      <c r="D214" s="567" t="s">
        <v>501</v>
      </c>
      <c r="E214" s="342" t="s">
        <v>996</v>
      </c>
      <c r="F214" s="74">
        <v>264029.04597787105</v>
      </c>
      <c r="G214" s="342">
        <v>1898307</v>
      </c>
      <c r="I214" t="str">
        <f t="shared" si="6"/>
        <v>1898307</v>
      </c>
      <c r="J214">
        <f t="shared" si="7"/>
        <v>0</v>
      </c>
    </row>
    <row r="215" spans="1:10" ht="15.75" thickBot="1">
      <c r="A215" s="566" t="s">
        <v>492</v>
      </c>
      <c r="B215" s="567">
        <v>64171</v>
      </c>
      <c r="C215" s="567" t="s">
        <v>493</v>
      </c>
      <c r="D215" s="568" t="s">
        <v>502</v>
      </c>
      <c r="E215" s="342" t="s">
        <v>996</v>
      </c>
      <c r="F215" s="74">
        <v>204490.33481737084</v>
      </c>
      <c r="G215" s="342">
        <v>1898308</v>
      </c>
      <c r="I215" t="str">
        <f t="shared" si="6"/>
        <v>1898308</v>
      </c>
      <c r="J215">
        <f t="shared" si="7"/>
        <v>0</v>
      </c>
    </row>
    <row r="216" spans="1:10" s="68" customFormat="1" ht="15.75" thickBot="1">
      <c r="A216" s="579" t="s">
        <v>492</v>
      </c>
      <c r="B216" s="580">
        <v>64171</v>
      </c>
      <c r="C216" s="580" t="s">
        <v>493</v>
      </c>
      <c r="D216" s="580" t="s">
        <v>503</v>
      </c>
      <c r="E216" s="91" t="s">
        <v>996</v>
      </c>
      <c r="F216" s="92">
        <v>785950.03044</v>
      </c>
      <c r="G216" s="91">
        <v>1898309</v>
      </c>
      <c r="I216" t="str">
        <f t="shared" si="6"/>
        <v>1898309</v>
      </c>
      <c r="J216">
        <f t="shared" si="7"/>
        <v>0</v>
      </c>
    </row>
    <row r="217" spans="1:10" s="68" customFormat="1" ht="15.75" thickBot="1">
      <c r="A217" s="579" t="s">
        <v>492</v>
      </c>
      <c r="B217" s="580">
        <v>64171</v>
      </c>
      <c r="C217" s="580" t="s">
        <v>493</v>
      </c>
      <c r="D217" s="580" t="s">
        <v>496</v>
      </c>
      <c r="E217" s="91" t="s">
        <v>976</v>
      </c>
      <c r="F217" s="92">
        <v>7891000</v>
      </c>
      <c r="G217" s="91">
        <v>1898302</v>
      </c>
      <c r="I217" t="str">
        <f t="shared" si="6"/>
        <v>1898302</v>
      </c>
      <c r="J217">
        <f t="shared" si="7"/>
        <v>0</v>
      </c>
    </row>
    <row r="218" spans="1:10" s="68" customFormat="1" ht="15.75" thickBot="1">
      <c r="A218" s="579" t="s">
        <v>492</v>
      </c>
      <c r="B218" s="580">
        <v>64171</v>
      </c>
      <c r="C218" s="580" t="s">
        <v>493</v>
      </c>
      <c r="D218" s="580" t="s">
        <v>497</v>
      </c>
      <c r="E218" s="91" t="s">
        <v>976</v>
      </c>
      <c r="F218" s="92">
        <v>11417000</v>
      </c>
      <c r="G218" s="91">
        <v>1898303</v>
      </c>
      <c r="I218" t="str">
        <f t="shared" si="6"/>
        <v>1898303</v>
      </c>
      <c r="J218">
        <f t="shared" si="7"/>
        <v>0</v>
      </c>
    </row>
    <row r="219" spans="1:10" s="68" customFormat="1" ht="15.75" thickBot="1">
      <c r="A219" s="579" t="s">
        <v>492</v>
      </c>
      <c r="B219" s="580">
        <v>64171</v>
      </c>
      <c r="C219" s="580" t="s">
        <v>493</v>
      </c>
      <c r="D219" s="580" t="s">
        <v>498</v>
      </c>
      <c r="E219" s="91" t="s">
        <v>976</v>
      </c>
      <c r="F219" s="92">
        <v>2251000</v>
      </c>
      <c r="G219" s="91">
        <v>1898304</v>
      </c>
      <c r="I219" t="str">
        <f t="shared" si="6"/>
        <v>1898304</v>
      </c>
      <c r="J219">
        <f t="shared" si="7"/>
        <v>0</v>
      </c>
    </row>
    <row r="220" spans="1:10" s="68" customFormat="1" ht="15.75" thickBot="1">
      <c r="A220" s="579" t="s">
        <v>492</v>
      </c>
      <c r="B220" s="580">
        <v>64171</v>
      </c>
      <c r="C220" s="580" t="s">
        <v>493</v>
      </c>
      <c r="D220" s="580" t="s">
        <v>499</v>
      </c>
      <c r="E220" s="91" t="s">
        <v>976</v>
      </c>
      <c r="F220" s="92">
        <v>2965000</v>
      </c>
      <c r="G220" s="91">
        <v>1898305</v>
      </c>
      <c r="I220" t="str">
        <f t="shared" si="6"/>
        <v>1898305</v>
      </c>
      <c r="J220">
        <f t="shared" si="7"/>
        <v>0</v>
      </c>
    </row>
    <row r="221" spans="1:10" s="68" customFormat="1" ht="15.75" thickBot="1">
      <c r="A221" s="579" t="s">
        <v>492</v>
      </c>
      <c r="B221" s="580">
        <v>64171</v>
      </c>
      <c r="C221" s="580" t="s">
        <v>493</v>
      </c>
      <c r="D221" s="580" t="s">
        <v>500</v>
      </c>
      <c r="E221" s="91" t="s">
        <v>976</v>
      </c>
      <c r="F221" s="92">
        <v>12488000</v>
      </c>
      <c r="G221" s="91">
        <v>1898306</v>
      </c>
      <c r="I221" t="str">
        <f t="shared" si="6"/>
        <v>1898306</v>
      </c>
      <c r="J221">
        <f t="shared" si="7"/>
        <v>0</v>
      </c>
    </row>
    <row r="222" spans="1:10" s="68" customFormat="1" ht="15.75" thickBot="1">
      <c r="A222" s="579" t="s">
        <v>492</v>
      </c>
      <c r="B222" s="580">
        <v>64171</v>
      </c>
      <c r="C222" s="580" t="s">
        <v>493</v>
      </c>
      <c r="D222" s="580" t="s">
        <v>501</v>
      </c>
      <c r="E222" s="91" t="s">
        <v>976</v>
      </c>
      <c r="F222" s="92">
        <v>3107000</v>
      </c>
      <c r="G222" s="91">
        <v>1898307</v>
      </c>
      <c r="I222" t="str">
        <f t="shared" si="6"/>
        <v>1898307</v>
      </c>
      <c r="J222">
        <f t="shared" si="7"/>
        <v>0</v>
      </c>
    </row>
    <row r="223" spans="1:10" s="68" customFormat="1" ht="15.75" thickBot="1">
      <c r="A223" s="579" t="s">
        <v>492</v>
      </c>
      <c r="B223" s="580">
        <v>64171</v>
      </c>
      <c r="C223" s="580" t="s">
        <v>493</v>
      </c>
      <c r="D223" s="580" t="s">
        <v>502</v>
      </c>
      <c r="E223" s="91" t="s">
        <v>976</v>
      </c>
      <c r="F223" s="92">
        <v>2145000</v>
      </c>
      <c r="G223" s="91">
        <v>1898308</v>
      </c>
      <c r="I223" t="str">
        <f t="shared" si="6"/>
        <v>1898308</v>
      </c>
      <c r="J223">
        <f t="shared" si="7"/>
        <v>0</v>
      </c>
    </row>
    <row r="224" spans="1:10" s="68" customFormat="1" ht="15.75" thickBot="1">
      <c r="A224" s="579" t="s">
        <v>492</v>
      </c>
      <c r="B224" s="580">
        <v>64171</v>
      </c>
      <c r="C224" s="580" t="s">
        <v>493</v>
      </c>
      <c r="D224" s="580" t="s">
        <v>503</v>
      </c>
      <c r="E224" s="91" t="s">
        <v>976</v>
      </c>
      <c r="F224" s="92">
        <v>7210000</v>
      </c>
      <c r="G224" s="91">
        <v>1898309</v>
      </c>
      <c r="I224" t="str">
        <f t="shared" si="6"/>
        <v>1898309</v>
      </c>
      <c r="J224">
        <f t="shared" si="7"/>
        <v>0</v>
      </c>
    </row>
    <row r="225" spans="1:10" s="643" customFormat="1" ht="15.75" thickBot="1">
      <c r="A225" s="639" t="s">
        <v>492</v>
      </c>
      <c r="B225" s="640">
        <v>64171</v>
      </c>
      <c r="C225" s="640" t="s">
        <v>493</v>
      </c>
      <c r="D225" s="640" t="s">
        <v>494</v>
      </c>
      <c r="E225" s="91" t="s">
        <v>976</v>
      </c>
      <c r="F225" s="642">
        <v>994010.82462881343</v>
      </c>
      <c r="G225" s="641">
        <v>1898301</v>
      </c>
      <c r="I225" t="str">
        <f t="shared" si="6"/>
        <v>1898301</v>
      </c>
      <c r="J225">
        <f t="shared" si="7"/>
        <v>0</v>
      </c>
    </row>
    <row r="226" spans="1:10" s="643" customFormat="1" ht="15.75" thickBot="1">
      <c r="A226" s="639" t="s">
        <v>492</v>
      </c>
      <c r="B226" s="640">
        <v>64171</v>
      </c>
      <c r="C226" s="640" t="s">
        <v>493</v>
      </c>
      <c r="D226" s="640" t="s">
        <v>496</v>
      </c>
      <c r="E226" s="91" t="s">
        <v>976</v>
      </c>
      <c r="F226" s="642">
        <v>10000523.120589806</v>
      </c>
      <c r="G226" s="641">
        <v>1898302</v>
      </c>
      <c r="I226" t="str">
        <f t="shared" si="6"/>
        <v>1898302</v>
      </c>
      <c r="J226">
        <f t="shared" si="7"/>
        <v>0</v>
      </c>
    </row>
    <row r="227" spans="1:10" s="643" customFormat="1" ht="15.75" thickBot="1">
      <c r="A227" s="639" t="s">
        <v>492</v>
      </c>
      <c r="B227" s="640">
        <v>64171</v>
      </c>
      <c r="C227" s="640" t="s">
        <v>493</v>
      </c>
      <c r="D227" s="640" t="s">
        <v>497</v>
      </c>
      <c r="E227" s="91" t="s">
        <v>976</v>
      </c>
      <c r="F227" s="642">
        <v>5557423.6372075081</v>
      </c>
      <c r="G227" s="641">
        <v>1898303</v>
      </c>
      <c r="I227" t="str">
        <f t="shared" ref="I227:I290" si="8">RIGHT(D227,7)</f>
        <v>1898303</v>
      </c>
      <c r="J227">
        <f t="shared" ref="J227:J290" si="9">I227-G227</f>
        <v>0</v>
      </c>
    </row>
    <row r="228" spans="1:10" s="643" customFormat="1" ht="15.75" thickBot="1">
      <c r="A228" s="639" t="s">
        <v>492</v>
      </c>
      <c r="B228" s="640">
        <v>64171</v>
      </c>
      <c r="C228" s="640" t="s">
        <v>493</v>
      </c>
      <c r="D228" s="640" t="s">
        <v>498</v>
      </c>
      <c r="E228" s="91" t="s">
        <v>976</v>
      </c>
      <c r="F228" s="642">
        <v>2634322.5060386993</v>
      </c>
      <c r="G228" s="641">
        <v>1898304</v>
      </c>
      <c r="I228" t="str">
        <f t="shared" si="8"/>
        <v>1898304</v>
      </c>
      <c r="J228">
        <f t="shared" si="9"/>
        <v>0</v>
      </c>
    </row>
    <row r="229" spans="1:10" s="643" customFormat="1" ht="15.75" thickBot="1">
      <c r="A229" s="639" t="s">
        <v>492</v>
      </c>
      <c r="B229" s="640">
        <v>64171</v>
      </c>
      <c r="C229" s="640" t="s">
        <v>493</v>
      </c>
      <c r="D229" s="640" t="s">
        <v>499</v>
      </c>
      <c r="E229" s="91" t="s">
        <v>976</v>
      </c>
      <c r="F229" s="642">
        <v>4226385.7397108013</v>
      </c>
      <c r="G229" s="641">
        <v>1898305</v>
      </c>
      <c r="I229" t="str">
        <f t="shared" si="8"/>
        <v>1898305</v>
      </c>
      <c r="J229">
        <f t="shared" si="9"/>
        <v>0</v>
      </c>
    </row>
    <row r="230" spans="1:10" s="643" customFormat="1" ht="15.75" thickBot="1">
      <c r="A230" s="639" t="s">
        <v>492</v>
      </c>
      <c r="B230" s="640">
        <v>64171</v>
      </c>
      <c r="C230" s="640" t="s">
        <v>493</v>
      </c>
      <c r="D230" s="640" t="s">
        <v>500</v>
      </c>
      <c r="E230" s="91" t="s">
        <v>976</v>
      </c>
      <c r="F230" s="642">
        <v>4866136.63541889</v>
      </c>
      <c r="G230" s="641">
        <v>1898306</v>
      </c>
      <c r="I230" t="str">
        <f t="shared" si="8"/>
        <v>1898306</v>
      </c>
      <c r="J230">
        <f t="shared" si="9"/>
        <v>0</v>
      </c>
    </row>
    <row r="231" spans="1:10" s="643" customFormat="1" ht="15.75" thickBot="1">
      <c r="A231" s="639" t="s">
        <v>492</v>
      </c>
      <c r="B231" s="640">
        <v>64171</v>
      </c>
      <c r="C231" s="640" t="s">
        <v>493</v>
      </c>
      <c r="D231" s="640" t="s">
        <v>501</v>
      </c>
      <c r="E231" s="91" t="s">
        <v>976</v>
      </c>
      <c r="F231" s="642">
        <v>1181483.7504909332</v>
      </c>
      <c r="G231" s="641">
        <v>1898307</v>
      </c>
      <c r="I231" t="str">
        <f t="shared" si="8"/>
        <v>1898307</v>
      </c>
      <c r="J231">
        <f t="shared" si="9"/>
        <v>0</v>
      </c>
    </row>
    <row r="232" spans="1:10" s="643" customFormat="1" ht="15.75" thickBot="1">
      <c r="A232" s="639" t="s">
        <v>492</v>
      </c>
      <c r="B232" s="640">
        <v>64171</v>
      </c>
      <c r="C232" s="640" t="s">
        <v>493</v>
      </c>
      <c r="D232" s="640" t="s">
        <v>502</v>
      </c>
      <c r="E232" s="91" t="s">
        <v>976</v>
      </c>
      <c r="F232" s="642">
        <v>3190515.6668118867</v>
      </c>
      <c r="G232" s="641">
        <v>1898308</v>
      </c>
      <c r="I232" t="str">
        <f t="shared" si="8"/>
        <v>1898308</v>
      </c>
      <c r="J232">
        <f t="shared" si="9"/>
        <v>0</v>
      </c>
    </row>
    <row r="233" spans="1:10" s="643" customFormat="1" ht="15.75" thickBot="1">
      <c r="A233" s="639" t="s">
        <v>492</v>
      </c>
      <c r="B233" s="640">
        <v>64171</v>
      </c>
      <c r="C233" s="640" t="s">
        <v>493</v>
      </c>
      <c r="D233" s="640" t="s">
        <v>503</v>
      </c>
      <c r="E233" s="91" t="s">
        <v>976</v>
      </c>
      <c r="F233" s="642">
        <v>4840489.0319874063</v>
      </c>
      <c r="G233" s="641">
        <v>1898309</v>
      </c>
      <c r="I233" t="str">
        <f t="shared" si="8"/>
        <v>1898309</v>
      </c>
      <c r="J233">
        <f t="shared" si="9"/>
        <v>0</v>
      </c>
    </row>
    <row r="234" spans="1:10" s="643" customFormat="1" ht="15.75" thickBot="1">
      <c r="A234" s="639" t="s">
        <v>492</v>
      </c>
      <c r="B234" s="640">
        <v>64171</v>
      </c>
      <c r="C234" s="640" t="s">
        <v>493</v>
      </c>
      <c r="D234" s="640" t="s">
        <v>504</v>
      </c>
      <c r="E234" s="91" t="s">
        <v>976</v>
      </c>
      <c r="F234" s="642">
        <v>748.35589736285829</v>
      </c>
      <c r="G234" s="641">
        <v>1898310</v>
      </c>
      <c r="I234" t="str">
        <f t="shared" si="8"/>
        <v>1898310</v>
      </c>
      <c r="J234">
        <f t="shared" si="9"/>
        <v>0</v>
      </c>
    </row>
    <row r="235" spans="1:10" s="643" customFormat="1" ht="15.75" thickBot="1">
      <c r="A235" s="639" t="s">
        <v>492</v>
      </c>
      <c r="B235" s="640">
        <v>64171</v>
      </c>
      <c r="C235" s="640" t="s">
        <v>493</v>
      </c>
      <c r="D235" s="640" t="s">
        <v>505</v>
      </c>
      <c r="E235" s="91" t="s">
        <v>976</v>
      </c>
      <c r="F235" s="642">
        <v>2692064</v>
      </c>
      <c r="G235" s="641">
        <v>1898311</v>
      </c>
      <c r="I235" t="str">
        <f t="shared" si="8"/>
        <v>1898311</v>
      </c>
      <c r="J235">
        <f t="shared" si="9"/>
        <v>0</v>
      </c>
    </row>
    <row r="236" spans="1:10" s="643" customFormat="1" ht="15.75" thickBot="1">
      <c r="A236" s="639" t="s">
        <v>492</v>
      </c>
      <c r="B236" s="640">
        <v>64171</v>
      </c>
      <c r="C236" s="640" t="s">
        <v>493</v>
      </c>
      <c r="D236" s="640" t="s">
        <v>496</v>
      </c>
      <c r="E236" s="641" t="s">
        <v>977</v>
      </c>
      <c r="F236" s="642">
        <v>5176743.6443727771</v>
      </c>
      <c r="G236" s="641">
        <v>1898302</v>
      </c>
      <c r="I236" t="str">
        <f t="shared" si="8"/>
        <v>1898302</v>
      </c>
      <c r="J236">
        <f t="shared" si="9"/>
        <v>0</v>
      </c>
    </row>
    <row r="237" spans="1:10" s="643" customFormat="1" ht="15.75" thickBot="1">
      <c r="A237" s="639" t="s">
        <v>492</v>
      </c>
      <c r="B237" s="640">
        <v>64171</v>
      </c>
      <c r="C237" s="640" t="s">
        <v>493</v>
      </c>
      <c r="D237" s="640" t="s">
        <v>497</v>
      </c>
      <c r="E237" s="641" t="s">
        <v>977</v>
      </c>
      <c r="F237" s="642">
        <v>7872141.713808801</v>
      </c>
      <c r="G237" s="641">
        <v>1898303</v>
      </c>
      <c r="I237" t="str">
        <f t="shared" si="8"/>
        <v>1898303</v>
      </c>
      <c r="J237">
        <f t="shared" si="9"/>
        <v>0</v>
      </c>
    </row>
    <row r="238" spans="1:10" s="643" customFormat="1" ht="15.75" thickBot="1">
      <c r="A238" s="639" t="s">
        <v>492</v>
      </c>
      <c r="B238" s="640">
        <v>64171</v>
      </c>
      <c r="C238" s="640" t="s">
        <v>493</v>
      </c>
      <c r="D238" s="640" t="s">
        <v>498</v>
      </c>
      <c r="E238" s="641" t="s">
        <v>977</v>
      </c>
      <c r="F238" s="642">
        <v>3009116.3778209714</v>
      </c>
      <c r="G238" s="641">
        <v>1898304</v>
      </c>
      <c r="I238" t="str">
        <f t="shared" si="8"/>
        <v>1898304</v>
      </c>
      <c r="J238">
        <f t="shared" si="9"/>
        <v>0</v>
      </c>
    </row>
    <row r="239" spans="1:10" s="643" customFormat="1" ht="15.75" thickBot="1">
      <c r="A239" s="639" t="s">
        <v>492</v>
      </c>
      <c r="B239" s="640">
        <v>64171</v>
      </c>
      <c r="C239" s="640" t="s">
        <v>493</v>
      </c>
      <c r="D239" s="640" t="s">
        <v>499</v>
      </c>
      <c r="E239" s="641" t="s">
        <v>977</v>
      </c>
      <c r="F239" s="642">
        <v>4248592.9802961815</v>
      </c>
      <c r="G239" s="641">
        <v>1898305</v>
      </c>
      <c r="I239" t="str">
        <f t="shared" si="8"/>
        <v>1898305</v>
      </c>
      <c r="J239">
        <f t="shared" si="9"/>
        <v>0</v>
      </c>
    </row>
    <row r="240" spans="1:10" s="643" customFormat="1" ht="15.75" thickBot="1">
      <c r="A240" s="639" t="s">
        <v>492</v>
      </c>
      <c r="B240" s="640">
        <v>64171</v>
      </c>
      <c r="C240" s="640" t="s">
        <v>493</v>
      </c>
      <c r="D240" s="640" t="s">
        <v>500</v>
      </c>
      <c r="E240" s="641" t="s">
        <v>977</v>
      </c>
      <c r="F240" s="642">
        <v>4502624.5639711861</v>
      </c>
      <c r="G240" s="641">
        <v>1898306</v>
      </c>
      <c r="I240" t="str">
        <f t="shared" si="8"/>
        <v>1898306</v>
      </c>
      <c r="J240">
        <f t="shared" si="9"/>
        <v>0</v>
      </c>
    </row>
    <row r="241" spans="1:10" s="643" customFormat="1" ht="15.75" thickBot="1">
      <c r="A241" s="639" t="s">
        <v>492</v>
      </c>
      <c r="B241" s="640">
        <v>64171</v>
      </c>
      <c r="C241" s="640" t="s">
        <v>493</v>
      </c>
      <c r="D241" s="640" t="s">
        <v>501</v>
      </c>
      <c r="E241" s="641" t="s">
        <v>977</v>
      </c>
      <c r="F241" s="642">
        <v>1592379.6275243287</v>
      </c>
      <c r="G241" s="641">
        <v>1898307</v>
      </c>
      <c r="I241" t="str">
        <f t="shared" si="8"/>
        <v>1898307</v>
      </c>
      <c r="J241">
        <f t="shared" si="9"/>
        <v>0</v>
      </c>
    </row>
    <row r="242" spans="1:10" s="643" customFormat="1" ht="15.75" thickBot="1">
      <c r="A242" s="639" t="s">
        <v>492</v>
      </c>
      <c r="B242" s="640">
        <v>64171</v>
      </c>
      <c r="C242" s="640" t="s">
        <v>493</v>
      </c>
      <c r="D242" s="640" t="s">
        <v>502</v>
      </c>
      <c r="E242" s="641" t="s">
        <v>977</v>
      </c>
      <c r="F242" s="642">
        <v>2180891.6022073901</v>
      </c>
      <c r="G242" s="641">
        <v>1898308</v>
      </c>
      <c r="I242" t="str">
        <f t="shared" si="8"/>
        <v>1898308</v>
      </c>
      <c r="J242">
        <f t="shared" si="9"/>
        <v>0</v>
      </c>
    </row>
    <row r="243" spans="1:10" s="643" customFormat="1" ht="15.75" thickBot="1">
      <c r="A243" s="639" t="s">
        <v>492</v>
      </c>
      <c r="B243" s="640">
        <v>64171</v>
      </c>
      <c r="C243" s="640" t="s">
        <v>493</v>
      </c>
      <c r="D243" s="640" t="s">
        <v>503</v>
      </c>
      <c r="E243" s="641" t="s">
        <v>977</v>
      </c>
      <c r="F243" s="642">
        <v>3701424.703906436</v>
      </c>
      <c r="G243" s="641">
        <v>1898309</v>
      </c>
      <c r="I243" t="str">
        <f t="shared" si="8"/>
        <v>1898309</v>
      </c>
      <c r="J243">
        <f t="shared" si="9"/>
        <v>0</v>
      </c>
    </row>
    <row r="244" spans="1:10" s="643" customFormat="1" ht="15.75" thickBot="1">
      <c r="A244" s="639" t="s">
        <v>492</v>
      </c>
      <c r="B244" s="640">
        <v>64171</v>
      </c>
      <c r="C244" s="640" t="s">
        <v>493</v>
      </c>
      <c r="D244" s="640" t="s">
        <v>504</v>
      </c>
      <c r="E244" s="641" t="s">
        <v>977</v>
      </c>
      <c r="F244" s="642">
        <v>3168.3805762903989</v>
      </c>
      <c r="G244" s="641">
        <v>1898310</v>
      </c>
      <c r="I244" t="str">
        <f t="shared" si="8"/>
        <v>1898310</v>
      </c>
      <c r="J244">
        <f t="shared" si="9"/>
        <v>0</v>
      </c>
    </row>
    <row r="245" spans="1:10" s="643" customFormat="1" ht="15.75" thickBot="1">
      <c r="A245" s="639" t="s">
        <v>492</v>
      </c>
      <c r="B245" s="640">
        <v>64171</v>
      </c>
      <c r="C245" s="640" t="s">
        <v>493</v>
      </c>
      <c r="D245" s="640" t="s">
        <v>500</v>
      </c>
      <c r="E245" s="641" t="s">
        <v>978</v>
      </c>
      <c r="F245" s="642">
        <v>77940.096803264445</v>
      </c>
      <c r="G245" s="641">
        <v>1898306</v>
      </c>
      <c r="I245" t="str">
        <f t="shared" si="8"/>
        <v>1898306</v>
      </c>
      <c r="J245">
        <f t="shared" si="9"/>
        <v>0</v>
      </c>
    </row>
    <row r="246" spans="1:10" s="643" customFormat="1" ht="15.75" thickBot="1">
      <c r="A246" s="639" t="s">
        <v>492</v>
      </c>
      <c r="B246" s="640">
        <v>64171</v>
      </c>
      <c r="C246" s="640" t="s">
        <v>493</v>
      </c>
      <c r="D246" s="640" t="s">
        <v>502</v>
      </c>
      <c r="E246" s="641" t="s">
        <v>978</v>
      </c>
      <c r="F246" s="642">
        <v>19581.64320270508</v>
      </c>
      <c r="G246" s="641">
        <v>1898308</v>
      </c>
      <c r="I246" t="str">
        <f t="shared" si="8"/>
        <v>1898308</v>
      </c>
      <c r="J246">
        <f t="shared" si="9"/>
        <v>0</v>
      </c>
    </row>
    <row r="247" spans="1:10" s="643" customFormat="1" ht="15.75" thickBot="1">
      <c r="A247" s="639" t="s">
        <v>492</v>
      </c>
      <c r="B247" s="640">
        <v>64171</v>
      </c>
      <c r="C247" s="640" t="s">
        <v>493</v>
      </c>
      <c r="D247" s="640" t="s">
        <v>504</v>
      </c>
      <c r="E247" s="641" t="s">
        <v>978</v>
      </c>
      <c r="F247" s="642">
        <v>8057.9927593641141</v>
      </c>
      <c r="G247" s="641">
        <v>1898310</v>
      </c>
      <c r="I247" t="str">
        <f t="shared" si="8"/>
        <v>1898310</v>
      </c>
      <c r="J247">
        <f t="shared" si="9"/>
        <v>0</v>
      </c>
    </row>
    <row r="248" spans="1:10" s="643" customFormat="1" ht="15.75" thickBot="1">
      <c r="A248" s="639" t="s">
        <v>492</v>
      </c>
      <c r="B248" s="640">
        <v>64171</v>
      </c>
      <c r="C248" s="640" t="s">
        <v>493</v>
      </c>
      <c r="D248" s="640" t="s">
        <v>494</v>
      </c>
      <c r="E248" s="641" t="s">
        <v>979</v>
      </c>
      <c r="F248" s="642">
        <v>4193556.771314241</v>
      </c>
      <c r="G248" s="641">
        <v>1898301</v>
      </c>
      <c r="I248" t="str">
        <f t="shared" si="8"/>
        <v>1898301</v>
      </c>
      <c r="J248">
        <f t="shared" si="9"/>
        <v>0</v>
      </c>
    </row>
    <row r="249" spans="1:10" s="643" customFormat="1" ht="15.75" thickBot="1">
      <c r="A249" s="639" t="s">
        <v>492</v>
      </c>
      <c r="B249" s="640">
        <v>64171</v>
      </c>
      <c r="C249" s="640" t="s">
        <v>493</v>
      </c>
      <c r="D249" s="640" t="s">
        <v>496</v>
      </c>
      <c r="E249" s="641" t="s">
        <v>979</v>
      </c>
      <c r="F249" s="642">
        <v>1023485.6562136081</v>
      </c>
      <c r="G249" s="641">
        <v>1898302</v>
      </c>
      <c r="I249" t="str">
        <f t="shared" si="8"/>
        <v>1898302</v>
      </c>
      <c r="J249">
        <f t="shared" si="9"/>
        <v>0</v>
      </c>
    </row>
    <row r="250" spans="1:10" s="643" customFormat="1" ht="15.75" thickBot="1">
      <c r="A250" s="639" t="s">
        <v>492</v>
      </c>
      <c r="B250" s="640">
        <v>64171</v>
      </c>
      <c r="C250" s="640" t="s">
        <v>493</v>
      </c>
      <c r="D250" s="640" t="s">
        <v>497</v>
      </c>
      <c r="E250" s="641" t="s">
        <v>979</v>
      </c>
      <c r="F250" s="642">
        <v>2471691.5759714618</v>
      </c>
      <c r="G250" s="641">
        <v>1898303</v>
      </c>
      <c r="I250" t="str">
        <f t="shared" si="8"/>
        <v>1898303</v>
      </c>
      <c r="J250">
        <f t="shared" si="9"/>
        <v>0</v>
      </c>
    </row>
    <row r="251" spans="1:10" s="643" customFormat="1" ht="15.75" thickBot="1">
      <c r="A251" s="639" t="s">
        <v>492</v>
      </c>
      <c r="B251" s="640">
        <v>64171</v>
      </c>
      <c r="C251" s="640" t="s">
        <v>493</v>
      </c>
      <c r="D251" s="640" t="s">
        <v>498</v>
      </c>
      <c r="E251" s="641" t="s">
        <v>979</v>
      </c>
      <c r="F251" s="642">
        <v>721779.78469737747</v>
      </c>
      <c r="G251" s="641">
        <v>1898304</v>
      </c>
      <c r="I251" t="str">
        <f t="shared" si="8"/>
        <v>1898304</v>
      </c>
      <c r="J251">
        <f t="shared" si="9"/>
        <v>0</v>
      </c>
    </row>
    <row r="252" spans="1:10" s="643" customFormat="1" ht="15.75" thickBot="1">
      <c r="A252" s="639" t="s">
        <v>492</v>
      </c>
      <c r="B252" s="640">
        <v>64171</v>
      </c>
      <c r="C252" s="640" t="s">
        <v>493</v>
      </c>
      <c r="D252" s="640" t="s">
        <v>499</v>
      </c>
      <c r="E252" s="641" t="s">
        <v>979</v>
      </c>
      <c r="F252" s="642">
        <v>1162502.1804598127</v>
      </c>
      <c r="G252" s="641">
        <v>1898305</v>
      </c>
      <c r="I252" t="str">
        <f t="shared" si="8"/>
        <v>1898305</v>
      </c>
      <c r="J252">
        <f t="shared" si="9"/>
        <v>0</v>
      </c>
    </row>
    <row r="253" spans="1:10" s="643" customFormat="1" ht="15.75" thickBot="1">
      <c r="A253" s="639" t="s">
        <v>492</v>
      </c>
      <c r="B253" s="640">
        <v>64171</v>
      </c>
      <c r="C253" s="640" t="s">
        <v>493</v>
      </c>
      <c r="D253" s="640" t="s">
        <v>500</v>
      </c>
      <c r="E253" s="641" t="s">
        <v>979</v>
      </c>
      <c r="F253" s="642">
        <v>896612.89732979704</v>
      </c>
      <c r="G253" s="641">
        <v>1898306</v>
      </c>
      <c r="I253" t="str">
        <f t="shared" si="8"/>
        <v>1898306</v>
      </c>
      <c r="J253">
        <f t="shared" si="9"/>
        <v>0</v>
      </c>
    </row>
    <row r="254" spans="1:10" s="643" customFormat="1" ht="15.75" thickBot="1">
      <c r="A254" s="639" t="s">
        <v>492</v>
      </c>
      <c r="B254" s="640">
        <v>64171</v>
      </c>
      <c r="C254" s="640" t="s">
        <v>493</v>
      </c>
      <c r="D254" s="640" t="s">
        <v>501</v>
      </c>
      <c r="E254" s="641" t="s">
        <v>979</v>
      </c>
      <c r="F254" s="642">
        <v>501193.96296227735</v>
      </c>
      <c r="G254" s="641">
        <v>1898307</v>
      </c>
      <c r="I254" t="str">
        <f t="shared" si="8"/>
        <v>1898307</v>
      </c>
      <c r="J254">
        <f t="shared" si="9"/>
        <v>0</v>
      </c>
    </row>
    <row r="255" spans="1:10" s="643" customFormat="1" ht="15.75" thickBot="1">
      <c r="A255" s="639" t="s">
        <v>492</v>
      </c>
      <c r="B255" s="640">
        <v>64171</v>
      </c>
      <c r="C255" s="640" t="s">
        <v>493</v>
      </c>
      <c r="D255" s="640" t="s">
        <v>502</v>
      </c>
      <c r="E255" s="641" t="s">
        <v>979</v>
      </c>
      <c r="F255" s="642">
        <v>499042.98540221428</v>
      </c>
      <c r="G255" s="641">
        <v>1898308</v>
      </c>
      <c r="I255" t="str">
        <f t="shared" si="8"/>
        <v>1898308</v>
      </c>
      <c r="J255">
        <f t="shared" si="9"/>
        <v>0</v>
      </c>
    </row>
    <row r="256" spans="1:10" s="643" customFormat="1" ht="15.75" thickBot="1">
      <c r="A256" s="639" t="s">
        <v>492</v>
      </c>
      <c r="B256" s="640">
        <v>64171</v>
      </c>
      <c r="C256" s="640" t="s">
        <v>493</v>
      </c>
      <c r="D256" s="640" t="s">
        <v>503</v>
      </c>
      <c r="E256" s="641" t="s">
        <v>979</v>
      </c>
      <c r="F256" s="642">
        <v>1002070.969704202</v>
      </c>
      <c r="G256" s="641">
        <v>1898309</v>
      </c>
      <c r="I256" t="str">
        <f t="shared" si="8"/>
        <v>1898309</v>
      </c>
      <c r="J256">
        <f t="shared" si="9"/>
        <v>0</v>
      </c>
    </row>
    <row r="257" spans="1:10" s="643" customFormat="1" ht="15.75" thickBot="1">
      <c r="A257" s="639" t="s">
        <v>492</v>
      </c>
      <c r="B257" s="640">
        <v>64171</v>
      </c>
      <c r="C257" s="640" t="s">
        <v>493</v>
      </c>
      <c r="D257" s="640" t="s">
        <v>494</v>
      </c>
      <c r="E257" s="641" t="s">
        <v>980</v>
      </c>
      <c r="F257" s="642">
        <v>2888624.4040569458</v>
      </c>
      <c r="G257" s="641">
        <v>1898301</v>
      </c>
      <c r="I257" t="str">
        <f t="shared" si="8"/>
        <v>1898301</v>
      </c>
      <c r="J257">
        <f t="shared" si="9"/>
        <v>0</v>
      </c>
    </row>
    <row r="258" spans="1:10" s="643" customFormat="1" ht="15.75" thickBot="1">
      <c r="A258" s="639" t="s">
        <v>492</v>
      </c>
      <c r="B258" s="640">
        <v>64171</v>
      </c>
      <c r="C258" s="640" t="s">
        <v>493</v>
      </c>
      <c r="D258" s="640" t="s">
        <v>496</v>
      </c>
      <c r="E258" s="641" t="s">
        <v>981</v>
      </c>
      <c r="F258" s="642">
        <v>636293.32929615816</v>
      </c>
      <c r="G258" s="641">
        <v>1898302</v>
      </c>
      <c r="I258" t="str">
        <f t="shared" si="8"/>
        <v>1898302</v>
      </c>
      <c r="J258">
        <f t="shared" si="9"/>
        <v>0</v>
      </c>
    </row>
    <row r="259" spans="1:10" s="643" customFormat="1" ht="15.75" thickBot="1">
      <c r="A259" s="639" t="s">
        <v>492</v>
      </c>
      <c r="B259" s="640">
        <v>64171</v>
      </c>
      <c r="C259" s="640" t="s">
        <v>493</v>
      </c>
      <c r="D259" s="640" t="s">
        <v>497</v>
      </c>
      <c r="E259" s="641" t="s">
        <v>981</v>
      </c>
      <c r="F259" s="642">
        <v>171807.1647475221</v>
      </c>
      <c r="G259" s="641">
        <v>1898303</v>
      </c>
      <c r="I259" t="str">
        <f t="shared" si="8"/>
        <v>1898303</v>
      </c>
      <c r="J259">
        <f t="shared" si="9"/>
        <v>0</v>
      </c>
    </row>
    <row r="260" spans="1:10" s="643" customFormat="1" ht="15.75" thickBot="1">
      <c r="A260" s="639" t="s">
        <v>492</v>
      </c>
      <c r="B260" s="640">
        <v>64171</v>
      </c>
      <c r="C260" s="640" t="s">
        <v>493</v>
      </c>
      <c r="D260" s="640" t="s">
        <v>498</v>
      </c>
      <c r="E260" s="641" t="s">
        <v>981</v>
      </c>
      <c r="F260" s="642">
        <v>45616.780440594463</v>
      </c>
      <c r="G260" s="641">
        <v>1898304</v>
      </c>
      <c r="I260" t="str">
        <f t="shared" si="8"/>
        <v>1898304</v>
      </c>
      <c r="J260">
        <f t="shared" si="9"/>
        <v>0</v>
      </c>
    </row>
    <row r="261" spans="1:10" s="643" customFormat="1" ht="15.75" thickBot="1">
      <c r="A261" s="639" t="s">
        <v>492</v>
      </c>
      <c r="B261" s="640">
        <v>64171</v>
      </c>
      <c r="C261" s="640" t="s">
        <v>493</v>
      </c>
      <c r="D261" s="640" t="s">
        <v>499</v>
      </c>
      <c r="E261" s="641" t="s">
        <v>981</v>
      </c>
      <c r="F261" s="642">
        <v>108595.53436250183</v>
      </c>
      <c r="G261" s="641">
        <v>1898305</v>
      </c>
      <c r="I261" t="str">
        <f t="shared" si="8"/>
        <v>1898305</v>
      </c>
      <c r="J261">
        <f t="shared" si="9"/>
        <v>0</v>
      </c>
    </row>
    <row r="262" spans="1:10" s="643" customFormat="1" ht="15.75" thickBot="1">
      <c r="A262" s="639" t="s">
        <v>492</v>
      </c>
      <c r="B262" s="640">
        <v>64171</v>
      </c>
      <c r="C262" s="640" t="s">
        <v>493</v>
      </c>
      <c r="D262" s="640" t="s">
        <v>500</v>
      </c>
      <c r="E262" s="641" t="s">
        <v>981</v>
      </c>
      <c r="F262" s="642">
        <v>126440.40902092055</v>
      </c>
      <c r="G262" s="641">
        <v>1898306</v>
      </c>
      <c r="I262" t="str">
        <f t="shared" si="8"/>
        <v>1898306</v>
      </c>
      <c r="J262">
        <f t="shared" si="9"/>
        <v>0</v>
      </c>
    </row>
    <row r="263" spans="1:10" s="643" customFormat="1" ht="15.75" thickBot="1">
      <c r="A263" s="639" t="s">
        <v>492</v>
      </c>
      <c r="B263" s="640">
        <v>64171</v>
      </c>
      <c r="C263" s="640" t="s">
        <v>493</v>
      </c>
      <c r="D263" s="640" t="s">
        <v>501</v>
      </c>
      <c r="E263" s="641" t="s">
        <v>981</v>
      </c>
      <c r="F263" s="642">
        <v>41430.991894602281</v>
      </c>
      <c r="G263" s="641">
        <v>1898307</v>
      </c>
      <c r="I263" t="str">
        <f t="shared" si="8"/>
        <v>1898307</v>
      </c>
      <c r="J263">
        <f t="shared" si="9"/>
        <v>0</v>
      </c>
    </row>
    <row r="264" spans="1:10" s="643" customFormat="1" ht="15.75" thickBot="1">
      <c r="A264" s="639" t="s">
        <v>492</v>
      </c>
      <c r="B264" s="640">
        <v>64171</v>
      </c>
      <c r="C264" s="640" t="s">
        <v>493</v>
      </c>
      <c r="D264" s="640" t="s">
        <v>502</v>
      </c>
      <c r="E264" s="641" t="s">
        <v>981</v>
      </c>
      <c r="F264" s="642">
        <v>68648.702478937252</v>
      </c>
      <c r="G264" s="641">
        <v>1898308</v>
      </c>
      <c r="I264" t="str">
        <f t="shared" si="8"/>
        <v>1898308</v>
      </c>
      <c r="J264">
        <f t="shared" si="9"/>
        <v>0</v>
      </c>
    </row>
    <row r="265" spans="1:10" s="643" customFormat="1" ht="15.75" thickBot="1">
      <c r="A265" s="639" t="s">
        <v>492</v>
      </c>
      <c r="B265" s="640">
        <v>64171</v>
      </c>
      <c r="C265" s="640" t="s">
        <v>493</v>
      </c>
      <c r="D265" s="640" t="s">
        <v>503</v>
      </c>
      <c r="E265" s="641" t="s">
        <v>981</v>
      </c>
      <c r="F265" s="642">
        <v>86773.967738671417</v>
      </c>
      <c r="G265" s="641">
        <v>1898309</v>
      </c>
      <c r="I265" t="str">
        <f t="shared" si="8"/>
        <v>1898309</v>
      </c>
      <c r="J265">
        <f t="shared" si="9"/>
        <v>0</v>
      </c>
    </row>
    <row r="266" spans="1:10" ht="15.75" thickBot="1">
      <c r="A266" s="639" t="s">
        <v>492</v>
      </c>
      <c r="B266" s="640">
        <v>64171</v>
      </c>
      <c r="C266" s="640" t="s">
        <v>493</v>
      </c>
      <c r="D266" s="640" t="s">
        <v>496</v>
      </c>
      <c r="E266" s="641" t="s">
        <v>982</v>
      </c>
      <c r="F266" s="642">
        <v>260007.29566113467</v>
      </c>
      <c r="G266" s="641">
        <v>1898302</v>
      </c>
      <c r="H266" s="643"/>
      <c r="I266" t="str">
        <f t="shared" si="8"/>
        <v>1898302</v>
      </c>
      <c r="J266">
        <f t="shared" si="9"/>
        <v>0</v>
      </c>
    </row>
    <row r="267" spans="1:10" ht="15.75" thickBot="1">
      <c r="A267" s="639" t="s">
        <v>492</v>
      </c>
      <c r="B267" s="640">
        <v>64171</v>
      </c>
      <c r="C267" s="640" t="s">
        <v>493</v>
      </c>
      <c r="D267" s="640" t="s">
        <v>497</v>
      </c>
      <c r="E267" s="641" t="s">
        <v>982</v>
      </c>
      <c r="F267" s="642">
        <v>12131.646088215512</v>
      </c>
      <c r="G267" s="641">
        <v>1898303</v>
      </c>
      <c r="H267" s="643"/>
      <c r="I267" t="str">
        <f t="shared" si="8"/>
        <v>1898303</v>
      </c>
      <c r="J267">
        <f t="shared" si="9"/>
        <v>0</v>
      </c>
    </row>
    <row r="268" spans="1:10" ht="15.75" thickBot="1">
      <c r="A268" s="639" t="s">
        <v>492</v>
      </c>
      <c r="B268" s="640">
        <v>64171</v>
      </c>
      <c r="C268" s="640" t="s">
        <v>493</v>
      </c>
      <c r="D268" s="640" t="s">
        <v>498</v>
      </c>
      <c r="E268" s="641" t="s">
        <v>982</v>
      </c>
      <c r="F268" s="642">
        <v>7252.2576971245389</v>
      </c>
      <c r="G268" s="641">
        <v>1898304</v>
      </c>
      <c r="H268" s="643"/>
      <c r="I268" t="str">
        <f t="shared" si="8"/>
        <v>1898304</v>
      </c>
      <c r="J268">
        <f t="shared" si="9"/>
        <v>0</v>
      </c>
    </row>
    <row r="269" spans="1:10" ht="15.75" thickBot="1">
      <c r="A269" s="639" t="s">
        <v>492</v>
      </c>
      <c r="B269" s="640">
        <v>64171</v>
      </c>
      <c r="C269" s="640" t="s">
        <v>493</v>
      </c>
      <c r="D269" s="640" t="s">
        <v>499</v>
      </c>
      <c r="E269" s="641" t="s">
        <v>982</v>
      </c>
      <c r="F269" s="642">
        <v>1956.5433794177866</v>
      </c>
      <c r="G269" s="641">
        <v>1898305</v>
      </c>
      <c r="H269" s="643"/>
      <c r="I269" t="str">
        <f t="shared" si="8"/>
        <v>1898305</v>
      </c>
      <c r="J269">
        <f t="shared" si="9"/>
        <v>0</v>
      </c>
    </row>
    <row r="270" spans="1:10" ht="15.75" thickBot="1">
      <c r="A270" s="639" t="s">
        <v>492</v>
      </c>
      <c r="B270" s="640">
        <v>64171</v>
      </c>
      <c r="C270" s="640" t="s">
        <v>493</v>
      </c>
      <c r="D270" s="640" t="s">
        <v>500</v>
      </c>
      <c r="E270" s="641" t="s">
        <v>982</v>
      </c>
      <c r="F270" s="642">
        <v>11062.280284094628</v>
      </c>
      <c r="G270" s="641">
        <v>1898306</v>
      </c>
      <c r="H270" s="643"/>
      <c r="I270" t="str">
        <f t="shared" si="8"/>
        <v>1898306</v>
      </c>
      <c r="J270">
        <f t="shared" si="9"/>
        <v>0</v>
      </c>
    </row>
    <row r="271" spans="1:10" ht="15.75" thickBot="1">
      <c r="A271" s="639" t="s">
        <v>492</v>
      </c>
      <c r="B271" s="640">
        <v>64171</v>
      </c>
      <c r="C271" s="640" t="s">
        <v>493</v>
      </c>
      <c r="D271" s="640" t="s">
        <v>501</v>
      </c>
      <c r="E271" s="641" t="s">
        <v>982</v>
      </c>
      <c r="F271" s="642">
        <v>523.9159595992536</v>
      </c>
      <c r="G271" s="641">
        <v>1898307</v>
      </c>
      <c r="H271" s="643"/>
      <c r="I271" t="str">
        <f t="shared" si="8"/>
        <v>1898307</v>
      </c>
      <c r="J271">
        <f t="shared" si="9"/>
        <v>0</v>
      </c>
    </row>
    <row r="272" spans="1:10" ht="15.75" thickBot="1">
      <c r="A272" s="639" t="s">
        <v>492</v>
      </c>
      <c r="B272" s="640">
        <v>64171</v>
      </c>
      <c r="C272" s="640" t="s">
        <v>493</v>
      </c>
      <c r="D272" s="640" t="s">
        <v>502</v>
      </c>
      <c r="E272" s="641" t="s">
        <v>982</v>
      </c>
      <c r="F272" s="642">
        <v>7817.5141436719405</v>
      </c>
      <c r="G272" s="641">
        <v>1898308</v>
      </c>
      <c r="H272" s="643"/>
      <c r="I272" t="str">
        <f t="shared" si="8"/>
        <v>1898308</v>
      </c>
      <c r="J272">
        <f t="shared" si="9"/>
        <v>0</v>
      </c>
    </row>
    <row r="273" spans="1:10" ht="15.75" thickBot="1">
      <c r="A273" s="639" t="s">
        <v>492</v>
      </c>
      <c r="B273" s="640">
        <v>64171</v>
      </c>
      <c r="C273" s="640" t="s">
        <v>493</v>
      </c>
      <c r="D273" s="640" t="s">
        <v>503</v>
      </c>
      <c r="E273" s="641" t="s">
        <v>982</v>
      </c>
      <c r="F273" s="642">
        <v>1201.8037116282635</v>
      </c>
      <c r="G273" s="641">
        <v>1898309</v>
      </c>
      <c r="H273" s="643"/>
      <c r="I273" t="str">
        <f t="shared" si="8"/>
        <v>1898309</v>
      </c>
      <c r="J273">
        <f t="shared" si="9"/>
        <v>0</v>
      </c>
    </row>
    <row r="274" spans="1:10" ht="15.75" thickBot="1">
      <c r="A274" s="639" t="s">
        <v>492</v>
      </c>
      <c r="B274" s="640">
        <v>64171</v>
      </c>
      <c r="C274" s="640" t="s">
        <v>493</v>
      </c>
      <c r="D274" s="640" t="s">
        <v>504</v>
      </c>
      <c r="E274" s="641" t="s">
        <v>982</v>
      </c>
      <c r="F274" s="642">
        <v>740967.15455415228</v>
      </c>
      <c r="G274" s="641">
        <v>1898310</v>
      </c>
      <c r="H274" s="643"/>
      <c r="I274" t="str">
        <f t="shared" si="8"/>
        <v>1898310</v>
      </c>
      <c r="J274">
        <f t="shared" si="9"/>
        <v>0</v>
      </c>
    </row>
    <row r="275" spans="1:10" ht="15.75" thickBot="1">
      <c r="A275" s="639" t="s">
        <v>492</v>
      </c>
      <c r="B275" s="640">
        <v>64171</v>
      </c>
      <c r="C275" s="640" t="s">
        <v>493</v>
      </c>
      <c r="D275" s="640" t="s">
        <v>504</v>
      </c>
      <c r="E275" s="641" t="s">
        <v>983</v>
      </c>
      <c r="F275" s="642">
        <v>203997.99606643381</v>
      </c>
      <c r="G275" s="641">
        <v>1898310</v>
      </c>
      <c r="H275" s="643"/>
      <c r="I275" t="str">
        <f t="shared" si="8"/>
        <v>1898310</v>
      </c>
      <c r="J275">
        <f t="shared" si="9"/>
        <v>0</v>
      </c>
    </row>
    <row r="276" spans="1:10" ht="15.75" thickBot="1">
      <c r="A276" s="639" t="s">
        <v>492</v>
      </c>
      <c r="B276" s="640">
        <v>64171</v>
      </c>
      <c r="C276" s="640" t="s">
        <v>493</v>
      </c>
      <c r="D276" s="640" t="s">
        <v>496</v>
      </c>
      <c r="E276" s="641" t="s">
        <v>984</v>
      </c>
      <c r="F276" s="642">
        <v>966.52028009856849</v>
      </c>
      <c r="G276" s="641">
        <v>1898302</v>
      </c>
      <c r="H276" s="643"/>
      <c r="I276" t="str">
        <f t="shared" si="8"/>
        <v>1898302</v>
      </c>
      <c r="J276">
        <f t="shared" si="9"/>
        <v>0</v>
      </c>
    </row>
    <row r="277" spans="1:10" ht="15.75" thickBot="1">
      <c r="A277" s="639" t="s">
        <v>492</v>
      </c>
      <c r="B277" s="640">
        <v>64171</v>
      </c>
      <c r="C277" s="640" t="s">
        <v>493</v>
      </c>
      <c r="D277" s="640" t="s">
        <v>497</v>
      </c>
      <c r="E277" s="641" t="s">
        <v>984</v>
      </c>
      <c r="F277" s="642">
        <v>1379.5105668389062</v>
      </c>
      <c r="G277" s="641">
        <v>1898303</v>
      </c>
      <c r="H277" s="643"/>
      <c r="I277" t="str">
        <f t="shared" si="8"/>
        <v>1898303</v>
      </c>
      <c r="J277">
        <f t="shared" si="9"/>
        <v>0</v>
      </c>
    </row>
    <row r="278" spans="1:10" ht="15.75" thickBot="1">
      <c r="A278" s="639" t="s">
        <v>492</v>
      </c>
      <c r="B278" s="640">
        <v>64171</v>
      </c>
      <c r="C278" s="640" t="s">
        <v>493</v>
      </c>
      <c r="D278" s="640" t="s">
        <v>498</v>
      </c>
      <c r="E278" s="641" t="s">
        <v>984</v>
      </c>
      <c r="F278" s="642">
        <v>183.49440786787559</v>
      </c>
      <c r="G278" s="641">
        <v>1898304</v>
      </c>
      <c r="H278" s="643"/>
      <c r="I278" t="str">
        <f t="shared" si="8"/>
        <v>1898304</v>
      </c>
      <c r="J278">
        <f t="shared" si="9"/>
        <v>0</v>
      </c>
    </row>
    <row r="279" spans="1:10" ht="15.75" thickBot="1">
      <c r="A279" s="639" t="s">
        <v>492</v>
      </c>
      <c r="B279" s="640">
        <v>64171</v>
      </c>
      <c r="C279" s="640" t="s">
        <v>493</v>
      </c>
      <c r="D279" s="640" t="s">
        <v>499</v>
      </c>
      <c r="E279" s="641" t="s">
        <v>984</v>
      </c>
      <c r="F279" s="642">
        <v>4575.8181080431186</v>
      </c>
      <c r="G279" s="641">
        <v>1898305</v>
      </c>
      <c r="H279" s="643"/>
      <c r="I279" t="str">
        <f t="shared" si="8"/>
        <v>1898305</v>
      </c>
      <c r="J279">
        <f t="shared" si="9"/>
        <v>0</v>
      </c>
    </row>
    <row r="280" spans="1:10" ht="15.75" thickBot="1">
      <c r="A280" s="639" t="s">
        <v>492</v>
      </c>
      <c r="B280" s="640">
        <v>64171</v>
      </c>
      <c r="C280" s="640" t="s">
        <v>493</v>
      </c>
      <c r="D280" s="640" t="s">
        <v>504</v>
      </c>
      <c r="E280" s="641" t="s">
        <v>984</v>
      </c>
      <c r="F280" s="642">
        <v>5486.015685337351</v>
      </c>
      <c r="G280" s="641">
        <v>1898310</v>
      </c>
      <c r="H280" s="643"/>
      <c r="I280" t="str">
        <f t="shared" si="8"/>
        <v>1898310</v>
      </c>
      <c r="J280">
        <f t="shared" si="9"/>
        <v>0</v>
      </c>
    </row>
    <row r="281" spans="1:10" ht="15.75" thickBot="1">
      <c r="A281" s="639" t="s">
        <v>492</v>
      </c>
      <c r="B281" s="640">
        <v>64171</v>
      </c>
      <c r="C281" s="640" t="s">
        <v>493</v>
      </c>
      <c r="D281" s="640" t="s">
        <v>496</v>
      </c>
      <c r="E281" s="641" t="s">
        <v>985</v>
      </c>
      <c r="F281" s="642">
        <v>51872.302347184195</v>
      </c>
      <c r="G281" s="641">
        <v>1898302</v>
      </c>
      <c r="H281" s="643"/>
      <c r="I281" t="str">
        <f t="shared" si="8"/>
        <v>1898302</v>
      </c>
      <c r="J281">
        <f t="shared" si="9"/>
        <v>0</v>
      </c>
    </row>
    <row r="282" spans="1:10" ht="15.75" thickBot="1">
      <c r="A282" s="639" t="s">
        <v>492</v>
      </c>
      <c r="B282" s="640">
        <v>64171</v>
      </c>
      <c r="C282" s="640" t="s">
        <v>493</v>
      </c>
      <c r="D282" s="640" t="s">
        <v>497</v>
      </c>
      <c r="E282" s="641" t="s">
        <v>985</v>
      </c>
      <c r="F282" s="642">
        <v>18552.282895808949</v>
      </c>
      <c r="G282" s="641">
        <v>1898303</v>
      </c>
      <c r="H282" s="643"/>
      <c r="I282" t="str">
        <f t="shared" si="8"/>
        <v>1898303</v>
      </c>
      <c r="J282">
        <f t="shared" si="9"/>
        <v>0</v>
      </c>
    </row>
    <row r="283" spans="1:10" ht="15.75" thickBot="1">
      <c r="A283" s="639" t="s">
        <v>492</v>
      </c>
      <c r="B283" s="640">
        <v>64171</v>
      </c>
      <c r="C283" s="640" t="s">
        <v>493</v>
      </c>
      <c r="D283" s="640" t="s">
        <v>498</v>
      </c>
      <c r="E283" s="641" t="s">
        <v>985</v>
      </c>
      <c r="F283" s="642">
        <v>7793.5389516876903</v>
      </c>
      <c r="G283" s="641">
        <v>1898304</v>
      </c>
      <c r="H283" s="643"/>
      <c r="I283" t="str">
        <f t="shared" si="8"/>
        <v>1898304</v>
      </c>
      <c r="J283">
        <f t="shared" si="9"/>
        <v>0</v>
      </c>
    </row>
    <row r="284" spans="1:10" ht="15.75" thickBot="1">
      <c r="A284" s="639" t="s">
        <v>492</v>
      </c>
      <c r="B284" s="640">
        <v>64171</v>
      </c>
      <c r="C284" s="640" t="s">
        <v>493</v>
      </c>
      <c r="D284" s="640" t="s">
        <v>499</v>
      </c>
      <c r="E284" s="641" t="s">
        <v>985</v>
      </c>
      <c r="F284" s="642">
        <v>7803.0608548232276</v>
      </c>
      <c r="G284" s="641">
        <v>1898305</v>
      </c>
      <c r="H284" s="643"/>
      <c r="I284" t="str">
        <f t="shared" si="8"/>
        <v>1898305</v>
      </c>
      <c r="J284">
        <f t="shared" si="9"/>
        <v>0</v>
      </c>
    </row>
    <row r="285" spans="1:10" ht="15.75" thickBot="1">
      <c r="A285" s="639" t="s">
        <v>492</v>
      </c>
      <c r="B285" s="640">
        <v>64171</v>
      </c>
      <c r="C285" s="640" t="s">
        <v>493</v>
      </c>
      <c r="D285" s="640" t="s">
        <v>500</v>
      </c>
      <c r="E285" s="641" t="s">
        <v>985</v>
      </c>
      <c r="F285" s="642">
        <v>12629.080630263257</v>
      </c>
      <c r="G285" s="641">
        <v>1898306</v>
      </c>
      <c r="H285" s="643"/>
      <c r="I285" t="str">
        <f t="shared" si="8"/>
        <v>1898306</v>
      </c>
      <c r="J285">
        <f t="shared" si="9"/>
        <v>0</v>
      </c>
    </row>
    <row r="286" spans="1:10" ht="15.75" thickBot="1">
      <c r="A286" s="639" t="s">
        <v>492</v>
      </c>
      <c r="B286" s="640">
        <v>64171</v>
      </c>
      <c r="C286" s="640" t="s">
        <v>493</v>
      </c>
      <c r="D286" s="640" t="s">
        <v>501</v>
      </c>
      <c r="E286" s="641" t="s">
        <v>985</v>
      </c>
      <c r="F286" s="642">
        <v>2714.7365665934008</v>
      </c>
      <c r="G286" s="641">
        <v>1898307</v>
      </c>
      <c r="H286" s="643"/>
      <c r="I286" t="str">
        <f t="shared" si="8"/>
        <v>1898307</v>
      </c>
      <c r="J286">
        <f t="shared" si="9"/>
        <v>0</v>
      </c>
    </row>
    <row r="287" spans="1:10" ht="15.75" thickBot="1">
      <c r="A287" s="639" t="s">
        <v>492</v>
      </c>
      <c r="B287" s="640">
        <v>64171</v>
      </c>
      <c r="C287" s="640" t="s">
        <v>493</v>
      </c>
      <c r="D287" s="640" t="s">
        <v>502</v>
      </c>
      <c r="E287" s="641" t="s">
        <v>985</v>
      </c>
      <c r="F287" s="642">
        <v>5830.6366072518658</v>
      </c>
      <c r="G287" s="641">
        <v>1898308</v>
      </c>
      <c r="H287" s="643"/>
      <c r="I287" t="str">
        <f t="shared" si="8"/>
        <v>1898308</v>
      </c>
      <c r="J287">
        <f t="shared" si="9"/>
        <v>0</v>
      </c>
    </row>
    <row r="288" spans="1:10" ht="15.75" thickBot="1">
      <c r="A288" s="639" t="s">
        <v>492</v>
      </c>
      <c r="B288" s="640">
        <v>64171</v>
      </c>
      <c r="C288" s="640" t="s">
        <v>493</v>
      </c>
      <c r="D288" s="640" t="s">
        <v>503</v>
      </c>
      <c r="E288" s="641" t="s">
        <v>985</v>
      </c>
      <c r="F288" s="642">
        <v>12997.265314903063</v>
      </c>
      <c r="G288" s="641">
        <v>1898309</v>
      </c>
      <c r="H288" s="643"/>
      <c r="I288" t="str">
        <f t="shared" si="8"/>
        <v>1898309</v>
      </c>
      <c r="J288">
        <f t="shared" si="9"/>
        <v>0</v>
      </c>
    </row>
    <row r="289" spans="1:10" ht="15.75" thickBot="1">
      <c r="A289" s="639" t="s">
        <v>492</v>
      </c>
      <c r="B289" s="640">
        <v>64171</v>
      </c>
      <c r="C289" s="640" t="s">
        <v>493</v>
      </c>
      <c r="D289" s="640" t="s">
        <v>504</v>
      </c>
      <c r="E289" s="641" t="s">
        <v>985</v>
      </c>
      <c r="F289" s="642">
        <v>2694.6097866061191</v>
      </c>
      <c r="G289" s="641">
        <v>1898310</v>
      </c>
      <c r="H289" s="643"/>
      <c r="I289" t="str">
        <f t="shared" si="8"/>
        <v>1898310</v>
      </c>
      <c r="J289">
        <f t="shared" si="9"/>
        <v>0</v>
      </c>
    </row>
    <row r="290" spans="1:10" ht="15.75" thickBot="1">
      <c r="A290" s="639" t="s">
        <v>492</v>
      </c>
      <c r="B290" s="640">
        <v>64171</v>
      </c>
      <c r="C290" s="640" t="s">
        <v>493</v>
      </c>
      <c r="D290" s="640" t="s">
        <v>504</v>
      </c>
      <c r="E290" s="641" t="s">
        <v>986</v>
      </c>
      <c r="F290" s="642">
        <v>2309.2256788664131</v>
      </c>
      <c r="G290" s="641">
        <v>1898310</v>
      </c>
      <c r="H290" s="643"/>
      <c r="I290" t="str">
        <f t="shared" si="8"/>
        <v>1898310</v>
      </c>
      <c r="J290">
        <f t="shared" si="9"/>
        <v>0</v>
      </c>
    </row>
    <row r="291" spans="1:10" ht="15.75" thickBot="1">
      <c r="A291" s="639" t="s">
        <v>492</v>
      </c>
      <c r="B291" s="640">
        <v>64171</v>
      </c>
      <c r="C291" s="640" t="s">
        <v>493</v>
      </c>
      <c r="D291" s="640" t="s">
        <v>504</v>
      </c>
      <c r="E291" s="641" t="s">
        <v>987</v>
      </c>
      <c r="F291" s="642">
        <v>10523.54767125997</v>
      </c>
      <c r="G291" s="641">
        <v>1898310</v>
      </c>
      <c r="H291" s="643"/>
      <c r="I291" t="str">
        <f t="shared" ref="I291:I354" si="10">RIGHT(D291,7)</f>
        <v>1898310</v>
      </c>
      <c r="J291">
        <f t="shared" ref="J291:J354" si="11">I291-G291</f>
        <v>0</v>
      </c>
    </row>
    <row r="292" spans="1:10">
      <c r="A292" t="s">
        <v>492</v>
      </c>
      <c r="B292">
        <v>64171</v>
      </c>
      <c r="C292" t="s">
        <v>493</v>
      </c>
      <c r="D292" t="s">
        <v>504</v>
      </c>
      <c r="E292" t="s">
        <v>988</v>
      </c>
      <c r="F292" s="561">
        <v>13592</v>
      </c>
      <c r="G292">
        <v>1898310</v>
      </c>
      <c r="I292" t="str">
        <f t="shared" si="10"/>
        <v>1898310</v>
      </c>
      <c r="J292">
        <f t="shared" si="11"/>
        <v>0</v>
      </c>
    </row>
    <row r="293" spans="1:10">
      <c r="A293" t="s">
        <v>492</v>
      </c>
      <c r="B293">
        <v>64171</v>
      </c>
      <c r="C293" t="s">
        <v>493</v>
      </c>
      <c r="D293" t="s">
        <v>496</v>
      </c>
      <c r="E293" t="s">
        <v>509</v>
      </c>
      <c r="F293" s="561">
        <v>28705.99679088897</v>
      </c>
      <c r="G293">
        <v>1898302</v>
      </c>
      <c r="I293" t="str">
        <f t="shared" si="10"/>
        <v>1898302</v>
      </c>
      <c r="J293">
        <f t="shared" si="11"/>
        <v>0</v>
      </c>
    </row>
    <row r="294" spans="1:10">
      <c r="A294" t="s">
        <v>492</v>
      </c>
      <c r="B294">
        <v>64171</v>
      </c>
      <c r="C294" t="s">
        <v>493</v>
      </c>
      <c r="D294" t="s">
        <v>497</v>
      </c>
      <c r="E294" t="s">
        <v>509</v>
      </c>
      <c r="F294" s="561">
        <v>57910.59542139183</v>
      </c>
      <c r="G294">
        <v>1898303</v>
      </c>
      <c r="I294" t="str">
        <f t="shared" si="10"/>
        <v>1898303</v>
      </c>
      <c r="J294">
        <f t="shared" si="11"/>
        <v>0</v>
      </c>
    </row>
    <row r="295" spans="1:10">
      <c r="A295" t="s">
        <v>492</v>
      </c>
      <c r="B295">
        <v>64171</v>
      </c>
      <c r="C295" t="s">
        <v>493</v>
      </c>
      <c r="D295" t="s">
        <v>498</v>
      </c>
      <c r="E295" t="s">
        <v>509</v>
      </c>
      <c r="F295" s="561">
        <v>179235.54524988838</v>
      </c>
      <c r="G295">
        <v>1898304</v>
      </c>
      <c r="I295" t="str">
        <f t="shared" si="10"/>
        <v>1898304</v>
      </c>
      <c r="J295">
        <f t="shared" si="11"/>
        <v>0</v>
      </c>
    </row>
    <row r="296" spans="1:10">
      <c r="A296" t="s">
        <v>492</v>
      </c>
      <c r="B296">
        <v>64171</v>
      </c>
      <c r="C296" t="s">
        <v>493</v>
      </c>
      <c r="D296" t="s">
        <v>499</v>
      </c>
      <c r="E296" t="s">
        <v>509</v>
      </c>
      <c r="F296" s="561">
        <v>5965.0712787127641</v>
      </c>
      <c r="G296">
        <v>1898305</v>
      </c>
      <c r="I296" t="str">
        <f t="shared" si="10"/>
        <v>1898305</v>
      </c>
      <c r="J296">
        <f t="shared" si="11"/>
        <v>0</v>
      </c>
    </row>
    <row r="297" spans="1:10">
      <c r="A297" t="s">
        <v>492</v>
      </c>
      <c r="B297">
        <v>64171</v>
      </c>
      <c r="C297" t="s">
        <v>493</v>
      </c>
      <c r="D297" t="s">
        <v>500</v>
      </c>
      <c r="E297" t="s">
        <v>509</v>
      </c>
      <c r="F297" s="561">
        <v>508.61058777446561</v>
      </c>
      <c r="G297">
        <v>1898306</v>
      </c>
      <c r="I297" t="str">
        <f t="shared" si="10"/>
        <v>1898306</v>
      </c>
      <c r="J297">
        <f t="shared" si="11"/>
        <v>0</v>
      </c>
    </row>
    <row r="298" spans="1:10">
      <c r="A298" t="s">
        <v>492</v>
      </c>
      <c r="B298">
        <v>64171</v>
      </c>
      <c r="C298" t="s">
        <v>493</v>
      </c>
      <c r="D298" t="s">
        <v>501</v>
      </c>
      <c r="E298" t="s">
        <v>509</v>
      </c>
      <c r="F298" s="561">
        <v>1277.8438039006185</v>
      </c>
      <c r="G298">
        <v>1898307</v>
      </c>
      <c r="I298" t="str">
        <f t="shared" si="10"/>
        <v>1898307</v>
      </c>
      <c r="J298">
        <f t="shared" si="11"/>
        <v>0</v>
      </c>
    </row>
    <row r="299" spans="1:10">
      <c r="A299" t="s">
        <v>492</v>
      </c>
      <c r="B299">
        <v>64171</v>
      </c>
      <c r="C299" t="s">
        <v>493</v>
      </c>
      <c r="D299" t="s">
        <v>503</v>
      </c>
      <c r="E299" t="s">
        <v>509</v>
      </c>
      <c r="F299" s="561">
        <v>3932.7316579705375</v>
      </c>
      <c r="G299">
        <v>1898309</v>
      </c>
      <c r="I299" t="str">
        <f t="shared" si="10"/>
        <v>1898309</v>
      </c>
      <c r="J299">
        <f t="shared" si="11"/>
        <v>0</v>
      </c>
    </row>
    <row r="300" spans="1:10">
      <c r="A300" t="s">
        <v>492</v>
      </c>
      <c r="B300">
        <v>64171</v>
      </c>
      <c r="C300" t="s">
        <v>493</v>
      </c>
      <c r="D300" t="s">
        <v>504</v>
      </c>
      <c r="E300" t="s">
        <v>509</v>
      </c>
      <c r="F300" s="561">
        <v>51850.669178250479</v>
      </c>
      <c r="G300">
        <v>1898310</v>
      </c>
      <c r="I300" t="str">
        <f t="shared" si="10"/>
        <v>1898310</v>
      </c>
      <c r="J300">
        <f t="shared" si="11"/>
        <v>0</v>
      </c>
    </row>
    <row r="301" spans="1:10">
      <c r="A301" t="s">
        <v>492</v>
      </c>
      <c r="B301">
        <v>64171</v>
      </c>
      <c r="C301" t="s">
        <v>493</v>
      </c>
      <c r="D301" t="s">
        <v>496</v>
      </c>
      <c r="E301" t="s">
        <v>989</v>
      </c>
      <c r="F301" s="561">
        <v>8197.7974304007585</v>
      </c>
      <c r="G301">
        <v>1898302</v>
      </c>
      <c r="I301" t="str">
        <f t="shared" si="10"/>
        <v>1898302</v>
      </c>
      <c r="J301">
        <f t="shared" si="11"/>
        <v>0</v>
      </c>
    </row>
    <row r="302" spans="1:10">
      <c r="A302" t="s">
        <v>492</v>
      </c>
      <c r="B302">
        <v>64171</v>
      </c>
      <c r="C302" t="s">
        <v>493</v>
      </c>
      <c r="D302" t="s">
        <v>497</v>
      </c>
      <c r="E302" t="s">
        <v>989</v>
      </c>
      <c r="F302" s="561">
        <v>683721.18053276557</v>
      </c>
      <c r="G302">
        <v>1898303</v>
      </c>
      <c r="I302" t="str">
        <f t="shared" si="10"/>
        <v>1898303</v>
      </c>
      <c r="J302">
        <f t="shared" si="11"/>
        <v>0</v>
      </c>
    </row>
    <row r="303" spans="1:10">
      <c r="A303" t="s">
        <v>492</v>
      </c>
      <c r="B303">
        <v>64171</v>
      </c>
      <c r="C303" t="s">
        <v>493</v>
      </c>
      <c r="D303" t="s">
        <v>498</v>
      </c>
      <c r="E303" t="s">
        <v>989</v>
      </c>
      <c r="F303" s="561">
        <v>7706.6843937186813</v>
      </c>
      <c r="G303">
        <v>1898304</v>
      </c>
      <c r="I303" t="str">
        <f t="shared" si="10"/>
        <v>1898304</v>
      </c>
      <c r="J303">
        <f t="shared" si="11"/>
        <v>0</v>
      </c>
    </row>
    <row r="304" spans="1:10">
      <c r="A304" t="s">
        <v>492</v>
      </c>
      <c r="B304">
        <v>64171</v>
      </c>
      <c r="C304" t="s">
        <v>493</v>
      </c>
      <c r="D304" t="s">
        <v>499</v>
      </c>
      <c r="E304" t="s">
        <v>989</v>
      </c>
      <c r="F304" s="561">
        <v>46006.94443632444</v>
      </c>
      <c r="G304">
        <v>1898305</v>
      </c>
      <c r="I304" t="str">
        <f t="shared" si="10"/>
        <v>1898305</v>
      </c>
      <c r="J304">
        <f t="shared" si="11"/>
        <v>0</v>
      </c>
    </row>
    <row r="305" spans="1:10">
      <c r="A305" t="s">
        <v>492</v>
      </c>
      <c r="B305">
        <v>64171</v>
      </c>
      <c r="C305" t="s">
        <v>493</v>
      </c>
      <c r="D305" t="s">
        <v>500</v>
      </c>
      <c r="E305" t="s">
        <v>989</v>
      </c>
      <c r="F305" s="561">
        <v>73427.937629399763</v>
      </c>
      <c r="G305">
        <v>1898306</v>
      </c>
      <c r="I305" t="str">
        <f t="shared" si="10"/>
        <v>1898306</v>
      </c>
      <c r="J305">
        <f t="shared" si="11"/>
        <v>0</v>
      </c>
    </row>
    <row r="306" spans="1:10">
      <c r="A306" t="s">
        <v>492</v>
      </c>
      <c r="B306">
        <v>64171</v>
      </c>
      <c r="C306" t="s">
        <v>493</v>
      </c>
      <c r="D306" t="s">
        <v>501</v>
      </c>
      <c r="E306" t="s">
        <v>989</v>
      </c>
      <c r="F306" s="561">
        <v>2507.2828845094814</v>
      </c>
      <c r="G306">
        <v>1898307</v>
      </c>
      <c r="I306" t="str">
        <f t="shared" si="10"/>
        <v>1898307</v>
      </c>
      <c r="J306">
        <f t="shared" si="11"/>
        <v>0</v>
      </c>
    </row>
    <row r="307" spans="1:10">
      <c r="A307" t="s">
        <v>492</v>
      </c>
      <c r="B307">
        <v>64171</v>
      </c>
      <c r="C307" t="s">
        <v>493</v>
      </c>
      <c r="D307" t="s">
        <v>502</v>
      </c>
      <c r="E307" t="s">
        <v>989</v>
      </c>
      <c r="F307" s="561">
        <v>21843.740734339175</v>
      </c>
      <c r="G307">
        <v>1898308</v>
      </c>
      <c r="I307" t="str">
        <f t="shared" si="10"/>
        <v>1898308</v>
      </c>
      <c r="J307">
        <f t="shared" si="11"/>
        <v>0</v>
      </c>
    </row>
    <row r="308" spans="1:10">
      <c r="A308" t="s">
        <v>492</v>
      </c>
      <c r="B308">
        <v>64171</v>
      </c>
      <c r="C308" t="s">
        <v>493</v>
      </c>
      <c r="D308" t="s">
        <v>503</v>
      </c>
      <c r="E308" t="s">
        <v>989</v>
      </c>
      <c r="F308" s="561">
        <v>26586.084309188547</v>
      </c>
      <c r="G308">
        <v>1898309</v>
      </c>
      <c r="I308" t="str">
        <f t="shared" si="10"/>
        <v>1898309</v>
      </c>
      <c r="J308">
        <f t="shared" si="11"/>
        <v>0</v>
      </c>
    </row>
    <row r="309" spans="1:10">
      <c r="A309" t="s">
        <v>492</v>
      </c>
      <c r="B309">
        <v>64171</v>
      </c>
      <c r="C309" t="s">
        <v>493</v>
      </c>
      <c r="D309" t="s">
        <v>504</v>
      </c>
      <c r="E309" t="s">
        <v>989</v>
      </c>
      <c r="F309" s="561">
        <v>641.45157746289249</v>
      </c>
      <c r="G309">
        <v>1898310</v>
      </c>
      <c r="I309" t="str">
        <f t="shared" si="10"/>
        <v>1898310</v>
      </c>
      <c r="J309">
        <f t="shared" si="11"/>
        <v>0</v>
      </c>
    </row>
    <row r="310" spans="1:10">
      <c r="A310" t="s">
        <v>492</v>
      </c>
      <c r="B310">
        <v>64171</v>
      </c>
      <c r="C310" t="s">
        <v>493</v>
      </c>
      <c r="D310" t="s">
        <v>496</v>
      </c>
      <c r="E310" t="s">
        <v>990</v>
      </c>
      <c r="F310" s="561">
        <v>18181.434790602707</v>
      </c>
      <c r="G310">
        <v>1898302</v>
      </c>
      <c r="I310" t="str">
        <f t="shared" si="10"/>
        <v>1898302</v>
      </c>
      <c r="J310">
        <f t="shared" si="11"/>
        <v>0</v>
      </c>
    </row>
    <row r="311" spans="1:10">
      <c r="A311" t="s">
        <v>492</v>
      </c>
      <c r="B311">
        <v>64171</v>
      </c>
      <c r="C311" t="s">
        <v>493</v>
      </c>
      <c r="D311" t="s">
        <v>497</v>
      </c>
      <c r="E311" t="s">
        <v>990</v>
      </c>
      <c r="F311" s="561">
        <v>24318.53591468891</v>
      </c>
      <c r="G311">
        <v>1898303</v>
      </c>
      <c r="I311" t="str">
        <f t="shared" si="10"/>
        <v>1898303</v>
      </c>
      <c r="J311">
        <f t="shared" si="11"/>
        <v>0</v>
      </c>
    </row>
    <row r="312" spans="1:10">
      <c r="A312" t="s">
        <v>492</v>
      </c>
      <c r="B312">
        <v>64171</v>
      </c>
      <c r="C312" t="s">
        <v>493</v>
      </c>
      <c r="D312" t="s">
        <v>498</v>
      </c>
      <c r="E312" t="s">
        <v>990</v>
      </c>
      <c r="F312" s="561">
        <v>2652.2016493057813</v>
      </c>
      <c r="G312">
        <v>1898304</v>
      </c>
      <c r="I312" t="str">
        <f t="shared" si="10"/>
        <v>1898304</v>
      </c>
      <c r="J312">
        <f t="shared" si="11"/>
        <v>0</v>
      </c>
    </row>
    <row r="313" spans="1:10">
      <c r="A313" t="s">
        <v>492</v>
      </c>
      <c r="B313">
        <v>64171</v>
      </c>
      <c r="C313" t="s">
        <v>493</v>
      </c>
      <c r="D313" t="s">
        <v>499</v>
      </c>
      <c r="E313" t="s">
        <v>990</v>
      </c>
      <c r="F313" s="561">
        <v>42868.978923015726</v>
      </c>
      <c r="G313">
        <v>1898305</v>
      </c>
      <c r="I313" t="str">
        <f t="shared" si="10"/>
        <v>1898305</v>
      </c>
      <c r="J313">
        <f t="shared" si="11"/>
        <v>0</v>
      </c>
    </row>
    <row r="314" spans="1:10">
      <c r="A314" t="s">
        <v>492</v>
      </c>
      <c r="B314">
        <v>64171</v>
      </c>
      <c r="C314" t="s">
        <v>493</v>
      </c>
      <c r="D314" t="s">
        <v>500</v>
      </c>
      <c r="E314" t="s">
        <v>990</v>
      </c>
      <c r="F314" s="561">
        <v>23829.7920010854</v>
      </c>
      <c r="G314">
        <v>1898306</v>
      </c>
      <c r="I314" t="str">
        <f t="shared" si="10"/>
        <v>1898306</v>
      </c>
      <c r="J314">
        <f t="shared" si="11"/>
        <v>0</v>
      </c>
    </row>
    <row r="315" spans="1:10">
      <c r="A315" t="s">
        <v>492</v>
      </c>
      <c r="B315">
        <v>64171</v>
      </c>
      <c r="C315" t="s">
        <v>493</v>
      </c>
      <c r="D315" t="s">
        <v>501</v>
      </c>
      <c r="E315" t="s">
        <v>990</v>
      </c>
      <c r="F315" s="561">
        <v>116.16771534276863</v>
      </c>
      <c r="G315">
        <v>1898307</v>
      </c>
      <c r="I315" t="str">
        <f t="shared" si="10"/>
        <v>1898307</v>
      </c>
      <c r="J315">
        <f t="shared" si="11"/>
        <v>0</v>
      </c>
    </row>
    <row r="316" spans="1:10">
      <c r="A316" t="s">
        <v>492</v>
      </c>
      <c r="B316">
        <v>64171</v>
      </c>
      <c r="C316" t="s">
        <v>493</v>
      </c>
      <c r="D316" t="s">
        <v>502</v>
      </c>
      <c r="E316" t="s">
        <v>990</v>
      </c>
      <c r="F316" s="561">
        <v>3214.9489928302582</v>
      </c>
      <c r="G316">
        <v>1898308</v>
      </c>
      <c r="I316" t="str">
        <f t="shared" si="10"/>
        <v>1898308</v>
      </c>
      <c r="J316">
        <f t="shared" si="11"/>
        <v>0</v>
      </c>
    </row>
    <row r="317" spans="1:10">
      <c r="A317" t="s">
        <v>492</v>
      </c>
      <c r="B317">
        <v>64171</v>
      </c>
      <c r="C317" t="s">
        <v>493</v>
      </c>
      <c r="D317" t="s">
        <v>503</v>
      </c>
      <c r="E317" t="s">
        <v>990</v>
      </c>
      <c r="F317" s="561">
        <v>186618.88943567817</v>
      </c>
      <c r="G317">
        <v>1898309</v>
      </c>
      <c r="I317" t="str">
        <f t="shared" si="10"/>
        <v>1898309</v>
      </c>
      <c r="J317">
        <f t="shared" si="11"/>
        <v>0</v>
      </c>
    </row>
    <row r="318" spans="1:10">
      <c r="A318" t="s">
        <v>492</v>
      </c>
      <c r="B318">
        <v>64171</v>
      </c>
      <c r="C318" t="s">
        <v>493</v>
      </c>
      <c r="D318" t="s">
        <v>496</v>
      </c>
      <c r="E318" t="s">
        <v>991</v>
      </c>
      <c r="F318" s="561">
        <v>42009.684685119835</v>
      </c>
      <c r="G318">
        <v>1898302</v>
      </c>
      <c r="I318" t="str">
        <f t="shared" si="10"/>
        <v>1898302</v>
      </c>
      <c r="J318">
        <f t="shared" si="11"/>
        <v>0</v>
      </c>
    </row>
    <row r="319" spans="1:10">
      <c r="A319" t="s">
        <v>492</v>
      </c>
      <c r="B319">
        <v>64171</v>
      </c>
      <c r="C319" t="s">
        <v>493</v>
      </c>
      <c r="D319" t="s">
        <v>497</v>
      </c>
      <c r="E319" t="s">
        <v>991</v>
      </c>
      <c r="F319" s="561">
        <v>127388.34523525031</v>
      </c>
      <c r="G319">
        <v>1898303</v>
      </c>
      <c r="I319" t="str">
        <f t="shared" si="10"/>
        <v>1898303</v>
      </c>
      <c r="J319">
        <f t="shared" si="11"/>
        <v>0</v>
      </c>
    </row>
    <row r="320" spans="1:10">
      <c r="A320" t="s">
        <v>492</v>
      </c>
      <c r="B320">
        <v>64171</v>
      </c>
      <c r="C320" t="s">
        <v>493</v>
      </c>
      <c r="D320" t="s">
        <v>498</v>
      </c>
      <c r="E320" t="s">
        <v>991</v>
      </c>
      <c r="F320" s="561">
        <v>26499.228550424126</v>
      </c>
      <c r="G320">
        <v>1898304</v>
      </c>
      <c r="I320" t="str">
        <f t="shared" si="10"/>
        <v>1898304</v>
      </c>
      <c r="J320">
        <f t="shared" si="11"/>
        <v>0</v>
      </c>
    </row>
    <row r="321" spans="1:10">
      <c r="A321" t="s">
        <v>492</v>
      </c>
      <c r="B321">
        <v>64171</v>
      </c>
      <c r="C321" t="s">
        <v>493</v>
      </c>
      <c r="D321" t="s">
        <v>499</v>
      </c>
      <c r="E321" t="s">
        <v>991</v>
      </c>
      <c r="F321" s="561">
        <v>101418.98096736762</v>
      </c>
      <c r="G321">
        <v>1898305</v>
      </c>
      <c r="I321" t="str">
        <f t="shared" si="10"/>
        <v>1898305</v>
      </c>
      <c r="J321">
        <f t="shared" si="11"/>
        <v>0</v>
      </c>
    </row>
    <row r="322" spans="1:10">
      <c r="A322" t="s">
        <v>492</v>
      </c>
      <c r="B322">
        <v>64171</v>
      </c>
      <c r="C322" t="s">
        <v>493</v>
      </c>
      <c r="D322" t="s">
        <v>500</v>
      </c>
      <c r="E322" t="s">
        <v>991</v>
      </c>
      <c r="F322" s="561">
        <v>59669.782183124211</v>
      </c>
      <c r="G322">
        <v>1898306</v>
      </c>
      <c r="I322" t="str">
        <f t="shared" si="10"/>
        <v>1898306</v>
      </c>
      <c r="J322">
        <f t="shared" si="11"/>
        <v>0</v>
      </c>
    </row>
    <row r="323" spans="1:10">
      <c r="A323" t="s">
        <v>492</v>
      </c>
      <c r="B323">
        <v>64171</v>
      </c>
      <c r="C323" t="s">
        <v>493</v>
      </c>
      <c r="D323" t="s">
        <v>501</v>
      </c>
      <c r="E323" t="s">
        <v>991</v>
      </c>
      <c r="F323" s="561">
        <v>18037.34458124833</v>
      </c>
      <c r="G323">
        <v>1898307</v>
      </c>
      <c r="I323" t="str">
        <f t="shared" si="10"/>
        <v>1898307</v>
      </c>
      <c r="J323">
        <f t="shared" si="11"/>
        <v>0</v>
      </c>
    </row>
    <row r="324" spans="1:10">
      <c r="A324" t="s">
        <v>492</v>
      </c>
      <c r="B324">
        <v>64171</v>
      </c>
      <c r="C324" t="s">
        <v>493</v>
      </c>
      <c r="D324" t="s">
        <v>502</v>
      </c>
      <c r="E324" t="s">
        <v>991</v>
      </c>
      <c r="F324" s="561">
        <v>54676.033858167546</v>
      </c>
      <c r="G324">
        <v>1898308</v>
      </c>
      <c r="I324" t="str">
        <f t="shared" si="10"/>
        <v>1898308</v>
      </c>
      <c r="J324">
        <f t="shared" si="11"/>
        <v>0</v>
      </c>
    </row>
    <row r="325" spans="1:10">
      <c r="A325" t="s">
        <v>492</v>
      </c>
      <c r="B325">
        <v>64171</v>
      </c>
      <c r="C325" t="s">
        <v>493</v>
      </c>
      <c r="D325" t="s">
        <v>503</v>
      </c>
      <c r="E325" t="s">
        <v>991</v>
      </c>
      <c r="F325" s="561">
        <v>48177.787499920756</v>
      </c>
      <c r="G325">
        <v>1898309</v>
      </c>
      <c r="I325" t="str">
        <f t="shared" si="10"/>
        <v>1898309</v>
      </c>
      <c r="J325">
        <f t="shared" si="11"/>
        <v>0</v>
      </c>
    </row>
    <row r="326" spans="1:10">
      <c r="A326" t="s">
        <v>492</v>
      </c>
      <c r="B326">
        <v>64171</v>
      </c>
      <c r="C326" t="s">
        <v>493</v>
      </c>
      <c r="D326" t="s">
        <v>504</v>
      </c>
      <c r="E326" t="s">
        <v>991</v>
      </c>
      <c r="F326" s="561">
        <v>64951.064679182084</v>
      </c>
      <c r="G326">
        <v>1898310</v>
      </c>
      <c r="I326" t="str">
        <f t="shared" si="10"/>
        <v>1898310</v>
      </c>
      <c r="J326">
        <f t="shared" si="11"/>
        <v>0</v>
      </c>
    </row>
    <row r="327" spans="1:10">
      <c r="A327" t="s">
        <v>492</v>
      </c>
      <c r="B327">
        <v>64171</v>
      </c>
      <c r="C327" t="s">
        <v>493</v>
      </c>
      <c r="D327" t="s">
        <v>496</v>
      </c>
      <c r="E327" t="s">
        <v>506</v>
      </c>
      <c r="F327" s="561">
        <v>14673.282896676164</v>
      </c>
      <c r="G327">
        <v>1898302</v>
      </c>
      <c r="I327" t="str">
        <f t="shared" si="10"/>
        <v>1898302</v>
      </c>
      <c r="J327">
        <f t="shared" si="11"/>
        <v>0</v>
      </c>
    </row>
    <row r="328" spans="1:10">
      <c r="A328" t="s">
        <v>492</v>
      </c>
      <c r="B328">
        <v>64171</v>
      </c>
      <c r="C328" t="s">
        <v>493</v>
      </c>
      <c r="D328" t="s">
        <v>497</v>
      </c>
      <c r="E328" t="s">
        <v>506</v>
      </c>
      <c r="F328" s="561">
        <v>-3615.8366057914841</v>
      </c>
      <c r="G328">
        <v>1898303</v>
      </c>
      <c r="I328" t="str">
        <f t="shared" si="10"/>
        <v>1898303</v>
      </c>
      <c r="J328">
        <f t="shared" si="11"/>
        <v>0</v>
      </c>
    </row>
    <row r="329" spans="1:10">
      <c r="A329" t="s">
        <v>492</v>
      </c>
      <c r="B329">
        <v>64171</v>
      </c>
      <c r="C329" t="s">
        <v>493</v>
      </c>
      <c r="D329" t="s">
        <v>498</v>
      </c>
      <c r="E329" t="s">
        <v>506</v>
      </c>
      <c r="F329" s="561">
        <v>775.07262810762552</v>
      </c>
      <c r="G329">
        <v>1898304</v>
      </c>
      <c r="I329" t="str">
        <f t="shared" si="10"/>
        <v>1898304</v>
      </c>
      <c r="J329">
        <f t="shared" si="11"/>
        <v>0</v>
      </c>
    </row>
    <row r="330" spans="1:10">
      <c r="A330" t="s">
        <v>492</v>
      </c>
      <c r="B330">
        <v>64171</v>
      </c>
      <c r="C330" t="s">
        <v>493</v>
      </c>
      <c r="D330" t="s">
        <v>499</v>
      </c>
      <c r="E330" t="s">
        <v>506</v>
      </c>
      <c r="F330" s="561">
        <v>15588.719608369358</v>
      </c>
      <c r="G330">
        <v>1898305</v>
      </c>
      <c r="I330" t="str">
        <f t="shared" si="10"/>
        <v>1898305</v>
      </c>
      <c r="J330">
        <f t="shared" si="11"/>
        <v>0</v>
      </c>
    </row>
    <row r="331" spans="1:10">
      <c r="A331" t="s">
        <v>492</v>
      </c>
      <c r="B331">
        <v>64171</v>
      </c>
      <c r="C331" t="s">
        <v>493</v>
      </c>
      <c r="D331" t="s">
        <v>500</v>
      </c>
      <c r="E331" t="s">
        <v>506</v>
      </c>
      <c r="F331" s="561">
        <v>23324.881555336997</v>
      </c>
      <c r="G331">
        <v>1898306</v>
      </c>
      <c r="I331" t="str">
        <f t="shared" si="10"/>
        <v>1898306</v>
      </c>
      <c r="J331">
        <f t="shared" si="11"/>
        <v>0</v>
      </c>
    </row>
    <row r="332" spans="1:10">
      <c r="A332" t="s">
        <v>492</v>
      </c>
      <c r="B332">
        <v>64171</v>
      </c>
      <c r="C332" t="s">
        <v>493</v>
      </c>
      <c r="D332" t="s">
        <v>501</v>
      </c>
      <c r="E332" t="s">
        <v>506</v>
      </c>
      <c r="F332" s="561">
        <v>568.10805781748331</v>
      </c>
      <c r="G332">
        <v>1898307</v>
      </c>
      <c r="I332" t="str">
        <f t="shared" si="10"/>
        <v>1898307</v>
      </c>
      <c r="J332">
        <f t="shared" si="11"/>
        <v>0</v>
      </c>
    </row>
    <row r="333" spans="1:10">
      <c r="A333" t="s">
        <v>492</v>
      </c>
      <c r="B333">
        <v>64171</v>
      </c>
      <c r="C333" t="s">
        <v>493</v>
      </c>
      <c r="D333" t="s">
        <v>502</v>
      </c>
      <c r="E333" t="s">
        <v>506</v>
      </c>
      <c r="F333" s="561">
        <v>3489.883966348772</v>
      </c>
      <c r="G333">
        <v>1898308</v>
      </c>
      <c r="I333" t="str">
        <f t="shared" si="10"/>
        <v>1898308</v>
      </c>
      <c r="J333">
        <f t="shared" si="11"/>
        <v>0</v>
      </c>
    </row>
    <row r="334" spans="1:10">
      <c r="A334" t="s">
        <v>492</v>
      </c>
      <c r="B334">
        <v>64171</v>
      </c>
      <c r="C334" t="s">
        <v>493</v>
      </c>
      <c r="D334" t="s">
        <v>503</v>
      </c>
      <c r="E334" t="s">
        <v>506</v>
      </c>
      <c r="F334" s="561">
        <v>3053.3630884864419</v>
      </c>
      <c r="G334">
        <v>1898309</v>
      </c>
      <c r="I334" t="str">
        <f t="shared" si="10"/>
        <v>1898309</v>
      </c>
      <c r="J334">
        <f t="shared" si="11"/>
        <v>0</v>
      </c>
    </row>
    <row r="335" spans="1:10">
      <c r="A335" t="s">
        <v>492</v>
      </c>
      <c r="B335">
        <v>64171</v>
      </c>
      <c r="C335" t="s">
        <v>493</v>
      </c>
      <c r="D335" t="s">
        <v>504</v>
      </c>
      <c r="E335" t="s">
        <v>506</v>
      </c>
      <c r="F335" s="561">
        <v>210521.200465434</v>
      </c>
      <c r="G335">
        <v>1898310</v>
      </c>
      <c r="I335" t="str">
        <f t="shared" si="10"/>
        <v>1898310</v>
      </c>
      <c r="J335">
        <f t="shared" si="11"/>
        <v>0</v>
      </c>
    </row>
    <row r="336" spans="1:10">
      <c r="A336" t="s">
        <v>492</v>
      </c>
      <c r="B336">
        <v>64171</v>
      </c>
      <c r="C336" t="s">
        <v>493</v>
      </c>
      <c r="D336" t="s">
        <v>496</v>
      </c>
      <c r="E336" t="s">
        <v>507</v>
      </c>
      <c r="F336" s="561">
        <v>4658.6829293800429</v>
      </c>
      <c r="G336">
        <v>1898302</v>
      </c>
      <c r="I336" t="str">
        <f t="shared" si="10"/>
        <v>1898302</v>
      </c>
      <c r="J336">
        <f t="shared" si="11"/>
        <v>0</v>
      </c>
    </row>
    <row r="337" spans="1:10">
      <c r="A337" t="s">
        <v>492</v>
      </c>
      <c r="B337">
        <v>64171</v>
      </c>
      <c r="C337" t="s">
        <v>493</v>
      </c>
      <c r="D337" t="s">
        <v>497</v>
      </c>
      <c r="E337" t="s">
        <v>507</v>
      </c>
      <c r="F337" s="561">
        <v>8350.461368512395</v>
      </c>
      <c r="G337">
        <v>1898303</v>
      </c>
      <c r="I337" t="str">
        <f t="shared" si="10"/>
        <v>1898303</v>
      </c>
      <c r="J337">
        <f t="shared" si="11"/>
        <v>0</v>
      </c>
    </row>
    <row r="338" spans="1:10">
      <c r="A338" t="s">
        <v>492</v>
      </c>
      <c r="B338">
        <v>64171</v>
      </c>
      <c r="C338" t="s">
        <v>493</v>
      </c>
      <c r="D338" t="s">
        <v>499</v>
      </c>
      <c r="E338" t="s">
        <v>507</v>
      </c>
      <c r="F338" s="561">
        <v>6594.1119053381399</v>
      </c>
      <c r="G338">
        <v>1898305</v>
      </c>
      <c r="I338" t="str">
        <f t="shared" si="10"/>
        <v>1898305</v>
      </c>
      <c r="J338">
        <f t="shared" si="11"/>
        <v>0</v>
      </c>
    </row>
    <row r="339" spans="1:10">
      <c r="A339" t="s">
        <v>492</v>
      </c>
      <c r="B339">
        <v>64171</v>
      </c>
      <c r="C339" t="s">
        <v>493</v>
      </c>
      <c r="D339" t="s">
        <v>500</v>
      </c>
      <c r="E339" t="s">
        <v>507</v>
      </c>
      <c r="F339" s="561">
        <v>1932.7202335429695</v>
      </c>
      <c r="G339">
        <v>1898306</v>
      </c>
      <c r="I339" t="str">
        <f t="shared" si="10"/>
        <v>1898306</v>
      </c>
      <c r="J339">
        <f t="shared" si="11"/>
        <v>0</v>
      </c>
    </row>
    <row r="340" spans="1:10">
      <c r="A340" t="s">
        <v>492</v>
      </c>
      <c r="B340">
        <v>64171</v>
      </c>
      <c r="C340" t="s">
        <v>493</v>
      </c>
      <c r="D340" t="s">
        <v>501</v>
      </c>
      <c r="E340" t="s">
        <v>507</v>
      </c>
      <c r="F340" s="561">
        <v>2578.9198730259868</v>
      </c>
      <c r="G340">
        <v>1898307</v>
      </c>
      <c r="I340" t="str">
        <f t="shared" si="10"/>
        <v>1898307</v>
      </c>
      <c r="J340">
        <f t="shared" si="11"/>
        <v>0</v>
      </c>
    </row>
    <row r="341" spans="1:10">
      <c r="A341" t="s">
        <v>492</v>
      </c>
      <c r="B341">
        <v>64171</v>
      </c>
      <c r="C341" t="s">
        <v>493</v>
      </c>
      <c r="D341" t="s">
        <v>502</v>
      </c>
      <c r="E341" t="s">
        <v>507</v>
      </c>
      <c r="F341" s="561">
        <v>12728.061554543901</v>
      </c>
      <c r="G341">
        <v>1898308</v>
      </c>
      <c r="I341" t="str">
        <f t="shared" si="10"/>
        <v>1898308</v>
      </c>
      <c r="J341">
        <f t="shared" si="11"/>
        <v>0</v>
      </c>
    </row>
    <row r="342" spans="1:10">
      <c r="A342" t="s">
        <v>492</v>
      </c>
      <c r="B342">
        <v>64171</v>
      </c>
      <c r="C342" t="s">
        <v>493</v>
      </c>
      <c r="D342" t="s">
        <v>503</v>
      </c>
      <c r="E342" t="s">
        <v>507</v>
      </c>
      <c r="F342" s="561">
        <v>515.18540450366959</v>
      </c>
      <c r="G342">
        <v>1898309</v>
      </c>
      <c r="I342" t="str">
        <f t="shared" si="10"/>
        <v>1898309</v>
      </c>
      <c r="J342">
        <f t="shared" si="11"/>
        <v>0</v>
      </c>
    </row>
    <row r="343" spans="1:10">
      <c r="A343" t="s">
        <v>492</v>
      </c>
      <c r="B343">
        <v>64171</v>
      </c>
      <c r="C343" t="s">
        <v>493</v>
      </c>
      <c r="D343" t="s">
        <v>504</v>
      </c>
      <c r="E343" t="s">
        <v>507</v>
      </c>
      <c r="F343" s="561">
        <v>10699.6015402964</v>
      </c>
      <c r="G343">
        <v>1898310</v>
      </c>
      <c r="I343" t="str">
        <f t="shared" si="10"/>
        <v>1898310</v>
      </c>
      <c r="J343">
        <f t="shared" si="11"/>
        <v>0</v>
      </c>
    </row>
    <row r="344" spans="1:10" ht="16.5">
      <c r="A344" t="s">
        <v>492</v>
      </c>
      <c r="B344">
        <v>64171</v>
      </c>
      <c r="C344" t="s">
        <v>493</v>
      </c>
      <c r="D344" t="s">
        <v>496</v>
      </c>
      <c r="E344" s="564" t="s">
        <v>992</v>
      </c>
      <c r="F344" s="561">
        <v>3277.7517161650044</v>
      </c>
      <c r="G344">
        <v>1898302</v>
      </c>
      <c r="I344" t="str">
        <f t="shared" si="10"/>
        <v>1898302</v>
      </c>
      <c r="J344">
        <f t="shared" si="11"/>
        <v>0</v>
      </c>
    </row>
    <row r="345" spans="1:10" ht="16.5">
      <c r="A345" t="s">
        <v>492</v>
      </c>
      <c r="B345">
        <v>64171</v>
      </c>
      <c r="C345" t="s">
        <v>493</v>
      </c>
      <c r="D345" t="s">
        <v>497</v>
      </c>
      <c r="E345" s="564" t="s">
        <v>992</v>
      </c>
      <c r="F345" s="561">
        <v>10691.186847026185</v>
      </c>
      <c r="G345">
        <v>1898303</v>
      </c>
      <c r="I345" t="str">
        <f t="shared" si="10"/>
        <v>1898303</v>
      </c>
      <c r="J345">
        <f t="shared" si="11"/>
        <v>0</v>
      </c>
    </row>
    <row r="346" spans="1:10" ht="16.5">
      <c r="A346" t="s">
        <v>492</v>
      </c>
      <c r="B346">
        <v>64171</v>
      </c>
      <c r="C346" t="s">
        <v>493</v>
      </c>
      <c r="D346" t="s">
        <v>498</v>
      </c>
      <c r="E346" s="564" t="s">
        <v>992</v>
      </c>
      <c r="F346" s="561">
        <v>60341.527474232731</v>
      </c>
      <c r="G346">
        <v>1898304</v>
      </c>
      <c r="I346" t="str">
        <f t="shared" si="10"/>
        <v>1898304</v>
      </c>
      <c r="J346">
        <f t="shared" si="11"/>
        <v>0</v>
      </c>
    </row>
    <row r="347" spans="1:10" ht="16.5">
      <c r="A347" t="s">
        <v>492</v>
      </c>
      <c r="B347">
        <v>64171</v>
      </c>
      <c r="C347" t="s">
        <v>493</v>
      </c>
      <c r="D347" t="s">
        <v>499</v>
      </c>
      <c r="E347" s="564" t="s">
        <v>992</v>
      </c>
      <c r="F347" s="561">
        <v>198.83570929042548</v>
      </c>
      <c r="G347">
        <v>1898305</v>
      </c>
      <c r="I347" t="str">
        <f t="shared" si="10"/>
        <v>1898305</v>
      </c>
      <c r="J347">
        <f t="shared" si="11"/>
        <v>0</v>
      </c>
    </row>
    <row r="348" spans="1:10" ht="16.5">
      <c r="A348" t="s">
        <v>492</v>
      </c>
      <c r="B348">
        <v>64171</v>
      </c>
      <c r="C348" t="s">
        <v>493</v>
      </c>
      <c r="D348" t="s">
        <v>500</v>
      </c>
      <c r="E348" s="564" t="s">
        <v>992</v>
      </c>
      <c r="F348" s="561">
        <v>92116.312351320041</v>
      </c>
      <c r="G348">
        <v>1898306</v>
      </c>
      <c r="I348" t="str">
        <f t="shared" si="10"/>
        <v>1898306</v>
      </c>
      <c r="J348">
        <f t="shared" si="11"/>
        <v>0</v>
      </c>
    </row>
    <row r="349" spans="1:10" ht="16.5">
      <c r="A349" t="s">
        <v>492</v>
      </c>
      <c r="B349">
        <v>64171</v>
      </c>
      <c r="C349" t="s">
        <v>493</v>
      </c>
      <c r="D349" t="s">
        <v>501</v>
      </c>
      <c r="E349" s="564" t="s">
        <v>992</v>
      </c>
      <c r="F349" s="561">
        <v>6824.8476858210151</v>
      </c>
      <c r="G349">
        <v>1898307</v>
      </c>
      <c r="I349" t="str">
        <f t="shared" si="10"/>
        <v>1898307</v>
      </c>
      <c r="J349">
        <f t="shared" si="11"/>
        <v>0</v>
      </c>
    </row>
    <row r="350" spans="1:10" ht="16.5">
      <c r="A350" t="s">
        <v>492</v>
      </c>
      <c r="B350">
        <v>64171</v>
      </c>
      <c r="C350" t="s">
        <v>493</v>
      </c>
      <c r="D350" t="s">
        <v>502</v>
      </c>
      <c r="E350" s="564" t="s">
        <v>992</v>
      </c>
      <c r="F350" s="561">
        <v>8108.5800397132152</v>
      </c>
      <c r="G350">
        <v>1898308</v>
      </c>
      <c r="I350" t="str">
        <f t="shared" si="10"/>
        <v>1898308</v>
      </c>
      <c r="J350">
        <f t="shared" si="11"/>
        <v>0</v>
      </c>
    </row>
    <row r="351" spans="1:10" ht="16.5">
      <c r="A351" t="s">
        <v>492</v>
      </c>
      <c r="B351">
        <v>64171</v>
      </c>
      <c r="C351" t="s">
        <v>493</v>
      </c>
      <c r="D351" t="s">
        <v>503</v>
      </c>
      <c r="E351" s="564" t="s">
        <v>992</v>
      </c>
      <c r="F351" s="561">
        <v>17032.216241004713</v>
      </c>
      <c r="G351">
        <v>1898309</v>
      </c>
      <c r="I351" t="str">
        <f t="shared" si="10"/>
        <v>1898309</v>
      </c>
      <c r="J351">
        <f t="shared" si="11"/>
        <v>0</v>
      </c>
    </row>
    <row r="352" spans="1:10" ht="16.5">
      <c r="A352" t="s">
        <v>492</v>
      </c>
      <c r="B352">
        <v>64171</v>
      </c>
      <c r="C352" t="s">
        <v>493</v>
      </c>
      <c r="D352" t="s">
        <v>504</v>
      </c>
      <c r="E352" s="564" t="s">
        <v>992</v>
      </c>
      <c r="F352" s="561">
        <v>15823.444043224537</v>
      </c>
      <c r="G352">
        <v>1898310</v>
      </c>
      <c r="I352" t="str">
        <f t="shared" si="10"/>
        <v>1898310</v>
      </c>
      <c r="J352">
        <f t="shared" si="11"/>
        <v>0</v>
      </c>
    </row>
    <row r="353" spans="1:13" s="643" customFormat="1">
      <c r="A353" s="643" t="s">
        <v>492</v>
      </c>
      <c r="B353" s="643">
        <v>64171</v>
      </c>
      <c r="C353" s="643" t="s">
        <v>493</v>
      </c>
      <c r="D353" s="643" t="s">
        <v>500</v>
      </c>
      <c r="E353" s="643" t="s">
        <v>508</v>
      </c>
      <c r="F353" s="645">
        <v>2118927</v>
      </c>
      <c r="G353" s="643">
        <v>1898306</v>
      </c>
      <c r="I353" t="str">
        <f t="shared" si="10"/>
        <v>1898306</v>
      </c>
      <c r="J353">
        <f t="shared" si="11"/>
        <v>0</v>
      </c>
    </row>
    <row r="354" spans="1:13" s="643" customFormat="1">
      <c r="A354" s="643" t="s">
        <v>492</v>
      </c>
      <c r="B354" s="643">
        <v>64171</v>
      </c>
      <c r="C354" s="643" t="s">
        <v>493</v>
      </c>
      <c r="D354" s="643" t="s">
        <v>500</v>
      </c>
      <c r="E354" s="643" t="s">
        <v>509</v>
      </c>
      <c r="F354" s="645">
        <v>2970000</v>
      </c>
      <c r="G354" s="643">
        <v>1898306</v>
      </c>
      <c r="I354" t="str">
        <f t="shared" si="10"/>
        <v>1898306</v>
      </c>
      <c r="J354">
        <f t="shared" si="11"/>
        <v>0</v>
      </c>
    </row>
    <row r="355" spans="1:13" s="643" customFormat="1">
      <c r="A355" s="643" t="s">
        <v>492</v>
      </c>
      <c r="B355" s="643">
        <v>64171</v>
      </c>
      <c r="C355" s="643" t="s">
        <v>493</v>
      </c>
      <c r="D355" s="643" t="s">
        <v>500</v>
      </c>
      <c r="E355" s="643" t="s">
        <v>506</v>
      </c>
      <c r="F355" s="645">
        <v>334000</v>
      </c>
      <c r="G355" s="643">
        <v>1898306</v>
      </c>
      <c r="I355" t="str">
        <f t="shared" ref="I355:I374" si="12">RIGHT(D355,7)</f>
        <v>1898306</v>
      </c>
      <c r="J355">
        <f t="shared" ref="J355:J374" si="13">I355-G355</f>
        <v>0</v>
      </c>
    </row>
    <row r="356" spans="1:13" s="643" customFormat="1">
      <c r="A356" s="643" t="s">
        <v>492</v>
      </c>
      <c r="B356" s="643">
        <v>64171</v>
      </c>
      <c r="C356" s="643" t="s">
        <v>493</v>
      </c>
      <c r="D356" s="643" t="s">
        <v>500</v>
      </c>
      <c r="E356" s="643" t="s">
        <v>507</v>
      </c>
      <c r="F356" s="645">
        <v>1170400</v>
      </c>
      <c r="G356" s="643">
        <v>1898306</v>
      </c>
      <c r="I356" t="str">
        <f t="shared" si="12"/>
        <v>1898306</v>
      </c>
      <c r="J356">
        <f t="shared" si="13"/>
        <v>0</v>
      </c>
    </row>
    <row r="357" spans="1:13" s="643" customFormat="1">
      <c r="A357" s="643" t="s">
        <v>492</v>
      </c>
      <c r="B357" s="643">
        <v>64171</v>
      </c>
      <c r="C357" s="643" t="s">
        <v>493</v>
      </c>
      <c r="D357" s="643" t="s">
        <v>497</v>
      </c>
      <c r="E357" s="643" t="s">
        <v>506</v>
      </c>
      <c r="F357" s="645">
        <v>1535800</v>
      </c>
      <c r="G357" s="643">
        <v>1898303</v>
      </c>
      <c r="I357" t="str">
        <f t="shared" si="12"/>
        <v>1898303</v>
      </c>
      <c r="J357">
        <f t="shared" si="13"/>
        <v>0</v>
      </c>
    </row>
    <row r="358" spans="1:13" s="643" customFormat="1">
      <c r="A358" s="643" t="s">
        <v>492</v>
      </c>
      <c r="B358" s="643">
        <v>64171</v>
      </c>
      <c r="C358" s="643" t="s">
        <v>493</v>
      </c>
      <c r="D358" s="643" t="s">
        <v>497</v>
      </c>
      <c r="E358" s="643" t="s">
        <v>514</v>
      </c>
      <c r="F358" s="645">
        <v>9000000</v>
      </c>
      <c r="G358" s="643">
        <v>1898303</v>
      </c>
      <c r="I358" t="str">
        <f t="shared" si="12"/>
        <v>1898303</v>
      </c>
      <c r="J358">
        <f t="shared" si="13"/>
        <v>0</v>
      </c>
    </row>
    <row r="359" spans="1:13" s="643" customFormat="1">
      <c r="A359" s="643" t="s">
        <v>492</v>
      </c>
      <c r="B359" s="643">
        <v>64171</v>
      </c>
      <c r="C359" s="643" t="s">
        <v>493</v>
      </c>
      <c r="D359" s="643" t="s">
        <v>497</v>
      </c>
      <c r="E359" s="643" t="s">
        <v>510</v>
      </c>
      <c r="F359" s="645">
        <v>330000</v>
      </c>
      <c r="G359" s="643">
        <v>1898303</v>
      </c>
      <c r="I359" t="str">
        <f t="shared" si="12"/>
        <v>1898303</v>
      </c>
      <c r="J359">
        <f t="shared" si="13"/>
        <v>0</v>
      </c>
    </row>
    <row r="360" spans="1:13" s="643" customFormat="1">
      <c r="A360" s="643" t="s">
        <v>492</v>
      </c>
      <c r="B360" s="643">
        <v>64171</v>
      </c>
      <c r="C360" s="643" t="s">
        <v>493</v>
      </c>
      <c r="D360" s="643" t="s">
        <v>497</v>
      </c>
      <c r="E360" s="643" t="s">
        <v>507</v>
      </c>
      <c r="F360" s="645">
        <v>732000</v>
      </c>
      <c r="G360" s="643">
        <v>1898303</v>
      </c>
      <c r="I360" t="str">
        <f t="shared" si="12"/>
        <v>1898303</v>
      </c>
      <c r="J360">
        <f t="shared" si="13"/>
        <v>0</v>
      </c>
    </row>
    <row r="361" spans="1:13">
      <c r="A361" t="s">
        <v>492</v>
      </c>
      <c r="B361">
        <v>64171</v>
      </c>
      <c r="C361" t="s">
        <v>493</v>
      </c>
      <c r="D361" t="s">
        <v>502</v>
      </c>
      <c r="E361" s="643" t="s">
        <v>506</v>
      </c>
      <c r="F361" s="561">
        <v>167200</v>
      </c>
      <c r="G361">
        <v>1898308</v>
      </c>
      <c r="I361" t="str">
        <f t="shared" si="12"/>
        <v>1898308</v>
      </c>
      <c r="J361">
        <f t="shared" si="13"/>
        <v>0</v>
      </c>
    </row>
    <row r="362" spans="1:13" ht="15.75">
      <c r="A362" t="s">
        <v>492</v>
      </c>
      <c r="B362">
        <v>64171</v>
      </c>
      <c r="C362" t="s">
        <v>493</v>
      </c>
      <c r="D362" t="s">
        <v>502</v>
      </c>
      <c r="E362" s="646" t="s">
        <v>516</v>
      </c>
      <c r="F362" s="561">
        <v>3153600</v>
      </c>
      <c r="G362">
        <v>1898308</v>
      </c>
      <c r="I362" t="str">
        <f t="shared" si="12"/>
        <v>1898308</v>
      </c>
      <c r="J362">
        <f t="shared" si="13"/>
        <v>0</v>
      </c>
    </row>
    <row r="363" spans="1:13">
      <c r="A363" t="s">
        <v>492</v>
      </c>
      <c r="B363">
        <v>64171</v>
      </c>
      <c r="C363" t="s">
        <v>493</v>
      </c>
      <c r="D363" t="s">
        <v>502</v>
      </c>
      <c r="E363" t="s">
        <v>507</v>
      </c>
      <c r="F363" s="561">
        <v>142000</v>
      </c>
      <c r="G363">
        <v>1898308</v>
      </c>
      <c r="I363" t="str">
        <f t="shared" si="12"/>
        <v>1898308</v>
      </c>
      <c r="J363">
        <f t="shared" si="13"/>
        <v>0</v>
      </c>
    </row>
    <row r="364" spans="1:13">
      <c r="A364" t="s">
        <v>492</v>
      </c>
      <c r="B364">
        <v>64171</v>
      </c>
      <c r="C364" t="s">
        <v>493</v>
      </c>
      <c r="D364" t="s">
        <v>498</v>
      </c>
      <c r="E364" t="s">
        <v>507</v>
      </c>
      <c r="F364" s="561">
        <v>142800</v>
      </c>
      <c r="G364">
        <v>1898304</v>
      </c>
      <c r="I364" t="str">
        <f t="shared" si="12"/>
        <v>1898304</v>
      </c>
      <c r="J364">
        <f t="shared" si="13"/>
        <v>0</v>
      </c>
    </row>
    <row r="365" spans="1:13">
      <c r="A365" t="s">
        <v>492</v>
      </c>
      <c r="B365">
        <v>64171</v>
      </c>
      <c r="C365" t="s">
        <v>493</v>
      </c>
      <c r="D365" t="s">
        <v>496</v>
      </c>
      <c r="E365" s="643" t="s">
        <v>506</v>
      </c>
      <c r="F365" s="561">
        <v>270000</v>
      </c>
      <c r="G365">
        <v>1898302</v>
      </c>
      <c r="I365" t="str">
        <f t="shared" si="12"/>
        <v>1898302</v>
      </c>
      <c r="J365">
        <f t="shared" si="13"/>
        <v>0</v>
      </c>
      <c r="K365">
        <v>909656688.5</v>
      </c>
      <c r="L365">
        <v>72772535.079999983</v>
      </c>
      <c r="M365">
        <v>982429223.58000016</v>
      </c>
    </row>
    <row r="366" spans="1:13">
      <c r="A366" t="s">
        <v>492</v>
      </c>
      <c r="B366">
        <v>64171</v>
      </c>
      <c r="C366" t="s">
        <v>493</v>
      </c>
      <c r="D366" s="643" t="s">
        <v>500</v>
      </c>
      <c r="E366" s="643" t="s">
        <v>506</v>
      </c>
      <c r="F366" s="561">
        <v>183500</v>
      </c>
      <c r="G366" s="643">
        <v>1898306</v>
      </c>
      <c r="I366" t="str">
        <f t="shared" si="12"/>
        <v>1898306</v>
      </c>
      <c r="J366">
        <f t="shared" si="13"/>
        <v>0</v>
      </c>
    </row>
    <row r="367" spans="1:13">
      <c r="A367" t="s">
        <v>492</v>
      </c>
      <c r="B367">
        <v>64171</v>
      </c>
      <c r="C367" t="s">
        <v>493</v>
      </c>
      <c r="D367" s="643" t="s">
        <v>500</v>
      </c>
      <c r="E367" t="s">
        <v>507</v>
      </c>
      <c r="F367" s="561">
        <v>240000</v>
      </c>
      <c r="G367" s="643">
        <v>1898306</v>
      </c>
      <c r="I367" t="str">
        <f t="shared" si="12"/>
        <v>1898306</v>
      </c>
      <c r="J367">
        <f t="shared" si="13"/>
        <v>0</v>
      </c>
    </row>
    <row r="368" spans="1:13" ht="15.75">
      <c r="A368" t="s">
        <v>492</v>
      </c>
      <c r="B368">
        <v>64171</v>
      </c>
      <c r="C368" t="s">
        <v>493</v>
      </c>
      <c r="D368" s="643" t="s">
        <v>500</v>
      </c>
      <c r="E368" s="646" t="s">
        <v>1101</v>
      </c>
      <c r="F368" s="561">
        <v>3446800</v>
      </c>
      <c r="G368" s="643">
        <v>1898306</v>
      </c>
      <c r="I368" t="str">
        <f t="shared" si="12"/>
        <v>1898306</v>
      </c>
      <c r="J368">
        <f t="shared" si="13"/>
        <v>0</v>
      </c>
    </row>
    <row r="369" spans="1:10" ht="15.75">
      <c r="A369" t="s">
        <v>492</v>
      </c>
      <c r="B369">
        <v>64171</v>
      </c>
      <c r="C369" t="s">
        <v>493</v>
      </c>
      <c r="D369" t="s">
        <v>497</v>
      </c>
      <c r="E369" s="646" t="s">
        <v>1101</v>
      </c>
      <c r="F369" s="561">
        <v>14086280</v>
      </c>
      <c r="G369">
        <v>1898303</v>
      </c>
      <c r="I369" t="str">
        <f t="shared" si="12"/>
        <v>1898303</v>
      </c>
      <c r="J369">
        <f t="shared" si="13"/>
        <v>0</v>
      </c>
    </row>
    <row r="370" spans="1:10" ht="15.75">
      <c r="A370" t="s">
        <v>492</v>
      </c>
      <c r="B370">
        <v>64171</v>
      </c>
      <c r="C370" t="s">
        <v>493</v>
      </c>
      <c r="D370" t="s">
        <v>502</v>
      </c>
      <c r="E370" s="646" t="s">
        <v>1101</v>
      </c>
      <c r="F370" s="561">
        <v>491600</v>
      </c>
      <c r="G370">
        <v>1898308</v>
      </c>
      <c r="I370" t="str">
        <f t="shared" si="12"/>
        <v>1898308</v>
      </c>
      <c r="J370">
        <f t="shared" si="13"/>
        <v>0</v>
      </c>
    </row>
    <row r="371" spans="1:10" ht="15.75">
      <c r="A371" t="s">
        <v>492</v>
      </c>
      <c r="B371">
        <v>64171</v>
      </c>
      <c r="C371" t="s">
        <v>493</v>
      </c>
      <c r="D371" t="s">
        <v>498</v>
      </c>
      <c r="E371" s="646" t="s">
        <v>1101</v>
      </c>
      <c r="F371" s="561">
        <v>2232800</v>
      </c>
      <c r="G371">
        <v>1898304</v>
      </c>
      <c r="I371" t="str">
        <f t="shared" si="12"/>
        <v>1898304</v>
      </c>
      <c r="J371">
        <f t="shared" si="13"/>
        <v>0</v>
      </c>
    </row>
    <row r="372" spans="1:10" ht="15.75">
      <c r="A372" t="s">
        <v>492</v>
      </c>
      <c r="B372">
        <v>64171</v>
      </c>
      <c r="C372" t="s">
        <v>493</v>
      </c>
      <c r="D372" t="s">
        <v>496</v>
      </c>
      <c r="E372" s="646" t="s">
        <v>1101</v>
      </c>
      <c r="F372" s="561">
        <v>405000</v>
      </c>
      <c r="G372">
        <v>1898302</v>
      </c>
      <c r="I372" t="str">
        <f t="shared" si="12"/>
        <v>1898302</v>
      </c>
      <c r="J372">
        <f t="shared" si="13"/>
        <v>0</v>
      </c>
    </row>
    <row r="373" spans="1:10" ht="15.75">
      <c r="A373" t="s">
        <v>492</v>
      </c>
      <c r="B373">
        <v>64171</v>
      </c>
      <c r="C373" t="s">
        <v>493</v>
      </c>
      <c r="D373" t="s">
        <v>500</v>
      </c>
      <c r="E373" s="646" t="s">
        <v>1101</v>
      </c>
      <c r="F373" s="561">
        <v>1754000</v>
      </c>
      <c r="G373">
        <v>1898306</v>
      </c>
      <c r="I373" t="str">
        <f t="shared" si="12"/>
        <v>1898306</v>
      </c>
      <c r="J373">
        <f t="shared" si="13"/>
        <v>0</v>
      </c>
    </row>
    <row r="374" spans="1:10">
      <c r="A374" t="s">
        <v>492</v>
      </c>
      <c r="B374">
        <v>133111</v>
      </c>
      <c r="D374" t="s">
        <v>494</v>
      </c>
      <c r="F374" s="561">
        <v>72772535.079999983</v>
      </c>
      <c r="G374">
        <v>1898301</v>
      </c>
      <c r="I374" t="str">
        <f t="shared" si="12"/>
        <v>1898301</v>
      </c>
      <c r="J374">
        <f t="shared" si="13"/>
        <v>0</v>
      </c>
    </row>
    <row r="375" spans="1:10">
      <c r="A375" t="s">
        <v>224</v>
      </c>
      <c r="B375">
        <v>33111</v>
      </c>
      <c r="D375" t="s">
        <v>494</v>
      </c>
      <c r="F375" s="561">
        <v>982429223.58000016</v>
      </c>
      <c r="G375">
        <v>1898301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8"/>
  <sheetViews>
    <sheetView topLeftCell="A8" workbookViewId="0">
      <selection activeCell="C9" sqref="C9"/>
    </sheetView>
  </sheetViews>
  <sheetFormatPr defaultColWidth="9.140625" defaultRowHeight="12.75"/>
  <cols>
    <col min="1" max="1" width="9.140625" style="14"/>
    <col min="2" max="2" width="15.5703125" style="14" customWidth="1"/>
    <col min="3" max="3" width="22.85546875" style="3" customWidth="1"/>
    <col min="4" max="4" width="13.85546875" style="504" customWidth="1"/>
    <col min="5" max="5" width="13.7109375" style="510" customWidth="1"/>
    <col min="6" max="6" width="12.7109375" style="3" customWidth="1"/>
    <col min="7" max="7" width="14.140625" style="3" customWidth="1"/>
    <col min="8" max="8" width="9.140625" style="3"/>
    <col min="9" max="9" width="12.85546875" style="3" customWidth="1"/>
    <col min="10" max="10" width="12.42578125" style="3" customWidth="1"/>
    <col min="11" max="13" width="11.28515625" style="3" customWidth="1"/>
    <col min="14" max="16384" width="9.140625" style="3"/>
  </cols>
  <sheetData>
    <row r="1" spans="1:23" ht="16.5">
      <c r="A1" s="1"/>
      <c r="B1" s="480" t="s">
        <v>904</v>
      </c>
      <c r="C1" s="1"/>
      <c r="D1" s="478"/>
      <c r="E1" s="481"/>
    </row>
    <row r="2" spans="1:23">
      <c r="A2" s="1523"/>
      <c r="B2" s="1523"/>
      <c r="C2" s="1523"/>
      <c r="D2" s="1523"/>
      <c r="E2" s="481"/>
    </row>
    <row r="3" spans="1:23" s="4" customFormat="1" ht="16.5">
      <c r="A3" s="1524" t="s">
        <v>930</v>
      </c>
      <c r="B3" s="1524"/>
      <c r="C3" s="1524"/>
      <c r="D3" s="1524"/>
      <c r="E3" s="1524"/>
      <c r="F3" s="1524"/>
      <c r="G3" s="1524"/>
      <c r="H3" s="1524"/>
      <c r="I3" s="1524"/>
      <c r="J3" s="1524"/>
      <c r="K3" s="1524"/>
      <c r="L3" s="482"/>
      <c r="M3" s="482"/>
    </row>
    <row r="4" spans="1:23" s="4" customFormat="1" ht="16.5">
      <c r="A4" s="1525" t="s">
        <v>905</v>
      </c>
      <c r="B4" s="1525"/>
      <c r="C4" s="1525"/>
      <c r="D4" s="1525"/>
      <c r="E4" s="1525"/>
      <c r="F4" s="1525"/>
      <c r="G4" s="1525"/>
      <c r="H4" s="1525"/>
      <c r="I4" s="1525"/>
      <c r="J4" s="1525"/>
      <c r="K4" s="1525"/>
      <c r="L4" s="483"/>
      <c r="M4" s="483"/>
    </row>
    <row r="5" spans="1:23">
      <c r="A5" s="484"/>
      <c r="B5" s="484"/>
      <c r="C5" s="485"/>
      <c r="D5" s="486"/>
      <c r="E5" s="487" t="s">
        <v>697</v>
      </c>
    </row>
    <row r="6" spans="1:23" s="2" customFormat="1" ht="58.9" customHeight="1">
      <c r="A6" s="1526" t="s">
        <v>0</v>
      </c>
      <c r="B6" s="1526" t="s">
        <v>1</v>
      </c>
      <c r="C6" s="1526" t="s">
        <v>2</v>
      </c>
      <c r="D6" s="1528" t="s">
        <v>3</v>
      </c>
      <c r="E6" s="1529"/>
      <c r="F6" s="179" t="s">
        <v>5</v>
      </c>
      <c r="G6" s="1530" t="s">
        <v>188</v>
      </c>
      <c r="H6" s="1530" t="s">
        <v>906</v>
      </c>
      <c r="I6" s="1530"/>
      <c r="J6" s="1530" t="s">
        <v>907</v>
      </c>
      <c r="K6" s="1530"/>
      <c r="L6" s="37"/>
      <c r="M6" s="37"/>
    </row>
    <row r="7" spans="1:23" s="2" customFormat="1" ht="89.25" customHeight="1">
      <c r="A7" s="1527"/>
      <c r="B7" s="1527"/>
      <c r="C7" s="1527"/>
      <c r="D7" s="179" t="s">
        <v>6</v>
      </c>
      <c r="E7" s="179" t="s">
        <v>7</v>
      </c>
      <c r="F7" s="179" t="s">
        <v>10</v>
      </c>
      <c r="G7" s="1530"/>
      <c r="H7" s="180" t="s">
        <v>908</v>
      </c>
      <c r="I7" s="180" t="s">
        <v>909</v>
      </c>
      <c r="J7" s="488" t="s">
        <v>910</v>
      </c>
      <c r="K7" s="488" t="s">
        <v>911</v>
      </c>
      <c r="L7" s="489"/>
      <c r="M7" s="489"/>
      <c r="N7" s="29"/>
      <c r="O7" s="29"/>
    </row>
    <row r="8" spans="1:23" s="7" customFormat="1" ht="26.25" customHeight="1">
      <c r="A8" s="5">
        <v>0</v>
      </c>
      <c r="B8" s="5">
        <v>1</v>
      </c>
      <c r="C8" s="5">
        <v>2</v>
      </c>
      <c r="D8" s="6"/>
      <c r="E8" s="5">
        <v>3</v>
      </c>
      <c r="F8" s="5">
        <v>4</v>
      </c>
      <c r="G8" s="5">
        <v>5</v>
      </c>
      <c r="H8" s="5">
        <v>6</v>
      </c>
      <c r="I8" s="5" t="s">
        <v>912</v>
      </c>
      <c r="J8" s="5" t="s">
        <v>913</v>
      </c>
      <c r="K8" s="5">
        <v>9</v>
      </c>
      <c r="P8" s="8" t="s">
        <v>13</v>
      </c>
      <c r="Q8" s="10" t="s">
        <v>14</v>
      </c>
      <c r="S8" s="21"/>
      <c r="U8" s="7">
        <v>1</v>
      </c>
    </row>
    <row r="9" spans="1:23" s="9" customFormat="1" ht="26.25" customHeight="1">
      <c r="A9" s="8">
        <v>1</v>
      </c>
      <c r="B9" s="56" t="s">
        <v>13</v>
      </c>
      <c r="C9" s="10" t="s">
        <v>14</v>
      </c>
      <c r="D9" s="22">
        <f>VLOOKUP(B9,'DSOAT-T1.2025'!B11:D78,3,0)</f>
        <v>4718700</v>
      </c>
      <c r="E9" s="490" t="e">
        <f>VLOOKUP(B9,'DSOAT-T1.2025'!B11:AJ78,47,0)</f>
        <v>#REF!</v>
      </c>
      <c r="F9" s="490" t="e">
        <f>VLOOKUP(B9,'DSOAT-T1.2025'!B11:AQ78,54,0)</f>
        <v>#REF!</v>
      </c>
      <c r="G9" s="491">
        <v>11000000</v>
      </c>
      <c r="H9" s="491">
        <v>1</v>
      </c>
      <c r="I9" s="491">
        <f>H9*4400000</f>
        <v>4400000</v>
      </c>
      <c r="J9" s="491" t="e">
        <f>E9-F9-G9-I9</f>
        <v>#REF!</v>
      </c>
      <c r="K9" s="492" t="e">
        <f>IF(J9&lt;0,0,IF(J9&lt;5000000,J9*5%,IF(J9&lt;10000000,J9*10%-250000,IF(J9&lt;18000000,J9*15%-750000,IF(J9&lt;32000000,J9*20%-1650000,IF(J9&lt;52000000,J9*25%-3250000,IF(J9&lt;80000000,J9*30%-5850000,IF(J9&gt;80000000,J9*35%-9850000))))))))</f>
        <v>#REF!</v>
      </c>
      <c r="L9" s="493" t="s">
        <v>15</v>
      </c>
      <c r="M9" s="493"/>
      <c r="N9" s="9" t="s">
        <v>14</v>
      </c>
      <c r="P9" s="8" t="s">
        <v>914</v>
      </c>
      <c r="Q9" s="10" t="s">
        <v>915</v>
      </c>
      <c r="S9" s="21"/>
      <c r="U9" s="9">
        <v>3</v>
      </c>
      <c r="W9" s="9" t="e">
        <v>#N/A</v>
      </c>
    </row>
    <row r="10" spans="1:23" s="9" customFormat="1" ht="26.25" customHeight="1">
      <c r="A10" s="8">
        <f>A9+1</f>
        <v>2</v>
      </c>
      <c r="B10" s="56" t="s">
        <v>55</v>
      </c>
      <c r="C10" s="10" t="s">
        <v>56</v>
      </c>
      <c r="D10" s="22">
        <f>VLOOKUP(B10,'DSOAT-T1.2025'!B12:D89,3,0)</f>
        <v>4130200.0000000005</v>
      </c>
      <c r="E10" s="490" t="e">
        <f>VLOOKUP(B10,'DSOAT-T1.2025'!B12:AJ89,47,0)</f>
        <v>#REF!</v>
      </c>
      <c r="F10" s="490" t="e">
        <f>VLOOKUP(B10,'DSOAT-T1.2025'!B12:AQ89,54,0)</f>
        <v>#REF!</v>
      </c>
      <c r="G10" s="491">
        <v>11000000</v>
      </c>
      <c r="H10" s="491"/>
      <c r="I10" s="491">
        <f t="shared" ref="I10:I73" si="0">H10*4400000</f>
        <v>0</v>
      </c>
      <c r="J10" s="491" t="e">
        <f t="shared" ref="J10:J73" si="1">E10-F10-G10-I10</f>
        <v>#REF!</v>
      </c>
      <c r="K10" s="492" t="e">
        <f t="shared" ref="K10:K73" si="2">IF(J10&lt;0,0,IF(J10&lt;5000000,J10*5%,IF(J10&lt;10000000,J10*10%-250000,IF(J10&lt;18000000,J10*15%-750000,IF(J10&lt;32000000,J10*20%-1650000,IF(J10&lt;52000000,J10*25%-3250000,IF(J10&lt;80000000,J10*30%-5850000,IF(J10&gt;80000000,J10*35%-9850000))))))))</f>
        <v>#REF!</v>
      </c>
      <c r="L10" s="493" t="s">
        <v>42</v>
      </c>
      <c r="M10" s="493"/>
      <c r="N10" s="9" t="s">
        <v>56</v>
      </c>
      <c r="P10" s="8" t="s">
        <v>21</v>
      </c>
      <c r="Q10" s="10" t="s">
        <v>22</v>
      </c>
      <c r="S10" s="21"/>
      <c r="U10" s="9">
        <v>1</v>
      </c>
      <c r="W10" s="9">
        <v>1</v>
      </c>
    </row>
    <row r="11" spans="1:23" s="9" customFormat="1" ht="26.25" customHeight="1">
      <c r="A11" s="8">
        <f t="shared" ref="A11:A74" si="3">A10+1</f>
        <v>3</v>
      </c>
      <c r="B11" s="56" t="s">
        <v>16</v>
      </c>
      <c r="C11" s="10" t="s">
        <v>17</v>
      </c>
      <c r="D11" s="22">
        <f>VLOOKUP(B11,'DSOAT-T1.2025'!B13:D90,3,0)</f>
        <v>4718700</v>
      </c>
      <c r="E11" s="490" t="e">
        <f>VLOOKUP(B11,'DSOAT-T1.2025'!B13:AJ90,47,0)</f>
        <v>#REF!</v>
      </c>
      <c r="F11" s="490" t="e">
        <f>VLOOKUP(B11,'DSOAT-T1.2025'!B13:AQ90,54,0)</f>
        <v>#REF!</v>
      </c>
      <c r="G11" s="491">
        <v>11000000</v>
      </c>
      <c r="H11" s="491"/>
      <c r="I11" s="491">
        <f t="shared" si="0"/>
        <v>0</v>
      </c>
      <c r="J11" s="491" t="e">
        <f t="shared" si="1"/>
        <v>#REF!</v>
      </c>
      <c r="K11" s="492" t="e">
        <f t="shared" si="2"/>
        <v>#REF!</v>
      </c>
      <c r="L11" s="493" t="s">
        <v>15</v>
      </c>
      <c r="M11" s="493"/>
      <c r="N11" s="9" t="s">
        <v>17</v>
      </c>
      <c r="P11" s="8" t="s">
        <v>28</v>
      </c>
      <c r="Q11" s="10" t="s">
        <v>29</v>
      </c>
      <c r="S11" s="21"/>
      <c r="U11" s="9">
        <v>1</v>
      </c>
      <c r="W11" s="9" t="e">
        <v>#N/A</v>
      </c>
    </row>
    <row r="12" spans="1:23" s="9" customFormat="1" ht="26.25" customHeight="1">
      <c r="A12" s="8">
        <f t="shared" si="3"/>
        <v>4</v>
      </c>
      <c r="B12" s="56" t="s">
        <v>21</v>
      </c>
      <c r="C12" s="10" t="s">
        <v>22</v>
      </c>
      <c r="D12" s="22">
        <f>VLOOKUP(B12,'DSOAT-T1.2025'!B14:D91,3,0)</f>
        <v>4718700</v>
      </c>
      <c r="E12" s="490" t="e">
        <f>VLOOKUP(B12,'DSOAT-T1.2025'!B14:AJ91,47,0)</f>
        <v>#REF!</v>
      </c>
      <c r="F12" s="490" t="e">
        <f>VLOOKUP(B12,'DSOAT-T1.2025'!B14:AQ91,54,0)</f>
        <v>#REF!</v>
      </c>
      <c r="G12" s="491">
        <v>11000000</v>
      </c>
      <c r="H12" s="491"/>
      <c r="I12" s="491">
        <f t="shared" si="0"/>
        <v>0</v>
      </c>
      <c r="J12" s="491" t="e">
        <f t="shared" si="1"/>
        <v>#REF!</v>
      </c>
      <c r="K12" s="492" t="e">
        <f t="shared" si="2"/>
        <v>#REF!</v>
      </c>
      <c r="L12" s="493" t="s">
        <v>15</v>
      </c>
      <c r="M12" s="493"/>
      <c r="N12" s="9" t="s">
        <v>22</v>
      </c>
      <c r="P12" s="8" t="s">
        <v>30</v>
      </c>
      <c r="Q12" s="23" t="s">
        <v>31</v>
      </c>
      <c r="S12" s="21"/>
      <c r="U12" s="9">
        <v>1</v>
      </c>
      <c r="W12" s="9" t="e">
        <v>#N/A</v>
      </c>
    </row>
    <row r="13" spans="1:23" s="9" customFormat="1" ht="26.25" customHeight="1">
      <c r="A13" s="8">
        <f t="shared" si="3"/>
        <v>5</v>
      </c>
      <c r="B13" s="56" t="s">
        <v>155</v>
      </c>
      <c r="C13" s="10" t="s">
        <v>142</v>
      </c>
      <c r="D13" s="22">
        <f>VLOOKUP(B13,'DSOAT-T1.2025'!B15:D92,3,0)</f>
        <v>4718700</v>
      </c>
      <c r="E13" s="490" t="e">
        <f>VLOOKUP(B13,'DSOAT-T1.2025'!B15:AJ92,47,0)</f>
        <v>#REF!</v>
      </c>
      <c r="F13" s="490" t="e">
        <f>VLOOKUP(B13,'DSOAT-T1.2025'!B15:AQ92,54,0)</f>
        <v>#REF!</v>
      </c>
      <c r="G13" s="491">
        <v>11000000</v>
      </c>
      <c r="H13" s="491"/>
      <c r="I13" s="491">
        <f t="shared" si="0"/>
        <v>0</v>
      </c>
      <c r="J13" s="491" t="e">
        <f t="shared" si="1"/>
        <v>#REF!</v>
      </c>
      <c r="K13" s="492" t="e">
        <f t="shared" si="2"/>
        <v>#REF!</v>
      </c>
      <c r="L13" s="493" t="s">
        <v>194</v>
      </c>
      <c r="M13" s="493"/>
      <c r="N13" s="9" t="s">
        <v>142</v>
      </c>
      <c r="P13" s="8" t="s">
        <v>38</v>
      </c>
      <c r="Q13" s="10" t="s">
        <v>39</v>
      </c>
      <c r="S13" s="21"/>
      <c r="U13" s="9">
        <v>1</v>
      </c>
      <c r="W13" s="9" t="e">
        <v>#N/A</v>
      </c>
    </row>
    <row r="14" spans="1:23" s="9" customFormat="1" ht="26.25" customHeight="1">
      <c r="A14" s="8">
        <f t="shared" si="3"/>
        <v>6</v>
      </c>
      <c r="B14" s="56" t="s">
        <v>156</v>
      </c>
      <c r="C14" s="10" t="s">
        <v>143</v>
      </c>
      <c r="D14" s="22">
        <f>VLOOKUP(B14,'DSOAT-T1.2025'!B16:D93,3,0)</f>
        <v>4718700</v>
      </c>
      <c r="E14" s="490" t="e">
        <f>VLOOKUP(B14,'DSOAT-T1.2025'!B16:AJ93,47,0)</f>
        <v>#REF!</v>
      </c>
      <c r="F14" s="490" t="e">
        <f>VLOOKUP(B14,'DSOAT-T1.2025'!B16:AQ93,54,0)</f>
        <v>#REF!</v>
      </c>
      <c r="G14" s="491">
        <v>11000000</v>
      </c>
      <c r="H14" s="491"/>
      <c r="I14" s="491">
        <f t="shared" si="0"/>
        <v>0</v>
      </c>
      <c r="J14" s="491" t="e">
        <f t="shared" si="1"/>
        <v>#REF!</v>
      </c>
      <c r="K14" s="492" t="e">
        <f t="shared" si="2"/>
        <v>#REF!</v>
      </c>
      <c r="L14" s="493" t="s">
        <v>194</v>
      </c>
      <c r="M14" s="493"/>
      <c r="N14" s="9" t="s">
        <v>143</v>
      </c>
      <c r="P14" s="8" t="s">
        <v>916</v>
      </c>
      <c r="Q14" s="10" t="s">
        <v>917</v>
      </c>
      <c r="S14" s="21"/>
      <c r="U14" s="9">
        <v>2</v>
      </c>
      <c r="W14" s="9" t="e">
        <v>#N/A</v>
      </c>
    </row>
    <row r="15" spans="1:23" s="9" customFormat="1" ht="26.25" customHeight="1">
      <c r="A15" s="8">
        <f t="shared" si="3"/>
        <v>7</v>
      </c>
      <c r="B15" s="56" t="s">
        <v>157</v>
      </c>
      <c r="C15" s="10" t="s">
        <v>144</v>
      </c>
      <c r="D15" s="22">
        <f>VLOOKUP(B15,'DSOAT-T1.2025'!B17:D94,3,0)</f>
        <v>4718700</v>
      </c>
      <c r="E15" s="490" t="e">
        <f>VLOOKUP(B15,'DSOAT-T1.2025'!B17:AJ94,47,0)</f>
        <v>#REF!</v>
      </c>
      <c r="F15" s="490" t="e">
        <f>VLOOKUP(B15,'DSOAT-T1.2025'!B17:AQ94,54,0)</f>
        <v>#REF!</v>
      </c>
      <c r="G15" s="491">
        <v>11000000</v>
      </c>
      <c r="H15" s="491"/>
      <c r="I15" s="491">
        <f t="shared" si="0"/>
        <v>0</v>
      </c>
      <c r="J15" s="491" t="e">
        <f t="shared" si="1"/>
        <v>#REF!</v>
      </c>
      <c r="K15" s="492" t="e">
        <f t="shared" si="2"/>
        <v>#REF!</v>
      </c>
      <c r="L15" s="493" t="s">
        <v>15</v>
      </c>
      <c r="M15" s="493"/>
      <c r="N15" s="9" t="s">
        <v>144</v>
      </c>
      <c r="P15" s="8" t="s">
        <v>918</v>
      </c>
      <c r="Q15" s="10" t="s">
        <v>919</v>
      </c>
      <c r="S15" s="224"/>
      <c r="U15" s="9">
        <v>1</v>
      </c>
      <c r="W15" s="9" t="e">
        <v>#N/A</v>
      </c>
    </row>
    <row r="16" spans="1:23" s="9" customFormat="1" ht="26.25" customHeight="1">
      <c r="A16" s="8">
        <f t="shared" si="3"/>
        <v>8</v>
      </c>
      <c r="B16" s="56" t="s">
        <v>167</v>
      </c>
      <c r="C16" s="10" t="s">
        <v>145</v>
      </c>
      <c r="D16" s="22" t="e">
        <f>VLOOKUP(B16,'DSOAT-T1.2025'!B18:D95,3,0)</f>
        <v>#N/A</v>
      </c>
      <c r="E16" s="490" t="e">
        <f>VLOOKUP(B16,'DSOAT-T1.2025'!B18:AJ95,47,0)</f>
        <v>#N/A</v>
      </c>
      <c r="F16" s="490" t="e">
        <f>VLOOKUP(B16,'DSOAT-T1.2025'!B18:AQ95,54,0)</f>
        <v>#N/A</v>
      </c>
      <c r="G16" s="491">
        <v>11000000</v>
      </c>
      <c r="H16" s="491"/>
      <c r="I16" s="491">
        <f t="shared" si="0"/>
        <v>0</v>
      </c>
      <c r="J16" s="491" t="e">
        <f t="shared" si="1"/>
        <v>#N/A</v>
      </c>
      <c r="K16" s="492" t="e">
        <f t="shared" si="2"/>
        <v>#N/A</v>
      </c>
      <c r="L16" s="493" t="s">
        <v>15</v>
      </c>
      <c r="M16" s="493"/>
      <c r="N16" s="9" t="s">
        <v>145</v>
      </c>
      <c r="P16" s="494" t="s">
        <v>43</v>
      </c>
      <c r="Q16" s="10" t="s">
        <v>44</v>
      </c>
      <c r="S16" s="21"/>
      <c r="U16" s="9">
        <v>1</v>
      </c>
      <c r="W16" s="9" t="e">
        <v>#N/A</v>
      </c>
    </row>
    <row r="17" spans="1:23" s="9" customFormat="1" ht="26.25" customHeight="1">
      <c r="A17" s="8">
        <f t="shared" si="3"/>
        <v>9</v>
      </c>
      <c r="B17" s="56" t="s">
        <v>103</v>
      </c>
      <c r="C17" s="10" t="s">
        <v>104</v>
      </c>
      <c r="D17" s="22">
        <f>VLOOKUP(B17,'DSOAT-T1.2025'!B18:D96,3,0)</f>
        <v>4718700</v>
      </c>
      <c r="E17" s="490" t="e">
        <f>VLOOKUP(B17,'DSOAT-T1.2025'!B18:AJ96,47,0)</f>
        <v>#REF!</v>
      </c>
      <c r="F17" s="490" t="e">
        <f>VLOOKUP(B17,'DSOAT-T1.2025'!B18:AQ96,54,0)</f>
        <v>#REF!</v>
      </c>
      <c r="G17" s="491">
        <v>11000000</v>
      </c>
      <c r="H17" s="491"/>
      <c r="I17" s="491">
        <f t="shared" si="0"/>
        <v>0</v>
      </c>
      <c r="J17" s="491" t="e">
        <f t="shared" si="1"/>
        <v>#REF!</v>
      </c>
      <c r="K17" s="492" t="e">
        <f t="shared" si="2"/>
        <v>#REF!</v>
      </c>
      <c r="L17" s="493" t="s">
        <v>15</v>
      </c>
      <c r="M17" s="493"/>
      <c r="N17" s="9" t="s">
        <v>104</v>
      </c>
      <c r="P17" s="8" t="s">
        <v>47</v>
      </c>
      <c r="Q17" s="10" t="s">
        <v>48</v>
      </c>
      <c r="S17" s="21"/>
      <c r="U17" s="9">
        <v>1</v>
      </c>
      <c r="W17" s="9" t="e">
        <v>#N/A</v>
      </c>
    </row>
    <row r="18" spans="1:23" s="9" customFormat="1" ht="26.25" customHeight="1">
      <c r="A18" s="8">
        <f t="shared" si="3"/>
        <v>10</v>
      </c>
      <c r="B18" s="56" t="s">
        <v>24</v>
      </c>
      <c r="C18" s="10" t="s">
        <v>25</v>
      </c>
      <c r="D18" s="22">
        <f>VLOOKUP(B18,'DSOAT-T1.2025'!B19:D97,3,0)</f>
        <v>4718700</v>
      </c>
      <c r="E18" s="490" t="e">
        <f>VLOOKUP(B18,'DSOAT-T1.2025'!B19:AJ97,47,0)</f>
        <v>#REF!</v>
      </c>
      <c r="F18" s="490" t="e">
        <f>VLOOKUP(B18,'DSOAT-T1.2025'!B19:AQ97,54,0)</f>
        <v>#REF!</v>
      </c>
      <c r="G18" s="491">
        <v>11000000</v>
      </c>
      <c r="H18" s="491"/>
      <c r="I18" s="491">
        <f t="shared" si="0"/>
        <v>0</v>
      </c>
      <c r="J18" s="491" t="e">
        <f t="shared" si="1"/>
        <v>#REF!</v>
      </c>
      <c r="K18" s="492" t="e">
        <f t="shared" si="2"/>
        <v>#REF!</v>
      </c>
      <c r="L18" s="493" t="s">
        <v>23</v>
      </c>
      <c r="M18" s="493"/>
      <c r="N18" s="9" t="s">
        <v>25</v>
      </c>
      <c r="P18" s="8" t="s">
        <v>53</v>
      </c>
      <c r="Q18" s="23" t="s">
        <v>54</v>
      </c>
      <c r="S18" s="21"/>
      <c r="U18" s="9">
        <v>2</v>
      </c>
      <c r="W18" s="9" t="e">
        <v>#N/A</v>
      </c>
    </row>
    <row r="19" spans="1:23" s="9" customFormat="1" ht="26.25" customHeight="1">
      <c r="A19" s="8">
        <f t="shared" si="3"/>
        <v>11</v>
      </c>
      <c r="B19" s="56" t="s">
        <v>26</v>
      </c>
      <c r="C19" s="10" t="s">
        <v>27</v>
      </c>
      <c r="D19" s="22">
        <f>VLOOKUP(B19,'DSOAT-T1.2025'!B20:D98,3,0)</f>
        <v>4718700</v>
      </c>
      <c r="E19" s="490" t="e">
        <f>VLOOKUP(B19,'DSOAT-T1.2025'!B20:AJ98,47,0)</f>
        <v>#REF!</v>
      </c>
      <c r="F19" s="490" t="e">
        <f>VLOOKUP(B19,'DSOAT-T1.2025'!B20:AQ98,54,0)</f>
        <v>#REF!</v>
      </c>
      <c r="G19" s="491">
        <v>11000000</v>
      </c>
      <c r="H19" s="491"/>
      <c r="I19" s="491">
        <f t="shared" si="0"/>
        <v>0</v>
      </c>
      <c r="J19" s="491" t="e">
        <f t="shared" si="1"/>
        <v>#REF!</v>
      </c>
      <c r="K19" s="492" t="e">
        <f t="shared" si="2"/>
        <v>#REF!</v>
      </c>
      <c r="L19" s="493" t="s">
        <v>23</v>
      </c>
      <c r="M19" s="493"/>
      <c r="N19" s="9" t="s">
        <v>27</v>
      </c>
      <c r="P19" s="8" t="s">
        <v>55</v>
      </c>
      <c r="Q19" s="53" t="s">
        <v>56</v>
      </c>
      <c r="S19" s="21"/>
      <c r="U19" s="9">
        <v>1</v>
      </c>
      <c r="W19" s="9">
        <v>1</v>
      </c>
    </row>
    <row r="20" spans="1:23" s="9" customFormat="1" ht="26.25" customHeight="1">
      <c r="A20" s="8">
        <f t="shared" si="3"/>
        <v>12</v>
      </c>
      <c r="B20" s="56" t="s">
        <v>28</v>
      </c>
      <c r="C20" s="10" t="s">
        <v>29</v>
      </c>
      <c r="D20" s="22">
        <f>VLOOKUP(B20,'DSOAT-T1.2025'!B21:D99,3,0)</f>
        <v>4718700</v>
      </c>
      <c r="E20" s="490" t="e">
        <f>VLOOKUP(B20,'DSOAT-T1.2025'!B21:AJ99,47,0)</f>
        <v>#REF!</v>
      </c>
      <c r="F20" s="490" t="e">
        <f>VLOOKUP(B20,'DSOAT-T1.2025'!B21:AQ99,54,0)</f>
        <v>#REF!</v>
      </c>
      <c r="G20" s="491">
        <v>11000000</v>
      </c>
      <c r="H20" s="491"/>
      <c r="I20" s="491">
        <f t="shared" si="0"/>
        <v>0</v>
      </c>
      <c r="J20" s="491" t="e">
        <f t="shared" si="1"/>
        <v>#REF!</v>
      </c>
      <c r="K20" s="492" t="e">
        <f t="shared" si="2"/>
        <v>#REF!</v>
      </c>
      <c r="L20" s="493" t="s">
        <v>23</v>
      </c>
      <c r="M20" s="493"/>
      <c r="N20" s="9" t="s">
        <v>29</v>
      </c>
      <c r="P20" s="8" t="s">
        <v>159</v>
      </c>
      <c r="Q20" s="10" t="s">
        <v>147</v>
      </c>
      <c r="S20" s="21"/>
      <c r="U20" s="9">
        <v>4</v>
      </c>
      <c r="W20" s="9">
        <v>1</v>
      </c>
    </row>
    <row r="21" spans="1:23" s="9" customFormat="1" ht="26.25" customHeight="1">
      <c r="A21" s="8">
        <f t="shared" si="3"/>
        <v>13</v>
      </c>
      <c r="B21" s="56" t="s">
        <v>30</v>
      </c>
      <c r="C21" s="23" t="s">
        <v>31</v>
      </c>
      <c r="D21" s="22">
        <f>VLOOKUP(B21,'DSOAT-T1.2025'!B22:D100,3,0)</f>
        <v>4718700</v>
      </c>
      <c r="E21" s="490" t="e">
        <f>VLOOKUP(B21,'DSOAT-T1.2025'!B22:AJ100,47,0)</f>
        <v>#REF!</v>
      </c>
      <c r="F21" s="490" t="e">
        <f>VLOOKUP(B21,'DSOAT-T1.2025'!B22:AQ100,54,0)</f>
        <v>#REF!</v>
      </c>
      <c r="G21" s="491">
        <v>11000000</v>
      </c>
      <c r="H21" s="491"/>
      <c r="I21" s="491">
        <f t="shared" si="0"/>
        <v>0</v>
      </c>
      <c r="J21" s="491" t="e">
        <f t="shared" si="1"/>
        <v>#REF!</v>
      </c>
      <c r="K21" s="492" t="e">
        <f t="shared" si="2"/>
        <v>#REF!</v>
      </c>
      <c r="L21" s="493" t="s">
        <v>23</v>
      </c>
      <c r="M21" s="493"/>
      <c r="N21" s="9" t="s">
        <v>31</v>
      </c>
      <c r="P21" s="8" t="s">
        <v>66</v>
      </c>
      <c r="Q21" s="10" t="s">
        <v>67</v>
      </c>
      <c r="S21" s="21"/>
      <c r="U21" s="9">
        <v>1</v>
      </c>
      <c r="W21" s="9" t="e">
        <v>#N/A</v>
      </c>
    </row>
    <row r="22" spans="1:23" s="9" customFormat="1" ht="26.25" customHeight="1">
      <c r="A22" s="8">
        <f t="shared" si="3"/>
        <v>14</v>
      </c>
      <c r="B22" s="56" t="s">
        <v>32</v>
      </c>
      <c r="C22" s="10" t="s">
        <v>33</v>
      </c>
      <c r="D22" s="22">
        <f>VLOOKUP(B22,'DSOAT-T1.2025'!B23:D101,3,0)</f>
        <v>4718700</v>
      </c>
      <c r="E22" s="490" t="e">
        <f>VLOOKUP(B22,'DSOAT-T1.2025'!B23:AJ101,47,0)</f>
        <v>#REF!</v>
      </c>
      <c r="F22" s="490" t="e">
        <f>VLOOKUP(B22,'DSOAT-T1.2025'!B23:AQ101,54,0)</f>
        <v>#REF!</v>
      </c>
      <c r="G22" s="491">
        <v>11000000</v>
      </c>
      <c r="H22" s="491"/>
      <c r="I22" s="491">
        <f t="shared" si="0"/>
        <v>0</v>
      </c>
      <c r="J22" s="491" t="e">
        <f t="shared" si="1"/>
        <v>#REF!</v>
      </c>
      <c r="K22" s="492" t="e">
        <f t="shared" si="2"/>
        <v>#REF!</v>
      </c>
      <c r="L22" s="493" t="s">
        <v>23</v>
      </c>
      <c r="M22" s="493"/>
      <c r="N22" s="9" t="s">
        <v>33</v>
      </c>
      <c r="P22" s="8" t="s">
        <v>73</v>
      </c>
      <c r="Q22" s="10" t="s">
        <v>74</v>
      </c>
      <c r="S22" s="21"/>
      <c r="U22" s="9">
        <v>1</v>
      </c>
      <c r="W22" s="9" t="e">
        <v>#N/A</v>
      </c>
    </row>
    <row r="23" spans="1:23" s="9" customFormat="1" ht="26.25" customHeight="1">
      <c r="A23" s="8">
        <f t="shared" si="3"/>
        <v>15</v>
      </c>
      <c r="B23" s="56" t="s">
        <v>34</v>
      </c>
      <c r="C23" s="10" t="s">
        <v>35</v>
      </c>
      <c r="D23" s="22">
        <f>VLOOKUP(B23,'DSOAT-T1.2025'!B24:D102,3,0)</f>
        <v>4718700</v>
      </c>
      <c r="E23" s="490" t="e">
        <f>VLOOKUP(B23,'DSOAT-T1.2025'!B24:AJ102,47,0)</f>
        <v>#REF!</v>
      </c>
      <c r="F23" s="490" t="e">
        <f>VLOOKUP(B23,'DSOAT-T1.2025'!B24:AQ102,54,0)</f>
        <v>#REF!</v>
      </c>
      <c r="G23" s="491">
        <v>11000000</v>
      </c>
      <c r="H23" s="491"/>
      <c r="I23" s="491">
        <f t="shared" si="0"/>
        <v>0</v>
      </c>
      <c r="J23" s="491" t="e">
        <f t="shared" si="1"/>
        <v>#REF!</v>
      </c>
      <c r="K23" s="492" t="e">
        <f t="shared" si="2"/>
        <v>#REF!</v>
      </c>
      <c r="L23" s="493" t="s">
        <v>23</v>
      </c>
      <c r="M23" s="493"/>
      <c r="N23" s="9" t="s">
        <v>35</v>
      </c>
      <c r="P23" s="495" t="s">
        <v>75</v>
      </c>
      <c r="Q23" s="53" t="s">
        <v>76</v>
      </c>
      <c r="S23" s="21"/>
      <c r="U23" s="9">
        <v>1</v>
      </c>
      <c r="W23" s="9" t="e">
        <v>#N/A</v>
      </c>
    </row>
    <row r="24" spans="1:23" s="9" customFormat="1" ht="26.25" customHeight="1">
      <c r="A24" s="8">
        <f t="shared" si="3"/>
        <v>16</v>
      </c>
      <c r="B24" s="56" t="s">
        <v>36</v>
      </c>
      <c r="C24" s="10" t="s">
        <v>37</v>
      </c>
      <c r="D24" s="22">
        <f>VLOOKUP(B24,'DSOAT-T1.2025'!B25:D103,3,0)</f>
        <v>4718700</v>
      </c>
      <c r="E24" s="490" t="e">
        <f>VLOOKUP(B24,'DSOAT-T1.2025'!B25:AJ103,47,0)</f>
        <v>#REF!</v>
      </c>
      <c r="F24" s="490" t="e">
        <f>VLOOKUP(B24,'DSOAT-T1.2025'!B25:AQ103,54,0)</f>
        <v>#REF!</v>
      </c>
      <c r="G24" s="491">
        <v>11000000</v>
      </c>
      <c r="H24" s="491"/>
      <c r="I24" s="491">
        <f t="shared" si="0"/>
        <v>0</v>
      </c>
      <c r="J24" s="491" t="e">
        <f t="shared" si="1"/>
        <v>#REF!</v>
      </c>
      <c r="K24" s="492" t="e">
        <f t="shared" si="2"/>
        <v>#REF!</v>
      </c>
      <c r="L24" s="493" t="s">
        <v>23</v>
      </c>
      <c r="M24" s="493"/>
      <c r="N24" s="9" t="s">
        <v>37</v>
      </c>
      <c r="P24" s="8" t="s">
        <v>57</v>
      </c>
      <c r="Q24" s="184" t="s">
        <v>58</v>
      </c>
      <c r="S24" s="21"/>
      <c r="U24" s="9">
        <v>2</v>
      </c>
      <c r="W24" s="9" t="e">
        <v>#N/A</v>
      </c>
    </row>
    <row r="25" spans="1:23" s="9" customFormat="1" ht="26.25" customHeight="1">
      <c r="A25" s="8">
        <f t="shared" si="3"/>
        <v>17</v>
      </c>
      <c r="B25" s="56" t="s">
        <v>38</v>
      </c>
      <c r="C25" s="10" t="s">
        <v>39</v>
      </c>
      <c r="D25" s="22">
        <f>VLOOKUP(B25,'DSOAT-T1.2025'!B26:D104,3,0)</f>
        <v>4718700</v>
      </c>
      <c r="E25" s="490" t="e">
        <f>VLOOKUP(B25,'DSOAT-T1.2025'!B26:AJ104,47,0)</f>
        <v>#REF!</v>
      </c>
      <c r="F25" s="490" t="e">
        <f>VLOOKUP(B25,'DSOAT-T1.2025'!B26:AQ104,54,0)</f>
        <v>#REF!</v>
      </c>
      <c r="G25" s="491">
        <v>11000000</v>
      </c>
      <c r="H25" s="491"/>
      <c r="I25" s="491">
        <f t="shared" si="0"/>
        <v>0</v>
      </c>
      <c r="J25" s="491" t="e">
        <f t="shared" si="1"/>
        <v>#REF!</v>
      </c>
      <c r="K25" s="492" t="e">
        <f t="shared" si="2"/>
        <v>#REF!</v>
      </c>
      <c r="L25" s="493" t="s">
        <v>23</v>
      </c>
      <c r="M25" s="493"/>
      <c r="N25" s="9" t="s">
        <v>39</v>
      </c>
      <c r="P25" s="8" t="s">
        <v>77</v>
      </c>
      <c r="Q25" s="24" t="s">
        <v>78</v>
      </c>
      <c r="S25" s="21"/>
      <c r="U25" s="9">
        <v>2</v>
      </c>
      <c r="W25" s="9">
        <v>1</v>
      </c>
    </row>
    <row r="26" spans="1:23" s="9" customFormat="1" ht="26.25" customHeight="1">
      <c r="A26" s="8">
        <f t="shared" si="3"/>
        <v>18</v>
      </c>
      <c r="B26" s="56" t="s">
        <v>40</v>
      </c>
      <c r="C26" s="10" t="s">
        <v>41</v>
      </c>
      <c r="D26" s="22">
        <f>VLOOKUP(B26,'DSOAT-T1.2025'!B27:D105,3,0)</f>
        <v>4130200.0000000005</v>
      </c>
      <c r="E26" s="490" t="e">
        <f>VLOOKUP(B26,'DSOAT-T1.2025'!B27:AJ105,47,0)</f>
        <v>#REF!</v>
      </c>
      <c r="F26" s="490" t="e">
        <f>VLOOKUP(B26,'DSOAT-T1.2025'!B27:AQ105,54,0)</f>
        <v>#REF!</v>
      </c>
      <c r="G26" s="491">
        <v>11000000</v>
      </c>
      <c r="H26" s="491"/>
      <c r="I26" s="491">
        <f t="shared" si="0"/>
        <v>0</v>
      </c>
      <c r="J26" s="491" t="e">
        <f t="shared" si="1"/>
        <v>#REF!</v>
      </c>
      <c r="K26" s="492" t="e">
        <f t="shared" si="2"/>
        <v>#REF!</v>
      </c>
      <c r="L26" s="493" t="s">
        <v>42</v>
      </c>
      <c r="M26" s="493"/>
      <c r="N26" s="9" t="s">
        <v>41</v>
      </c>
      <c r="P26" s="8" t="s">
        <v>920</v>
      </c>
      <c r="Q26" s="25" t="s">
        <v>921</v>
      </c>
      <c r="S26" s="21"/>
      <c r="U26" s="9">
        <v>1</v>
      </c>
      <c r="W26" s="9">
        <v>1</v>
      </c>
    </row>
    <row r="27" spans="1:23" s="9" customFormat="1" ht="26.25" customHeight="1">
      <c r="A27" s="8">
        <f t="shared" si="3"/>
        <v>19</v>
      </c>
      <c r="B27" s="57" t="s">
        <v>43</v>
      </c>
      <c r="C27" s="10" t="s">
        <v>44</v>
      </c>
      <c r="D27" s="22">
        <f>VLOOKUP(B27,'DSOAT-T1.2025'!B28:D106,3,0)</f>
        <v>4130200.0000000005</v>
      </c>
      <c r="E27" s="490" t="e">
        <f>VLOOKUP(B27,'DSOAT-T1.2025'!B28:AJ106,47,0)</f>
        <v>#REF!</v>
      </c>
      <c r="F27" s="490" t="e">
        <f>VLOOKUP(B27,'DSOAT-T1.2025'!B28:AQ106,54,0)</f>
        <v>#REF!</v>
      </c>
      <c r="G27" s="491">
        <v>11000000</v>
      </c>
      <c r="H27" s="491"/>
      <c r="I27" s="491">
        <f t="shared" si="0"/>
        <v>0</v>
      </c>
      <c r="J27" s="491" t="e">
        <f t="shared" si="1"/>
        <v>#REF!</v>
      </c>
      <c r="K27" s="492" t="e">
        <f t="shared" si="2"/>
        <v>#REF!</v>
      </c>
      <c r="L27" s="493" t="s">
        <v>42</v>
      </c>
      <c r="M27" s="493"/>
      <c r="N27" s="9" t="s">
        <v>44</v>
      </c>
      <c r="P27" s="8" t="s">
        <v>84</v>
      </c>
      <c r="Q27" s="10" t="s">
        <v>922</v>
      </c>
      <c r="S27" s="21"/>
      <c r="U27" s="9">
        <v>2</v>
      </c>
      <c r="W27" s="9">
        <v>1</v>
      </c>
    </row>
    <row r="28" spans="1:23" s="9" customFormat="1" ht="26.25" customHeight="1">
      <c r="A28" s="8">
        <f t="shared" si="3"/>
        <v>20</v>
      </c>
      <c r="B28" s="56" t="s">
        <v>45</v>
      </c>
      <c r="C28" s="10" t="s">
        <v>46</v>
      </c>
      <c r="D28" s="22">
        <f>VLOOKUP(B28,'DSOAT-T1.2025'!B29:D107,3,0)</f>
        <v>4130200.0000000005</v>
      </c>
      <c r="E28" s="490" t="e">
        <f>VLOOKUP(B28,'DSOAT-T1.2025'!B29:AJ107,47,0)</f>
        <v>#REF!</v>
      </c>
      <c r="F28" s="490" t="e">
        <f>VLOOKUP(B28,'DSOAT-T1.2025'!B29:AQ107,54,0)</f>
        <v>#REF!</v>
      </c>
      <c r="G28" s="491">
        <v>11000000</v>
      </c>
      <c r="H28" s="491"/>
      <c r="I28" s="491">
        <f t="shared" si="0"/>
        <v>0</v>
      </c>
      <c r="J28" s="491" t="e">
        <f t="shared" si="1"/>
        <v>#REF!</v>
      </c>
      <c r="K28" s="492" t="e">
        <f t="shared" si="2"/>
        <v>#REF!</v>
      </c>
      <c r="L28" s="493" t="s">
        <v>42</v>
      </c>
      <c r="M28" s="493"/>
      <c r="N28" s="9" t="s">
        <v>46</v>
      </c>
      <c r="P28" s="8" t="s">
        <v>161</v>
      </c>
      <c r="Q28" s="10" t="s">
        <v>152</v>
      </c>
      <c r="S28" s="21"/>
      <c r="U28" s="9">
        <v>3</v>
      </c>
      <c r="W28" s="9" t="e">
        <v>#N/A</v>
      </c>
    </row>
    <row r="29" spans="1:23" s="9" customFormat="1" ht="26.25" customHeight="1">
      <c r="A29" s="8">
        <f t="shared" si="3"/>
        <v>21</v>
      </c>
      <c r="B29" s="56" t="s">
        <v>49</v>
      </c>
      <c r="C29" s="10" t="s">
        <v>50</v>
      </c>
      <c r="D29" s="22">
        <f>VLOOKUP(B29,'DSOAT-T1.2025'!B30:D108,3,0)</f>
        <v>4130200.0000000005</v>
      </c>
      <c r="E29" s="490" t="e">
        <f>VLOOKUP(B29,'DSOAT-T1.2025'!B30:AJ108,47,0)</f>
        <v>#REF!</v>
      </c>
      <c r="F29" s="490" t="e">
        <f>VLOOKUP(B29,'DSOAT-T1.2025'!B30:AQ108,54,0)</f>
        <v>#REF!</v>
      </c>
      <c r="G29" s="491">
        <v>11000000</v>
      </c>
      <c r="H29" s="491"/>
      <c r="I29" s="491">
        <f t="shared" si="0"/>
        <v>0</v>
      </c>
      <c r="J29" s="491" t="e">
        <f t="shared" si="1"/>
        <v>#REF!</v>
      </c>
      <c r="K29" s="492" t="e">
        <f t="shared" si="2"/>
        <v>#REF!</v>
      </c>
      <c r="L29" s="493" t="s">
        <v>42</v>
      </c>
      <c r="M29" s="493"/>
      <c r="N29" s="9" t="s">
        <v>50</v>
      </c>
      <c r="P29" s="8" t="s">
        <v>90</v>
      </c>
      <c r="Q29" s="10" t="s">
        <v>91</v>
      </c>
      <c r="S29" s="21"/>
      <c r="U29" s="9">
        <v>2</v>
      </c>
      <c r="W29" s="9">
        <v>1</v>
      </c>
    </row>
    <row r="30" spans="1:23" s="9" customFormat="1" ht="26.25" customHeight="1">
      <c r="A30" s="8">
        <f t="shared" si="3"/>
        <v>22</v>
      </c>
      <c r="B30" s="56" t="s">
        <v>51</v>
      </c>
      <c r="C30" s="10" t="s">
        <v>52</v>
      </c>
      <c r="D30" s="22">
        <f>VLOOKUP(B30,'DSOAT-T1.2025'!B31:D109,3,0)</f>
        <v>4130200.0000000005</v>
      </c>
      <c r="E30" s="490" t="e">
        <f>VLOOKUP(B30,'DSOAT-T1.2025'!B31:AJ109,47,0)</f>
        <v>#REF!</v>
      </c>
      <c r="F30" s="490" t="e">
        <f>VLOOKUP(B30,'DSOAT-T1.2025'!B31:AQ109,54,0)</f>
        <v>#REF!</v>
      </c>
      <c r="G30" s="491">
        <v>11000000</v>
      </c>
      <c r="H30" s="491"/>
      <c r="I30" s="491">
        <f t="shared" si="0"/>
        <v>0</v>
      </c>
      <c r="J30" s="491" t="e">
        <f t="shared" si="1"/>
        <v>#REF!</v>
      </c>
      <c r="K30" s="492" t="e">
        <f t="shared" si="2"/>
        <v>#REF!</v>
      </c>
      <c r="L30" s="493" t="s">
        <v>42</v>
      </c>
      <c r="M30" s="493"/>
      <c r="N30" s="9" t="s">
        <v>52</v>
      </c>
      <c r="P30" s="8" t="s">
        <v>923</v>
      </c>
      <c r="Q30" s="10" t="s">
        <v>924</v>
      </c>
      <c r="S30" s="21"/>
      <c r="U30" s="9">
        <v>2</v>
      </c>
      <c r="W30" s="9" t="e">
        <v>#N/A</v>
      </c>
    </row>
    <row r="31" spans="1:23" s="9" customFormat="1" ht="26.25" customHeight="1">
      <c r="A31" s="8">
        <f t="shared" si="3"/>
        <v>23</v>
      </c>
      <c r="B31" s="56" t="s">
        <v>53</v>
      </c>
      <c r="C31" s="23" t="s">
        <v>54</v>
      </c>
      <c r="D31" s="22">
        <f>VLOOKUP(B31,'DSOAT-T1.2025'!B32:D110,3,0)</f>
        <v>4130200.0000000005</v>
      </c>
      <c r="E31" s="490" t="e">
        <f>VLOOKUP(B31,'DSOAT-T1.2025'!B32:AJ110,47,0)</f>
        <v>#REF!</v>
      </c>
      <c r="F31" s="490" t="e">
        <f>VLOOKUP(B31,'DSOAT-T1.2025'!B32:AQ110,54,0)</f>
        <v>#REF!</v>
      </c>
      <c r="G31" s="491">
        <v>11000000</v>
      </c>
      <c r="H31" s="491"/>
      <c r="I31" s="491">
        <f t="shared" si="0"/>
        <v>0</v>
      </c>
      <c r="J31" s="491" t="e">
        <f t="shared" si="1"/>
        <v>#REF!</v>
      </c>
      <c r="K31" s="492" t="e">
        <f t="shared" si="2"/>
        <v>#REF!</v>
      </c>
      <c r="L31" s="493" t="s">
        <v>42</v>
      </c>
      <c r="M31" s="493"/>
      <c r="N31" s="9" t="s">
        <v>54</v>
      </c>
      <c r="P31" s="8" t="s">
        <v>925</v>
      </c>
      <c r="Q31" s="10" t="s">
        <v>926</v>
      </c>
      <c r="S31" s="21"/>
      <c r="U31" s="9">
        <v>1</v>
      </c>
      <c r="W31" s="9" t="e">
        <v>#N/A</v>
      </c>
    </row>
    <row r="32" spans="1:23" s="9" customFormat="1" ht="26.25" customHeight="1">
      <c r="A32" s="8">
        <f t="shared" si="3"/>
        <v>24</v>
      </c>
      <c r="B32" s="56" t="s">
        <v>59</v>
      </c>
      <c r="C32" s="10" t="s">
        <v>60</v>
      </c>
      <c r="D32" s="22">
        <f>VLOOKUP(B32,'DSOAT-T1.2025'!B33:D111,3,0)</f>
        <v>4130200.0000000005</v>
      </c>
      <c r="E32" s="490" t="e">
        <f>VLOOKUP(B32,'DSOAT-T1.2025'!B33:AJ111,47,0)</f>
        <v>#REF!</v>
      </c>
      <c r="F32" s="490" t="e">
        <f>VLOOKUP(B32,'DSOAT-T1.2025'!B33:AQ111,54,0)</f>
        <v>#REF!</v>
      </c>
      <c r="G32" s="491">
        <v>11000000</v>
      </c>
      <c r="H32" s="491"/>
      <c r="I32" s="491">
        <f t="shared" si="0"/>
        <v>0</v>
      </c>
      <c r="J32" s="491" t="e">
        <f t="shared" si="1"/>
        <v>#REF!</v>
      </c>
      <c r="K32" s="492" t="e">
        <f t="shared" si="2"/>
        <v>#REF!</v>
      </c>
      <c r="L32" s="493" t="s">
        <v>42</v>
      </c>
      <c r="M32" s="493"/>
      <c r="N32" s="9" t="s">
        <v>60</v>
      </c>
      <c r="P32" s="8" t="s">
        <v>93</v>
      </c>
      <c r="Q32" s="10" t="s">
        <v>94</v>
      </c>
      <c r="S32" s="21"/>
      <c r="U32" s="9">
        <v>2</v>
      </c>
      <c r="W32" s="9">
        <v>2</v>
      </c>
    </row>
    <row r="33" spans="1:23" s="9" customFormat="1" ht="26.25" customHeight="1">
      <c r="A33" s="8">
        <f t="shared" si="3"/>
        <v>25</v>
      </c>
      <c r="B33" s="56" t="s">
        <v>158</v>
      </c>
      <c r="C33" s="10" t="s">
        <v>146</v>
      </c>
      <c r="D33" s="22">
        <f>VLOOKUP(B33,'DSOAT-T1.2025'!B34:D112,3,0)</f>
        <v>4130200.0000000005</v>
      </c>
      <c r="E33" s="490" t="e">
        <f>VLOOKUP(B33,'DSOAT-T1.2025'!B34:AJ112,47,0)</f>
        <v>#REF!</v>
      </c>
      <c r="F33" s="490" t="e">
        <f>VLOOKUP(B33,'DSOAT-T1.2025'!B34:AQ112,54,0)</f>
        <v>#REF!</v>
      </c>
      <c r="G33" s="491">
        <v>11000000</v>
      </c>
      <c r="H33" s="491"/>
      <c r="I33" s="491">
        <f t="shared" si="0"/>
        <v>0</v>
      </c>
      <c r="J33" s="491" t="e">
        <f t="shared" si="1"/>
        <v>#REF!</v>
      </c>
      <c r="K33" s="492" t="e">
        <f t="shared" si="2"/>
        <v>#REF!</v>
      </c>
      <c r="L33" s="493" t="s">
        <v>42</v>
      </c>
      <c r="M33" s="493"/>
      <c r="N33" s="9" t="s">
        <v>146</v>
      </c>
      <c r="P33" s="8" t="s">
        <v>163</v>
      </c>
      <c r="Q33" s="10" t="s">
        <v>154</v>
      </c>
      <c r="S33" s="21"/>
      <c r="U33" s="9">
        <v>2</v>
      </c>
      <c r="W33" s="9" t="e">
        <v>#N/A</v>
      </c>
    </row>
    <row r="34" spans="1:23" s="9" customFormat="1" ht="26.25" customHeight="1">
      <c r="A34" s="8">
        <f t="shared" si="3"/>
        <v>26</v>
      </c>
      <c r="B34" s="56" t="s">
        <v>159</v>
      </c>
      <c r="C34" s="10" t="s">
        <v>147</v>
      </c>
      <c r="D34" s="22">
        <f>VLOOKUP(B34,'DSOAT-T1.2025'!B35:D113,3,0)</f>
        <v>4130200.0000000005</v>
      </c>
      <c r="E34" s="490" t="e">
        <f>VLOOKUP(B34,'DSOAT-T1.2025'!B35:AJ113,47,0)</f>
        <v>#REF!</v>
      </c>
      <c r="F34" s="490" t="e">
        <f>VLOOKUP(B34,'DSOAT-T1.2025'!B35:AQ113,54,0)</f>
        <v>#REF!</v>
      </c>
      <c r="G34" s="491">
        <v>11000000</v>
      </c>
      <c r="H34" s="491"/>
      <c r="I34" s="491">
        <f t="shared" si="0"/>
        <v>0</v>
      </c>
      <c r="J34" s="491" t="e">
        <f t="shared" si="1"/>
        <v>#REF!</v>
      </c>
      <c r="K34" s="492" t="e">
        <f t="shared" si="2"/>
        <v>#REF!</v>
      </c>
      <c r="L34" s="493" t="s">
        <v>42</v>
      </c>
      <c r="M34" s="493"/>
      <c r="N34" s="9" t="s">
        <v>147</v>
      </c>
      <c r="Q34" s="496" t="s">
        <v>927</v>
      </c>
      <c r="S34" s="21"/>
      <c r="U34" s="9">
        <f>SUM(U8:U33)</f>
        <v>42</v>
      </c>
      <c r="W34" s="9">
        <v>4</v>
      </c>
    </row>
    <row r="35" spans="1:23" s="9" customFormat="1" ht="26.25" customHeight="1">
      <c r="A35" s="8">
        <f t="shared" si="3"/>
        <v>27</v>
      </c>
      <c r="B35" s="56" t="s">
        <v>64</v>
      </c>
      <c r="C35" s="10" t="s">
        <v>65</v>
      </c>
      <c r="D35" s="22">
        <f>VLOOKUP(B35,'DSOAT-T1.2025'!B36:D114,3,0)</f>
        <v>3691500</v>
      </c>
      <c r="E35" s="490" t="e">
        <f>VLOOKUP(B35,'DSOAT-T1.2025'!B36:AJ114,47,0)</f>
        <v>#REF!</v>
      </c>
      <c r="F35" s="490" t="e">
        <f>VLOOKUP(B35,'DSOAT-T1.2025'!B36:AQ114,54,0)</f>
        <v>#REF!</v>
      </c>
      <c r="G35" s="491">
        <v>11000000</v>
      </c>
      <c r="H35" s="491"/>
      <c r="I35" s="491">
        <f t="shared" si="0"/>
        <v>0</v>
      </c>
      <c r="J35" s="491" t="e">
        <f t="shared" si="1"/>
        <v>#REF!</v>
      </c>
      <c r="K35" s="492" t="e">
        <f t="shared" si="2"/>
        <v>#REF!</v>
      </c>
      <c r="L35" s="493" t="s">
        <v>63</v>
      </c>
      <c r="M35" s="493"/>
      <c r="N35" s="9" t="s">
        <v>65</v>
      </c>
      <c r="Q35" s="496"/>
      <c r="S35" s="21"/>
      <c r="W35" s="9" t="e">
        <v>#N/A</v>
      </c>
    </row>
    <row r="36" spans="1:23" s="9" customFormat="1" ht="26.25" customHeight="1">
      <c r="A36" s="8">
        <f t="shared" si="3"/>
        <v>28</v>
      </c>
      <c r="B36" s="56" t="s">
        <v>66</v>
      </c>
      <c r="C36" s="10" t="s">
        <v>67</v>
      </c>
      <c r="D36" s="22">
        <f>VLOOKUP(B36,'DSOAT-T1.2025'!B37:D115,3,0)</f>
        <v>3691500</v>
      </c>
      <c r="E36" s="490" t="e">
        <f>VLOOKUP(B36,'DSOAT-T1.2025'!B37:AJ115,47,0)</f>
        <v>#REF!</v>
      </c>
      <c r="F36" s="490" t="e">
        <f>VLOOKUP(B36,'DSOAT-T1.2025'!B37:AQ115,54,0)</f>
        <v>#REF!</v>
      </c>
      <c r="G36" s="491">
        <v>11000000</v>
      </c>
      <c r="H36" s="491"/>
      <c r="I36" s="491">
        <f t="shared" si="0"/>
        <v>0</v>
      </c>
      <c r="J36" s="491" t="e">
        <f t="shared" si="1"/>
        <v>#REF!</v>
      </c>
      <c r="K36" s="492" t="e">
        <f t="shared" si="2"/>
        <v>#REF!</v>
      </c>
      <c r="L36" s="493" t="s">
        <v>63</v>
      </c>
      <c r="M36" s="493"/>
      <c r="N36" s="9" t="s">
        <v>67</v>
      </c>
      <c r="Q36" s="496"/>
      <c r="S36" s="21"/>
      <c r="W36" s="9" t="e">
        <v>#N/A</v>
      </c>
    </row>
    <row r="37" spans="1:23" s="9" customFormat="1" ht="26.25" customHeight="1">
      <c r="A37" s="8">
        <f t="shared" si="3"/>
        <v>29</v>
      </c>
      <c r="B37" s="56" t="s">
        <v>160</v>
      </c>
      <c r="C37" s="53" t="s">
        <v>148</v>
      </c>
      <c r="D37" s="22">
        <f>VLOOKUP(B37,'DSOAT-T1.2025'!B38:D116,3,0)</f>
        <v>3691500</v>
      </c>
      <c r="E37" s="490" t="e">
        <f>VLOOKUP(B37,'DSOAT-T1.2025'!B38:AJ116,47,0)</f>
        <v>#REF!</v>
      </c>
      <c r="F37" s="490" t="e">
        <f>VLOOKUP(B37,'DSOAT-T1.2025'!B38:AQ116,54,0)</f>
        <v>#REF!</v>
      </c>
      <c r="G37" s="491">
        <v>11000000</v>
      </c>
      <c r="H37" s="491"/>
      <c r="I37" s="491">
        <f t="shared" si="0"/>
        <v>0</v>
      </c>
      <c r="J37" s="491" t="e">
        <f t="shared" si="1"/>
        <v>#REF!</v>
      </c>
      <c r="K37" s="492" t="e">
        <f t="shared" si="2"/>
        <v>#REF!</v>
      </c>
      <c r="L37" s="493" t="s">
        <v>63</v>
      </c>
      <c r="M37" s="493"/>
      <c r="N37" s="9" t="s">
        <v>148</v>
      </c>
      <c r="Q37" s="496"/>
      <c r="S37" s="21"/>
      <c r="W37" s="9" t="e">
        <v>#N/A</v>
      </c>
    </row>
    <row r="38" spans="1:23" s="9" customFormat="1" ht="26.25" customHeight="1">
      <c r="A38" s="8">
        <f t="shared" si="3"/>
        <v>30</v>
      </c>
      <c r="B38" s="56" t="s">
        <v>171</v>
      </c>
      <c r="C38" s="53" t="s">
        <v>168</v>
      </c>
      <c r="D38" s="22">
        <f>VLOOKUP(B38,'DSOAT-T1.2025'!B39:D117,3,0)</f>
        <v>3691500</v>
      </c>
      <c r="E38" s="490" t="e">
        <f>VLOOKUP(B38,'DSOAT-T1.2025'!B39:AJ117,47,0)</f>
        <v>#REF!</v>
      </c>
      <c r="F38" s="490" t="e">
        <f>VLOOKUP(B38,'DSOAT-T1.2025'!B39:AQ117,54,0)</f>
        <v>#REF!</v>
      </c>
      <c r="G38" s="491">
        <v>11000000</v>
      </c>
      <c r="H38" s="491"/>
      <c r="I38" s="491">
        <f t="shared" si="0"/>
        <v>0</v>
      </c>
      <c r="J38" s="491" t="e">
        <f t="shared" si="1"/>
        <v>#REF!</v>
      </c>
      <c r="K38" s="492" t="e">
        <f t="shared" si="2"/>
        <v>#REF!</v>
      </c>
      <c r="L38" s="493" t="s">
        <v>63</v>
      </c>
      <c r="M38" s="493"/>
      <c r="N38" s="9" t="s">
        <v>168</v>
      </c>
      <c r="Q38" s="496"/>
      <c r="S38" s="21"/>
      <c r="W38" s="9" t="e">
        <v>#N/A</v>
      </c>
    </row>
    <row r="39" spans="1:23" s="9" customFormat="1" ht="26.25" customHeight="1">
      <c r="A39" s="8">
        <f t="shared" si="3"/>
        <v>31</v>
      </c>
      <c r="B39" s="56" t="s">
        <v>68</v>
      </c>
      <c r="C39" s="10" t="s">
        <v>69</v>
      </c>
      <c r="D39" s="22">
        <f>VLOOKUP(B39,'DSOAT-T1.2025'!B40:D118,3,0)</f>
        <v>3691500</v>
      </c>
      <c r="E39" s="490" t="e">
        <f>VLOOKUP(B39,'DSOAT-T1.2025'!B40:AJ118,47,0)</f>
        <v>#REF!</v>
      </c>
      <c r="F39" s="490" t="e">
        <f>VLOOKUP(B39,'DSOAT-T1.2025'!B40:AQ118,54,0)</f>
        <v>#REF!</v>
      </c>
      <c r="G39" s="491">
        <v>11000000</v>
      </c>
      <c r="H39" s="491"/>
      <c r="I39" s="491">
        <f t="shared" si="0"/>
        <v>0</v>
      </c>
      <c r="J39" s="491" t="e">
        <f t="shared" si="1"/>
        <v>#REF!</v>
      </c>
      <c r="K39" s="492" t="e">
        <f t="shared" si="2"/>
        <v>#REF!</v>
      </c>
      <c r="L39" s="493" t="s">
        <v>70</v>
      </c>
      <c r="M39" s="493"/>
      <c r="N39" s="9" t="s">
        <v>69</v>
      </c>
      <c r="Q39" s="496"/>
      <c r="S39" s="21"/>
      <c r="W39" s="9" t="e">
        <v>#N/A</v>
      </c>
    </row>
    <row r="40" spans="1:23" s="9" customFormat="1" ht="26.25" customHeight="1">
      <c r="A40" s="8">
        <f t="shared" si="3"/>
        <v>32</v>
      </c>
      <c r="B40" s="56" t="s">
        <v>71</v>
      </c>
      <c r="C40" s="10" t="s">
        <v>72</v>
      </c>
      <c r="D40" s="22">
        <f>VLOOKUP(B40,'DSOAT-T1.2025'!B41:D119,3,0)</f>
        <v>3691500</v>
      </c>
      <c r="E40" s="490" t="e">
        <f>VLOOKUP(B40,'DSOAT-T1.2025'!B41:AJ119,47,0)</f>
        <v>#REF!</v>
      </c>
      <c r="F40" s="490" t="e">
        <f>VLOOKUP(B40,'DSOAT-T1.2025'!B41:AQ119,54,0)</f>
        <v>#REF!</v>
      </c>
      <c r="G40" s="491">
        <v>11000000</v>
      </c>
      <c r="H40" s="491">
        <v>1</v>
      </c>
      <c r="I40" s="491">
        <f t="shared" si="0"/>
        <v>4400000</v>
      </c>
      <c r="J40" s="491" t="e">
        <f t="shared" si="1"/>
        <v>#REF!</v>
      </c>
      <c r="K40" s="492" t="e">
        <f t="shared" si="2"/>
        <v>#REF!</v>
      </c>
      <c r="L40" s="493" t="s">
        <v>70</v>
      </c>
      <c r="M40" s="493"/>
      <c r="N40" s="9" t="s">
        <v>72</v>
      </c>
      <c r="Q40" s="496"/>
      <c r="S40" s="21"/>
      <c r="W40" s="9" t="e">
        <v>#N/A</v>
      </c>
    </row>
    <row r="41" spans="1:23" s="9" customFormat="1" ht="26.25" customHeight="1">
      <c r="A41" s="8">
        <f t="shared" si="3"/>
        <v>33</v>
      </c>
      <c r="B41" s="56" t="s">
        <v>73</v>
      </c>
      <c r="C41" s="10" t="s">
        <v>74</v>
      </c>
      <c r="D41" s="22">
        <f>VLOOKUP(B41,'DSOAT-T1.2025'!B42:D120,3,0)</f>
        <v>3691500</v>
      </c>
      <c r="E41" s="490" t="e">
        <f>VLOOKUP(B41,'DSOAT-T1.2025'!B42:AJ120,47,0)</f>
        <v>#REF!</v>
      </c>
      <c r="F41" s="490" t="e">
        <f>VLOOKUP(B41,'DSOAT-T1.2025'!B42:AQ120,54,0)</f>
        <v>#REF!</v>
      </c>
      <c r="G41" s="491">
        <v>11000000</v>
      </c>
      <c r="H41" s="491">
        <v>1</v>
      </c>
      <c r="I41" s="491">
        <f t="shared" si="0"/>
        <v>4400000</v>
      </c>
      <c r="J41" s="491" t="e">
        <f t="shared" si="1"/>
        <v>#REF!</v>
      </c>
      <c r="K41" s="492" t="e">
        <f t="shared" si="2"/>
        <v>#REF!</v>
      </c>
      <c r="L41" s="493" t="s">
        <v>70</v>
      </c>
      <c r="M41" s="493"/>
      <c r="N41" s="9" t="s">
        <v>74</v>
      </c>
      <c r="Q41" s="496"/>
      <c r="S41" s="21"/>
      <c r="W41" s="9" t="e">
        <v>#N/A</v>
      </c>
    </row>
    <row r="42" spans="1:23" s="9" customFormat="1" ht="26.25" customHeight="1">
      <c r="A42" s="8">
        <f t="shared" si="3"/>
        <v>34</v>
      </c>
      <c r="B42" s="58" t="s">
        <v>75</v>
      </c>
      <c r="C42" s="53" t="s">
        <v>76</v>
      </c>
      <c r="D42" s="22" t="e">
        <f>VLOOKUP(B42,'DSOAT-T1.2025'!B43:D121,3,0)</f>
        <v>#N/A</v>
      </c>
      <c r="E42" s="490" t="e">
        <f>VLOOKUP(B42,'DSOAT-T1.2025'!B43:AJ121,47,0)</f>
        <v>#N/A</v>
      </c>
      <c r="F42" s="490" t="e">
        <f>VLOOKUP(B42,'DSOAT-T1.2025'!B43:AQ121,54,0)</f>
        <v>#N/A</v>
      </c>
      <c r="G42" s="491">
        <v>11000000</v>
      </c>
      <c r="H42" s="491"/>
      <c r="I42" s="491">
        <f t="shared" si="0"/>
        <v>0</v>
      </c>
      <c r="J42" s="491" t="e">
        <f t="shared" si="1"/>
        <v>#N/A</v>
      </c>
      <c r="K42" s="492" t="e">
        <f t="shared" si="2"/>
        <v>#N/A</v>
      </c>
      <c r="L42" s="493" t="s">
        <v>70</v>
      </c>
      <c r="M42" s="493"/>
      <c r="N42" s="9" t="s">
        <v>76</v>
      </c>
      <c r="W42" s="9" t="e">
        <v>#N/A</v>
      </c>
    </row>
    <row r="43" spans="1:23" s="9" customFormat="1" ht="26.25" customHeight="1">
      <c r="A43" s="8">
        <f t="shared" si="3"/>
        <v>35</v>
      </c>
      <c r="B43" s="56" t="s">
        <v>166</v>
      </c>
      <c r="C43" s="54" t="s">
        <v>149</v>
      </c>
      <c r="D43" s="22">
        <f>VLOOKUP(B43,'DSOAT-T1.2025'!B43:D122,3,0)</f>
        <v>3691500</v>
      </c>
      <c r="E43" s="490" t="e">
        <f>VLOOKUP(B43,'DSOAT-T1.2025'!B43:AJ122,47,0)</f>
        <v>#REF!</v>
      </c>
      <c r="F43" s="490" t="e">
        <f>VLOOKUP(B43,'DSOAT-T1.2025'!B43:AQ122,54,0)</f>
        <v>#REF!</v>
      </c>
      <c r="G43" s="491">
        <v>11000000</v>
      </c>
      <c r="H43" s="491"/>
      <c r="I43" s="491">
        <f t="shared" si="0"/>
        <v>0</v>
      </c>
      <c r="J43" s="491" t="e">
        <f t="shared" si="1"/>
        <v>#REF!</v>
      </c>
      <c r="K43" s="492" t="e">
        <f t="shared" si="2"/>
        <v>#REF!</v>
      </c>
      <c r="L43" s="493" t="s">
        <v>70</v>
      </c>
      <c r="M43" s="493"/>
      <c r="N43" s="9" t="s">
        <v>149</v>
      </c>
      <c r="W43" s="9" t="e">
        <v>#N/A</v>
      </c>
    </row>
    <row r="44" spans="1:23" s="9" customFormat="1" ht="26.25" customHeight="1">
      <c r="A44" s="8">
        <f t="shared" si="3"/>
        <v>36</v>
      </c>
      <c r="B44" s="56" t="s">
        <v>162</v>
      </c>
      <c r="C44" s="54" t="s">
        <v>150</v>
      </c>
      <c r="D44" s="22">
        <f>VLOOKUP(B44,'DSOAT-T1.2025'!B44:D123,3,0)</f>
        <v>3691500</v>
      </c>
      <c r="E44" s="490" t="e">
        <f>VLOOKUP(B44,'DSOAT-T1.2025'!B44:AJ123,47,0)</f>
        <v>#REF!</v>
      </c>
      <c r="F44" s="490" t="e">
        <f>VLOOKUP(B44,'DSOAT-T1.2025'!B44:AQ123,54,0)</f>
        <v>#REF!</v>
      </c>
      <c r="G44" s="491">
        <v>11000000</v>
      </c>
      <c r="H44" s="491"/>
      <c r="I44" s="491">
        <f t="shared" si="0"/>
        <v>0</v>
      </c>
      <c r="J44" s="491" t="e">
        <f t="shared" si="1"/>
        <v>#REF!</v>
      </c>
      <c r="K44" s="492" t="e">
        <f t="shared" si="2"/>
        <v>#REF!</v>
      </c>
      <c r="L44" s="493" t="s">
        <v>70</v>
      </c>
      <c r="M44" s="493"/>
      <c r="N44" s="9" t="e">
        <v>#N/A</v>
      </c>
      <c r="W44" s="9" t="e">
        <v>#N/A</v>
      </c>
    </row>
    <row r="45" spans="1:23" s="9" customFormat="1" ht="26.25" customHeight="1">
      <c r="A45" s="8">
        <f t="shared" si="3"/>
        <v>37</v>
      </c>
      <c r="B45" s="56" t="s">
        <v>165</v>
      </c>
      <c r="C45" s="54" t="s">
        <v>151</v>
      </c>
      <c r="D45" s="22">
        <f>VLOOKUP(B45,'DSOAT-T1.2025'!B45:D124,3,0)</f>
        <v>4130200.0000000005</v>
      </c>
      <c r="E45" s="490" t="e">
        <f>VLOOKUP(B45,'DSOAT-T1.2025'!B45:AJ124,47,0)</f>
        <v>#REF!</v>
      </c>
      <c r="F45" s="490" t="e">
        <f>VLOOKUP(B45,'DSOAT-T1.2025'!B45:AQ124,54,0)</f>
        <v>#REF!</v>
      </c>
      <c r="G45" s="491">
        <v>11000000</v>
      </c>
      <c r="H45" s="491"/>
      <c r="I45" s="491">
        <f t="shared" si="0"/>
        <v>0</v>
      </c>
      <c r="J45" s="491" t="e">
        <f t="shared" si="1"/>
        <v>#REF!</v>
      </c>
      <c r="K45" s="492" t="e">
        <f t="shared" si="2"/>
        <v>#REF!</v>
      </c>
      <c r="L45" s="493" t="s">
        <v>70</v>
      </c>
      <c r="M45" s="493"/>
      <c r="N45" s="9" t="s">
        <v>151</v>
      </c>
      <c r="W45" s="9" t="e">
        <v>#N/A</v>
      </c>
    </row>
    <row r="46" spans="1:23" s="9" customFormat="1" ht="26.25" customHeight="1">
      <c r="A46" s="8">
        <f t="shared" si="3"/>
        <v>38</v>
      </c>
      <c r="B46" s="56" t="s">
        <v>57</v>
      </c>
      <c r="C46" s="184" t="s">
        <v>211</v>
      </c>
      <c r="D46" s="22">
        <f>VLOOKUP(B46,'DSOAT-T1.2025'!B46:D125,3,0)</f>
        <v>4718700</v>
      </c>
      <c r="E46" s="490" t="e">
        <f>VLOOKUP(B46,'DSOAT-T1.2025'!B46:AJ125,47,0)</f>
        <v>#REF!</v>
      </c>
      <c r="F46" s="490" t="e">
        <f>VLOOKUP(B46,'DSOAT-T1.2025'!B46:AQ125,54,0)</f>
        <v>#REF!</v>
      </c>
      <c r="G46" s="491">
        <v>11000000</v>
      </c>
      <c r="H46" s="491"/>
      <c r="I46" s="491">
        <f t="shared" si="0"/>
        <v>0</v>
      </c>
      <c r="J46" s="491" t="e">
        <f t="shared" si="1"/>
        <v>#REF!</v>
      </c>
      <c r="K46" s="492" t="e">
        <f t="shared" si="2"/>
        <v>#REF!</v>
      </c>
      <c r="L46" s="493" t="s">
        <v>79</v>
      </c>
      <c r="M46" s="493"/>
      <c r="N46" s="9" t="e">
        <v>#N/A</v>
      </c>
      <c r="W46" s="9" t="e">
        <v>#N/A</v>
      </c>
    </row>
    <row r="47" spans="1:23" s="9" customFormat="1" ht="26.25" customHeight="1">
      <c r="A47" s="8">
        <f t="shared" si="3"/>
        <v>39</v>
      </c>
      <c r="B47" s="56" t="s">
        <v>77</v>
      </c>
      <c r="C47" s="24" t="s">
        <v>78</v>
      </c>
      <c r="D47" s="22">
        <f>VLOOKUP(B47,'DSOAT-T1.2025'!B47:D126,3,0)</f>
        <v>4718700</v>
      </c>
      <c r="E47" s="490" t="e">
        <f>VLOOKUP(B47,'DSOAT-T1.2025'!B47:AJ126,47,0)</f>
        <v>#REF!</v>
      </c>
      <c r="F47" s="490" t="e">
        <f>VLOOKUP(B47,'DSOAT-T1.2025'!B47:AQ126,54,0)</f>
        <v>#REF!</v>
      </c>
      <c r="G47" s="491">
        <v>11000000</v>
      </c>
      <c r="H47" s="491"/>
      <c r="I47" s="491">
        <f t="shared" si="0"/>
        <v>0</v>
      </c>
      <c r="J47" s="491" t="e">
        <f t="shared" si="1"/>
        <v>#REF!</v>
      </c>
      <c r="K47" s="492" t="e">
        <f t="shared" si="2"/>
        <v>#REF!</v>
      </c>
      <c r="L47" s="493" t="s">
        <v>79</v>
      </c>
      <c r="M47" s="493"/>
      <c r="N47" s="9" t="s">
        <v>78</v>
      </c>
      <c r="W47" s="9">
        <v>2</v>
      </c>
    </row>
    <row r="48" spans="1:23" s="9" customFormat="1" ht="26.25" customHeight="1">
      <c r="A48" s="8">
        <f t="shared" si="3"/>
        <v>40</v>
      </c>
      <c r="B48" s="56" t="s">
        <v>80</v>
      </c>
      <c r="C48" s="25" t="s">
        <v>81</v>
      </c>
      <c r="D48" s="22">
        <f>VLOOKUP(B48,'DSOAT-T1.2025'!B48:D127,3,0)</f>
        <v>4718700</v>
      </c>
      <c r="E48" s="490" t="e">
        <f>VLOOKUP(B48,'DSOAT-T1.2025'!B48:AJ127,47,0)</f>
        <v>#REF!</v>
      </c>
      <c r="F48" s="490" t="e">
        <f>VLOOKUP(B48,'DSOAT-T1.2025'!B48:AQ127,54,0)</f>
        <v>#REF!</v>
      </c>
      <c r="G48" s="491">
        <v>11000000</v>
      </c>
      <c r="H48" s="491"/>
      <c r="I48" s="491">
        <f t="shared" si="0"/>
        <v>0</v>
      </c>
      <c r="J48" s="491" t="e">
        <f t="shared" si="1"/>
        <v>#REF!</v>
      </c>
      <c r="K48" s="492" t="e">
        <f t="shared" si="2"/>
        <v>#REF!</v>
      </c>
      <c r="L48" s="493" t="s">
        <v>79</v>
      </c>
      <c r="M48" s="493"/>
      <c r="N48" s="9" t="s">
        <v>81</v>
      </c>
      <c r="W48" s="9">
        <v>1</v>
      </c>
    </row>
    <row r="49" spans="1:23" s="9" customFormat="1" ht="26.25" customHeight="1">
      <c r="A49" s="8">
        <f t="shared" si="3"/>
        <v>41</v>
      </c>
      <c r="B49" s="56" t="s">
        <v>82</v>
      </c>
      <c r="C49" s="10" t="s">
        <v>83</v>
      </c>
      <c r="D49" s="22">
        <f>VLOOKUP(B49,'DSOAT-T1.2025'!B49:D128,3,0)</f>
        <v>3691500</v>
      </c>
      <c r="E49" s="490" t="e">
        <f>VLOOKUP(B49,'DSOAT-T1.2025'!B49:AJ128,47,0)</f>
        <v>#REF!</v>
      </c>
      <c r="F49" s="490" t="e">
        <f>VLOOKUP(B49,'DSOAT-T1.2025'!B49:AQ128,54,0)</f>
        <v>#REF!</v>
      </c>
      <c r="G49" s="491">
        <v>11000000</v>
      </c>
      <c r="H49" s="491"/>
      <c r="I49" s="491">
        <f t="shared" si="0"/>
        <v>0</v>
      </c>
      <c r="J49" s="491" t="e">
        <f t="shared" si="1"/>
        <v>#REF!</v>
      </c>
      <c r="K49" s="492" t="e">
        <f t="shared" si="2"/>
        <v>#REF!</v>
      </c>
      <c r="L49" s="493" t="s">
        <v>79</v>
      </c>
      <c r="M49" s="493"/>
      <c r="N49" s="9" t="s">
        <v>83</v>
      </c>
      <c r="W49" s="9">
        <v>1</v>
      </c>
    </row>
    <row r="50" spans="1:23" s="9" customFormat="1" ht="26.25" customHeight="1">
      <c r="A50" s="8">
        <f t="shared" si="3"/>
        <v>42</v>
      </c>
      <c r="B50" s="56" t="s">
        <v>84</v>
      </c>
      <c r="C50" s="181" t="s">
        <v>139</v>
      </c>
      <c r="D50" s="22">
        <f>VLOOKUP(B50,'DSOAT-T1.2025'!B50:D129,3,0)</f>
        <v>4718700</v>
      </c>
      <c r="E50" s="490" t="e">
        <f>VLOOKUP(B50,'DSOAT-T1.2025'!B50:AJ129,47,0)</f>
        <v>#REF!</v>
      </c>
      <c r="F50" s="490" t="e">
        <f>VLOOKUP(B50,'DSOAT-T1.2025'!B50:AQ129,54,0)</f>
        <v>#REF!</v>
      </c>
      <c r="G50" s="491">
        <v>11000000</v>
      </c>
      <c r="H50" s="491"/>
      <c r="I50" s="491">
        <f t="shared" si="0"/>
        <v>0</v>
      </c>
      <c r="J50" s="491" t="e">
        <f t="shared" si="1"/>
        <v>#REF!</v>
      </c>
      <c r="K50" s="492" t="e">
        <f t="shared" si="2"/>
        <v>#REF!</v>
      </c>
      <c r="L50" s="493" t="s">
        <v>79</v>
      </c>
      <c r="M50" s="493"/>
      <c r="N50" s="9" t="e">
        <v>#N/A</v>
      </c>
      <c r="W50" s="9">
        <v>2</v>
      </c>
    </row>
    <row r="51" spans="1:23" s="9" customFormat="1" ht="26.25" customHeight="1">
      <c r="A51" s="8">
        <f t="shared" si="3"/>
        <v>43</v>
      </c>
      <c r="B51" s="56" t="s">
        <v>161</v>
      </c>
      <c r="C51" s="10" t="s">
        <v>152</v>
      </c>
      <c r="D51" s="22">
        <f>VLOOKUP(B51,'DSOAT-T1.2025'!B51:D130,3,0)</f>
        <v>4718700</v>
      </c>
      <c r="E51" s="490" t="e">
        <f>VLOOKUP(B51,'DSOAT-T1.2025'!B51:AJ130,47,0)</f>
        <v>#REF!</v>
      </c>
      <c r="F51" s="490" t="e">
        <f>VLOOKUP(B51,'DSOAT-T1.2025'!B51:AQ130,54,0)</f>
        <v>#REF!</v>
      </c>
      <c r="G51" s="491">
        <v>11000000</v>
      </c>
      <c r="H51" s="491"/>
      <c r="I51" s="491">
        <f t="shared" si="0"/>
        <v>0</v>
      </c>
      <c r="J51" s="491" t="e">
        <f t="shared" si="1"/>
        <v>#REF!</v>
      </c>
      <c r="K51" s="492" t="e">
        <f t="shared" si="2"/>
        <v>#REF!</v>
      </c>
      <c r="L51" s="493" t="s">
        <v>79</v>
      </c>
      <c r="M51" s="493"/>
      <c r="N51" s="9" t="s">
        <v>152</v>
      </c>
      <c r="W51" s="9">
        <v>3</v>
      </c>
    </row>
    <row r="52" spans="1:23" s="9" customFormat="1" ht="26.25" customHeight="1">
      <c r="A52" s="8">
        <f t="shared" si="3"/>
        <v>44</v>
      </c>
      <c r="B52" s="56" t="s">
        <v>85</v>
      </c>
      <c r="C52" s="10" t="s">
        <v>86</v>
      </c>
      <c r="D52" s="22">
        <f>VLOOKUP(B52,'DSOAT-T1.2025'!B52:D131,3,0)</f>
        <v>4130200.0000000005</v>
      </c>
      <c r="E52" s="490" t="e">
        <f>VLOOKUP(B52,'DSOAT-T1.2025'!B52:AJ131,47,0)</f>
        <v>#REF!</v>
      </c>
      <c r="F52" s="490" t="e">
        <f>VLOOKUP(B52,'DSOAT-T1.2025'!B52:AQ131,54,0)</f>
        <v>#REF!</v>
      </c>
      <c r="G52" s="491">
        <v>11000000</v>
      </c>
      <c r="H52" s="491"/>
      <c r="I52" s="491">
        <f t="shared" si="0"/>
        <v>0</v>
      </c>
      <c r="J52" s="491" t="e">
        <f t="shared" si="1"/>
        <v>#REF!</v>
      </c>
      <c r="K52" s="492" t="e">
        <f t="shared" si="2"/>
        <v>#REF!</v>
      </c>
      <c r="L52" s="493" t="s">
        <v>87</v>
      </c>
      <c r="M52" s="493"/>
      <c r="N52" s="9" t="s">
        <v>86</v>
      </c>
      <c r="W52" s="9" t="e">
        <v>#N/A</v>
      </c>
    </row>
    <row r="53" spans="1:23" s="501" customFormat="1" ht="26.25" customHeight="1">
      <c r="A53" s="497">
        <f t="shared" si="3"/>
        <v>45</v>
      </c>
      <c r="B53" s="56" t="s">
        <v>88</v>
      </c>
      <c r="C53" s="10" t="s">
        <v>89</v>
      </c>
      <c r="D53" s="22">
        <f>VLOOKUP(B53,'DSOAT-T1.2025'!B53:D132,3,0)</f>
        <v>3691500</v>
      </c>
      <c r="E53" s="490" t="e">
        <f>VLOOKUP(B53,'DSOAT-T1.2025'!B53:AJ132,47,0)</f>
        <v>#REF!</v>
      </c>
      <c r="F53" s="490" t="e">
        <f>VLOOKUP(B53,'DSOAT-T1.2025'!B53:AQ132,54,0)</f>
        <v>#REF!</v>
      </c>
      <c r="G53" s="498">
        <v>11000000</v>
      </c>
      <c r="H53" s="491"/>
      <c r="I53" s="491">
        <f t="shared" si="0"/>
        <v>0</v>
      </c>
      <c r="J53" s="491" t="e">
        <f t="shared" si="1"/>
        <v>#REF!</v>
      </c>
      <c r="K53" s="499" t="e">
        <f t="shared" si="2"/>
        <v>#REF!</v>
      </c>
      <c r="L53" s="500" t="s">
        <v>87</v>
      </c>
      <c r="M53" s="500"/>
      <c r="N53" s="501" t="s">
        <v>89</v>
      </c>
      <c r="W53" s="501" t="e">
        <v>#N/A</v>
      </c>
    </row>
    <row r="54" spans="1:23" s="9" customFormat="1" ht="26.25" customHeight="1">
      <c r="A54" s="8">
        <f t="shared" si="3"/>
        <v>46</v>
      </c>
      <c r="B54" s="56" t="s">
        <v>90</v>
      </c>
      <c r="C54" s="10" t="s">
        <v>91</v>
      </c>
      <c r="D54" s="22">
        <f>VLOOKUP(B54,'DSOAT-T1.2025'!B54:D133,3,0)</f>
        <v>3691500</v>
      </c>
      <c r="E54" s="490" t="e">
        <f>VLOOKUP(B54,'DSOAT-T1.2025'!B54:AJ133,47,0)</f>
        <v>#REF!</v>
      </c>
      <c r="F54" s="490" t="e">
        <f>VLOOKUP(B54,'DSOAT-T1.2025'!B54:AQ133,54,0)</f>
        <v>#REF!</v>
      </c>
      <c r="G54" s="491">
        <v>11000000</v>
      </c>
      <c r="H54" s="491">
        <v>1</v>
      </c>
      <c r="I54" s="491">
        <f t="shared" si="0"/>
        <v>4400000</v>
      </c>
      <c r="J54" s="491" t="e">
        <f t="shared" si="1"/>
        <v>#REF!</v>
      </c>
      <c r="K54" s="492" t="e">
        <f t="shared" si="2"/>
        <v>#REF!</v>
      </c>
      <c r="L54" s="493" t="s">
        <v>87</v>
      </c>
      <c r="M54" s="493"/>
      <c r="N54" s="9" t="s">
        <v>91</v>
      </c>
      <c r="W54" s="9" t="e">
        <v>#N/A</v>
      </c>
    </row>
    <row r="55" spans="1:23" s="9" customFormat="1" ht="26.25" customHeight="1">
      <c r="A55" s="8">
        <f t="shared" si="3"/>
        <v>47</v>
      </c>
      <c r="B55" s="56" t="s">
        <v>93</v>
      </c>
      <c r="C55" s="10" t="s">
        <v>94</v>
      </c>
      <c r="D55" s="22">
        <f>VLOOKUP(B55,'DSOAT-T1.2025'!B55:D134,3,0)</f>
        <v>4130200.0000000005</v>
      </c>
      <c r="E55" s="490" t="e">
        <f>VLOOKUP(B55,'DSOAT-T1.2025'!B55:AJ134,47,0)</f>
        <v>#REF!</v>
      </c>
      <c r="F55" s="490" t="e">
        <f>VLOOKUP(B55,'DSOAT-T1.2025'!B55:AQ134,54,0)</f>
        <v>#REF!</v>
      </c>
      <c r="G55" s="491">
        <v>11000000</v>
      </c>
      <c r="H55" s="491"/>
      <c r="I55" s="491">
        <f t="shared" si="0"/>
        <v>0</v>
      </c>
      <c r="J55" s="491" t="e">
        <f t="shared" si="1"/>
        <v>#REF!</v>
      </c>
      <c r="K55" s="492" t="e">
        <f t="shared" si="2"/>
        <v>#REF!</v>
      </c>
      <c r="L55" s="493" t="s">
        <v>92</v>
      </c>
      <c r="M55" s="493"/>
      <c r="N55" s="9" t="s">
        <v>94</v>
      </c>
      <c r="W55" s="9" t="e">
        <v>#N/A</v>
      </c>
    </row>
    <row r="56" spans="1:23" s="9" customFormat="1" ht="26.25" customHeight="1">
      <c r="A56" s="8">
        <f t="shared" si="3"/>
        <v>48</v>
      </c>
      <c r="B56" s="56" t="s">
        <v>164</v>
      </c>
      <c r="C56" s="10" t="s">
        <v>153</v>
      </c>
      <c r="D56" s="22">
        <f>VLOOKUP(B56,'DSOAT-T1.2025'!B56:D135,3,0)</f>
        <v>4130200.0000000005</v>
      </c>
      <c r="E56" s="490" t="e">
        <f>VLOOKUP(B56,'DSOAT-T1.2025'!B56:AJ135,47,0)</f>
        <v>#REF!</v>
      </c>
      <c r="F56" s="490" t="e">
        <f>VLOOKUP(B56,'DSOAT-T1.2025'!B56:AQ135,54,0)</f>
        <v>#REF!</v>
      </c>
      <c r="G56" s="491">
        <v>11000000</v>
      </c>
      <c r="H56" s="491"/>
      <c r="I56" s="491">
        <f t="shared" si="0"/>
        <v>0</v>
      </c>
      <c r="J56" s="491" t="e">
        <f t="shared" si="1"/>
        <v>#REF!</v>
      </c>
      <c r="K56" s="492" t="e">
        <f t="shared" si="2"/>
        <v>#REF!</v>
      </c>
      <c r="L56" s="493" t="s">
        <v>92</v>
      </c>
      <c r="M56" s="493"/>
      <c r="N56" s="9" t="e">
        <v>#N/A</v>
      </c>
      <c r="W56" s="9" t="e">
        <v>#N/A</v>
      </c>
    </row>
    <row r="57" spans="1:23" s="9" customFormat="1" ht="26.25" customHeight="1">
      <c r="A57" s="8">
        <f t="shared" si="3"/>
        <v>49</v>
      </c>
      <c r="B57" s="56" t="s">
        <v>170</v>
      </c>
      <c r="C57" s="10" t="s">
        <v>169</v>
      </c>
      <c r="D57" s="22" t="e">
        <f>VLOOKUP(B57,'DSOAT-T1.2025'!B57:D136,3,0)</f>
        <v>#N/A</v>
      </c>
      <c r="E57" s="490" t="e">
        <f>VLOOKUP(B57,'DSOAT-T1.2025'!B57:AJ136,47,0)</f>
        <v>#N/A</v>
      </c>
      <c r="F57" s="490" t="e">
        <f>VLOOKUP(B57,'DSOAT-T1.2025'!B57:AQ136,54,0)</f>
        <v>#N/A</v>
      </c>
      <c r="G57" s="491">
        <v>11000000</v>
      </c>
      <c r="H57" s="491"/>
      <c r="I57" s="491">
        <f t="shared" si="0"/>
        <v>0</v>
      </c>
      <c r="J57" s="491" t="e">
        <f t="shared" si="1"/>
        <v>#N/A</v>
      </c>
      <c r="K57" s="492" t="e">
        <f t="shared" si="2"/>
        <v>#N/A</v>
      </c>
      <c r="L57" s="493" t="s">
        <v>92</v>
      </c>
      <c r="M57" s="493"/>
      <c r="N57" s="9" t="s">
        <v>169</v>
      </c>
      <c r="W57" s="9">
        <v>2</v>
      </c>
    </row>
    <row r="58" spans="1:23" s="9" customFormat="1" ht="26.25" customHeight="1">
      <c r="A58" s="8">
        <f t="shared" si="3"/>
        <v>50</v>
      </c>
      <c r="B58" s="56" t="s">
        <v>18</v>
      </c>
      <c r="C58" s="10" t="s">
        <v>19</v>
      </c>
      <c r="D58" s="22">
        <f>VLOOKUP(B58,'DSOAT-T1.2025'!B57:D137,3,0)</f>
        <v>4130200.0000000005</v>
      </c>
      <c r="E58" s="490" t="e">
        <f>VLOOKUP(B58,'DSOAT-T1.2025'!B57:AJ137,47,0)</f>
        <v>#REF!</v>
      </c>
      <c r="F58" s="490" t="e">
        <f>VLOOKUP(B58,'DSOAT-T1.2025'!B57:AQ137,54,0)</f>
        <v>#REF!</v>
      </c>
      <c r="G58" s="491">
        <v>11000000</v>
      </c>
      <c r="H58" s="491"/>
      <c r="I58" s="491">
        <f t="shared" si="0"/>
        <v>0</v>
      </c>
      <c r="J58" s="491" t="e">
        <f t="shared" si="1"/>
        <v>#REF!</v>
      </c>
      <c r="K58" s="492" t="e">
        <f t="shared" si="2"/>
        <v>#REF!</v>
      </c>
      <c r="L58" s="493" t="s">
        <v>20</v>
      </c>
      <c r="M58" s="493"/>
      <c r="N58" s="9" t="s">
        <v>19</v>
      </c>
      <c r="W58" s="9" t="e">
        <v>#N/A</v>
      </c>
    </row>
    <row r="59" spans="1:23" s="9" customFormat="1" ht="26.25" customHeight="1">
      <c r="A59" s="8">
        <f t="shared" si="3"/>
        <v>51</v>
      </c>
      <c r="B59" s="56" t="s">
        <v>95</v>
      </c>
      <c r="C59" s="10" t="s">
        <v>96</v>
      </c>
      <c r="D59" s="22">
        <f>VLOOKUP(B59,'DSOAT-T1.2025'!B58:D138,3,0)</f>
        <v>4130200.0000000005</v>
      </c>
      <c r="E59" s="490" t="e">
        <f>VLOOKUP(B59,'DSOAT-T1.2025'!B58:AJ138,47,0)</f>
        <v>#REF!</v>
      </c>
      <c r="F59" s="490" t="e">
        <f>VLOOKUP(B59,'DSOAT-T1.2025'!B58:AQ138,54,0)</f>
        <v>#REF!</v>
      </c>
      <c r="G59" s="491">
        <v>11000000</v>
      </c>
      <c r="H59" s="491"/>
      <c r="I59" s="491">
        <f t="shared" si="0"/>
        <v>0</v>
      </c>
      <c r="J59" s="491" t="e">
        <f t="shared" si="1"/>
        <v>#REF!</v>
      </c>
      <c r="K59" s="492" t="e">
        <f t="shared" si="2"/>
        <v>#REF!</v>
      </c>
      <c r="L59" s="493" t="s">
        <v>20</v>
      </c>
      <c r="M59" s="493"/>
      <c r="N59" s="9" t="s">
        <v>96</v>
      </c>
      <c r="W59" s="9" t="e">
        <v>#N/A</v>
      </c>
    </row>
    <row r="60" spans="1:23" s="9" customFormat="1" ht="26.25" customHeight="1">
      <c r="A60" s="8">
        <f t="shared" si="3"/>
        <v>52</v>
      </c>
      <c r="B60" s="56" t="s">
        <v>97</v>
      </c>
      <c r="C60" s="10" t="s">
        <v>98</v>
      </c>
      <c r="D60" s="22">
        <f>VLOOKUP(B60,'DSOAT-T1.2025'!B59:D139,3,0)</f>
        <v>4130200.0000000005</v>
      </c>
      <c r="E60" s="490" t="e">
        <f>VLOOKUP(B60,'DSOAT-T1.2025'!B59:AJ139,47,0)</f>
        <v>#REF!</v>
      </c>
      <c r="F60" s="490" t="e">
        <f>VLOOKUP(B60,'DSOAT-T1.2025'!B59:AQ139,54,0)</f>
        <v>#REF!</v>
      </c>
      <c r="G60" s="491">
        <v>11000000</v>
      </c>
      <c r="H60" s="491"/>
      <c r="I60" s="491">
        <f t="shared" si="0"/>
        <v>0</v>
      </c>
      <c r="J60" s="491" t="e">
        <f t="shared" si="1"/>
        <v>#REF!</v>
      </c>
      <c r="K60" s="492" t="e">
        <f t="shared" si="2"/>
        <v>#REF!</v>
      </c>
      <c r="L60" s="493" t="s">
        <v>20</v>
      </c>
      <c r="M60" s="493"/>
      <c r="N60" s="9" t="s">
        <v>98</v>
      </c>
      <c r="W60" s="9" t="e">
        <v>#N/A</v>
      </c>
    </row>
    <row r="61" spans="1:23" s="501" customFormat="1" ht="26.25" customHeight="1">
      <c r="A61" s="497">
        <f t="shared" si="3"/>
        <v>53</v>
      </c>
      <c r="B61" s="56" t="s">
        <v>99</v>
      </c>
      <c r="C61" s="10" t="s">
        <v>100</v>
      </c>
      <c r="D61" s="22" t="e">
        <f>VLOOKUP(B61,'DSOAT-T1.2025'!B60:D140,3,0)</f>
        <v>#N/A</v>
      </c>
      <c r="E61" s="490" t="e">
        <f>VLOOKUP(B61,'DSOAT-T1.2025'!B60:AJ140,47,0)</f>
        <v>#N/A</v>
      </c>
      <c r="F61" s="490" t="e">
        <f>VLOOKUP(B61,'DSOAT-T1.2025'!B60:AQ140,54,0)</f>
        <v>#N/A</v>
      </c>
      <c r="G61" s="498">
        <v>11000000</v>
      </c>
      <c r="H61" s="491"/>
      <c r="I61" s="491">
        <f t="shared" si="0"/>
        <v>0</v>
      </c>
      <c r="J61" s="491" t="e">
        <f t="shared" si="1"/>
        <v>#N/A</v>
      </c>
      <c r="K61" s="499" t="e">
        <f t="shared" si="2"/>
        <v>#N/A</v>
      </c>
      <c r="L61" s="500" t="s">
        <v>20</v>
      </c>
      <c r="M61" s="500"/>
      <c r="N61" s="501" t="s">
        <v>100</v>
      </c>
      <c r="W61" s="501" t="e">
        <v>#N/A</v>
      </c>
    </row>
    <row r="62" spans="1:23" s="9" customFormat="1" ht="26.25" customHeight="1">
      <c r="A62" s="8">
        <f t="shared" si="3"/>
        <v>54</v>
      </c>
      <c r="B62" s="56" t="s">
        <v>101</v>
      </c>
      <c r="C62" s="10" t="s">
        <v>102</v>
      </c>
      <c r="D62" s="22">
        <f>VLOOKUP(B62,'DSOAT-T1.2025'!B60:D141,3,0)</f>
        <v>4130200.0000000005</v>
      </c>
      <c r="E62" s="490" t="e">
        <f>VLOOKUP(B62,'DSOAT-T1.2025'!B60:AJ141,47,0)</f>
        <v>#REF!</v>
      </c>
      <c r="F62" s="490" t="e">
        <f>VLOOKUP(B62,'DSOAT-T1.2025'!B60:AQ141,54,0)</f>
        <v>#REF!</v>
      </c>
      <c r="G62" s="491">
        <v>11000000</v>
      </c>
      <c r="H62" s="491"/>
      <c r="I62" s="491">
        <f t="shared" si="0"/>
        <v>0</v>
      </c>
      <c r="J62" s="491" t="e">
        <f t="shared" si="1"/>
        <v>#REF!</v>
      </c>
      <c r="K62" s="492" t="e">
        <f t="shared" si="2"/>
        <v>#REF!</v>
      </c>
      <c r="L62" s="493" t="s">
        <v>20</v>
      </c>
      <c r="M62" s="493"/>
      <c r="N62" s="9" t="s">
        <v>102</v>
      </c>
      <c r="W62" s="9" t="e">
        <v>#N/A</v>
      </c>
    </row>
    <row r="63" spans="1:23" s="9" customFormat="1" ht="26.25" customHeight="1">
      <c r="A63" s="8">
        <f t="shared" si="3"/>
        <v>55</v>
      </c>
      <c r="B63" s="56" t="s">
        <v>105</v>
      </c>
      <c r="C63" s="10" t="s">
        <v>106</v>
      </c>
      <c r="D63" s="22" t="e">
        <f>VLOOKUP(B63,'DSOAT-T1.2025'!B61:D142,3,0)</f>
        <v>#N/A</v>
      </c>
      <c r="E63" s="490" t="e">
        <f>VLOOKUP(B63,'DSOAT-T1.2025'!B61:AJ142,47,0)</f>
        <v>#N/A</v>
      </c>
      <c r="F63" s="490" t="e">
        <f>VLOOKUP(B63,'DSOAT-T1.2025'!B61:AQ142,54,0)</f>
        <v>#N/A</v>
      </c>
      <c r="G63" s="491">
        <v>11000000</v>
      </c>
      <c r="H63" s="491"/>
      <c r="I63" s="491">
        <f t="shared" si="0"/>
        <v>0</v>
      </c>
      <c r="J63" s="491" t="e">
        <f t="shared" si="1"/>
        <v>#N/A</v>
      </c>
      <c r="K63" s="492" t="e">
        <f t="shared" si="2"/>
        <v>#N/A</v>
      </c>
      <c r="L63" s="493" t="s">
        <v>20</v>
      </c>
      <c r="M63" s="493"/>
      <c r="N63" s="9" t="s">
        <v>106</v>
      </c>
      <c r="W63" s="9" t="e">
        <v>#N/A</v>
      </c>
    </row>
    <row r="64" spans="1:23" s="9" customFormat="1" ht="26.25" customHeight="1">
      <c r="A64" s="8">
        <f t="shared" si="3"/>
        <v>56</v>
      </c>
      <c r="B64" s="56" t="s">
        <v>163</v>
      </c>
      <c r="C64" s="10" t="s">
        <v>154</v>
      </c>
      <c r="D64" s="22">
        <f>VLOOKUP(B64,'DSOAT-T1.2025'!B61:D143,3,0)</f>
        <v>4130200.0000000005</v>
      </c>
      <c r="E64" s="490" t="e">
        <f>VLOOKUP(B64,'DSOAT-T1.2025'!B61:AJ143,47,0)</f>
        <v>#REF!</v>
      </c>
      <c r="F64" s="490" t="e">
        <f>VLOOKUP(B64,'DSOAT-T1.2025'!B61:AQ143,54,0)</f>
        <v>#REF!</v>
      </c>
      <c r="G64" s="491">
        <v>11000000</v>
      </c>
      <c r="H64" s="491"/>
      <c r="I64" s="491">
        <f t="shared" si="0"/>
        <v>0</v>
      </c>
      <c r="J64" s="491" t="e">
        <f t="shared" si="1"/>
        <v>#REF!</v>
      </c>
      <c r="K64" s="492" t="e">
        <f t="shared" si="2"/>
        <v>#REF!</v>
      </c>
      <c r="L64" s="493" t="s">
        <v>20</v>
      </c>
      <c r="M64" s="493"/>
      <c r="N64" s="9" t="s">
        <v>154</v>
      </c>
      <c r="W64" s="9" t="e">
        <v>#N/A</v>
      </c>
    </row>
    <row r="65" spans="1:23" s="9" customFormat="1" ht="26.25" customHeight="1">
      <c r="A65" s="8">
        <f t="shared" si="3"/>
        <v>57</v>
      </c>
      <c r="B65" s="56" t="s">
        <v>107</v>
      </c>
      <c r="C65" s="10" t="s">
        <v>108</v>
      </c>
      <c r="D65" s="22" t="e">
        <f>VLOOKUP(B65,'DSOAT-T1.2025'!B62:D144,3,0)</f>
        <v>#N/A</v>
      </c>
      <c r="E65" s="490" t="e">
        <f>VLOOKUP(B65,'DSOAT-T1.2025'!B62:AJ144,47,0)</f>
        <v>#N/A</v>
      </c>
      <c r="F65" s="490" t="e">
        <f>VLOOKUP(B65,'DSOAT-T1.2025'!B62:AQ144,54,0)</f>
        <v>#N/A</v>
      </c>
      <c r="G65" s="491">
        <v>11000000</v>
      </c>
      <c r="H65" s="491"/>
      <c r="I65" s="491">
        <f t="shared" si="0"/>
        <v>0</v>
      </c>
      <c r="J65" s="491" t="e">
        <f t="shared" si="1"/>
        <v>#N/A</v>
      </c>
      <c r="K65" s="492" t="e">
        <f t="shared" si="2"/>
        <v>#N/A</v>
      </c>
      <c r="L65" s="493" t="s">
        <v>109</v>
      </c>
      <c r="M65" s="493"/>
      <c r="N65" s="9" t="s">
        <v>108</v>
      </c>
      <c r="W65" s="9" t="e">
        <v>#N/A</v>
      </c>
    </row>
    <row r="66" spans="1:23" s="9" customFormat="1" ht="26.25" customHeight="1">
      <c r="A66" s="8">
        <f t="shared" si="3"/>
        <v>58</v>
      </c>
      <c r="B66" s="56" t="s">
        <v>209</v>
      </c>
      <c r="C66" s="10" t="s">
        <v>210</v>
      </c>
      <c r="D66" s="22">
        <f>VLOOKUP(B66,'DSOAT-T1.2025'!B62:D145,3,0)</f>
        <v>4130200.0000000005</v>
      </c>
      <c r="E66" s="490" t="e">
        <f>VLOOKUP(B66,'DSOAT-T1.2025'!B62:AJ145,47,0)</f>
        <v>#REF!</v>
      </c>
      <c r="F66" s="490" t="e">
        <f>VLOOKUP(B66,'DSOAT-T1.2025'!B62:AQ145,54,0)</f>
        <v>#REF!</v>
      </c>
      <c r="G66" s="491">
        <v>11000000</v>
      </c>
      <c r="H66" s="491"/>
      <c r="I66" s="491">
        <f t="shared" si="0"/>
        <v>0</v>
      </c>
      <c r="J66" s="491" t="e">
        <f t="shared" si="1"/>
        <v>#REF!</v>
      </c>
      <c r="K66" s="492" t="e">
        <f t="shared" si="2"/>
        <v>#REF!</v>
      </c>
      <c r="L66" s="493" t="e">
        <v>#N/A</v>
      </c>
      <c r="M66" s="493"/>
      <c r="N66" s="9" t="e">
        <v>#N/A</v>
      </c>
      <c r="W66" s="9" t="e">
        <v>#N/A</v>
      </c>
    </row>
    <row r="67" spans="1:23" s="9" customFormat="1" ht="26.25" customHeight="1">
      <c r="A67" s="8">
        <f t="shared" si="3"/>
        <v>59</v>
      </c>
      <c r="B67" s="56" t="s">
        <v>204</v>
      </c>
      <c r="C67" s="10" t="s">
        <v>205</v>
      </c>
      <c r="D67" s="22">
        <f>VLOOKUP(B67,'DSOAT-T1.2025'!B63:D146,3,0)</f>
        <v>4718700</v>
      </c>
      <c r="E67" s="490" t="e">
        <f>VLOOKUP(B67,'DSOAT-T1.2025'!B63:AJ146,47,0)</f>
        <v>#REF!</v>
      </c>
      <c r="F67" s="490" t="e">
        <f>VLOOKUP(B67,'DSOAT-T1.2025'!B63:AQ146,54,0)</f>
        <v>#REF!</v>
      </c>
      <c r="G67" s="491">
        <v>11000000</v>
      </c>
      <c r="H67" s="491"/>
      <c r="I67" s="491">
        <f t="shared" si="0"/>
        <v>0</v>
      </c>
      <c r="J67" s="491" t="e">
        <f t="shared" si="1"/>
        <v>#REF!</v>
      </c>
      <c r="K67" s="492" t="e">
        <f t="shared" si="2"/>
        <v>#REF!</v>
      </c>
      <c r="L67" s="493" t="e">
        <v>#N/A</v>
      </c>
      <c r="M67" s="493"/>
      <c r="N67" s="9" t="e">
        <v>#N/A</v>
      </c>
      <c r="W67" s="9" t="e">
        <v>#N/A</v>
      </c>
    </row>
    <row r="68" spans="1:23" s="9" customFormat="1" ht="26.25" customHeight="1">
      <c r="A68" s="8">
        <f t="shared" si="3"/>
        <v>60</v>
      </c>
      <c r="B68" s="56" t="s">
        <v>212</v>
      </c>
      <c r="C68" s="55" t="s">
        <v>213</v>
      </c>
      <c r="D68" s="22">
        <f>VLOOKUP(B68,'DSOAT-T1.2025'!B64:D147,3,0)</f>
        <v>4718700</v>
      </c>
      <c r="E68" s="490" t="e">
        <f>VLOOKUP(B68,'DSOAT-T1.2025'!B64:AJ147,47,0)</f>
        <v>#REF!</v>
      </c>
      <c r="F68" s="490" t="e">
        <f>VLOOKUP(B68,'DSOAT-T1.2025'!B64:AQ147,54,0)</f>
        <v>#REF!</v>
      </c>
      <c r="G68" s="491">
        <v>11000000</v>
      </c>
      <c r="H68" s="491"/>
      <c r="I68" s="491">
        <f t="shared" si="0"/>
        <v>0</v>
      </c>
      <c r="J68" s="491" t="e">
        <f t="shared" si="1"/>
        <v>#REF!</v>
      </c>
      <c r="K68" s="492" t="e">
        <f t="shared" si="2"/>
        <v>#REF!</v>
      </c>
      <c r="L68" s="493" t="e">
        <v>#N/A</v>
      </c>
      <c r="M68" s="493"/>
      <c r="N68" s="9" t="e">
        <v>#N/A</v>
      </c>
      <c r="W68" s="9" t="e">
        <v>#N/A</v>
      </c>
    </row>
    <row r="69" spans="1:23" s="9" customFormat="1" ht="26.25" customHeight="1">
      <c r="A69" s="8">
        <f t="shared" si="3"/>
        <v>61</v>
      </c>
      <c r="B69" s="56" t="s">
        <v>214</v>
      </c>
      <c r="C69" s="55" t="s">
        <v>215</v>
      </c>
      <c r="D69" s="22" t="e">
        <f>VLOOKUP(B69,'DSOAT-T1.2025'!B65:D148,3,0)</f>
        <v>#N/A</v>
      </c>
      <c r="E69" s="490" t="e">
        <f>VLOOKUP(B69,'DSOAT-T1.2025'!B65:AJ148,47,0)</f>
        <v>#N/A</v>
      </c>
      <c r="F69" s="490" t="e">
        <f>VLOOKUP(B69,'DSOAT-T1.2025'!B65:AQ148,54,0)</f>
        <v>#N/A</v>
      </c>
      <c r="G69" s="491">
        <v>11000000</v>
      </c>
      <c r="H69" s="491"/>
      <c r="I69" s="491">
        <f t="shared" si="0"/>
        <v>0</v>
      </c>
      <c r="J69" s="491" t="e">
        <f t="shared" si="1"/>
        <v>#N/A</v>
      </c>
      <c r="K69" s="492" t="e">
        <f t="shared" si="2"/>
        <v>#N/A</v>
      </c>
      <c r="L69" s="493" t="e">
        <v>#N/A</v>
      </c>
      <c r="M69" s="493"/>
      <c r="N69" s="9" t="e">
        <v>#N/A</v>
      </c>
      <c r="W69" s="9" t="e">
        <v>#N/A</v>
      </c>
    </row>
    <row r="70" spans="1:23" s="9" customFormat="1" ht="26.25" customHeight="1">
      <c r="A70" s="8">
        <f t="shared" si="3"/>
        <v>62</v>
      </c>
      <c r="B70" s="56" t="s">
        <v>206</v>
      </c>
      <c r="C70" s="55" t="s">
        <v>207</v>
      </c>
      <c r="D70" s="22">
        <f>VLOOKUP(B70,'DSOAT-T1.2025'!B65:D149,3,0)</f>
        <v>4130200.0000000005</v>
      </c>
      <c r="E70" s="490" t="e">
        <f>VLOOKUP(B70,'DSOAT-T1.2025'!B65:AJ149,47,0)</f>
        <v>#REF!</v>
      </c>
      <c r="F70" s="490" t="e">
        <f>VLOOKUP(B70,'DSOAT-T1.2025'!B65:AQ149,54,0)</f>
        <v>#REF!</v>
      </c>
      <c r="G70" s="491">
        <v>11000000</v>
      </c>
      <c r="H70" s="491"/>
      <c r="I70" s="491">
        <f t="shared" si="0"/>
        <v>0</v>
      </c>
      <c r="J70" s="491" t="e">
        <f t="shared" si="1"/>
        <v>#REF!</v>
      </c>
      <c r="K70" s="492" t="e">
        <f t="shared" si="2"/>
        <v>#REF!</v>
      </c>
      <c r="L70" s="493" t="e">
        <v>#N/A</v>
      </c>
      <c r="M70" s="493"/>
      <c r="N70" s="9" t="e">
        <v>#N/A</v>
      </c>
      <c r="W70" s="9" t="e">
        <v>#N/A</v>
      </c>
    </row>
    <row r="71" spans="1:23" s="9" customFormat="1" ht="26.25" customHeight="1">
      <c r="A71" s="8">
        <f t="shared" si="3"/>
        <v>63</v>
      </c>
      <c r="B71" s="62" t="s">
        <v>217</v>
      </c>
      <c r="C71" s="63" t="s">
        <v>216</v>
      </c>
      <c r="D71" s="22">
        <f>VLOOKUP(B71,'DSOAT-T1.2025'!B66:D150,3,0)</f>
        <v>4718700</v>
      </c>
      <c r="E71" s="490" t="e">
        <f>VLOOKUP(B71,'DSOAT-T1.2025'!B66:AJ150,47,0)</f>
        <v>#REF!</v>
      </c>
      <c r="F71" s="490" t="e">
        <f>VLOOKUP(B71,'DSOAT-T1.2025'!B66:AQ150,54,0)</f>
        <v>#REF!</v>
      </c>
      <c r="G71" s="491">
        <v>11000000</v>
      </c>
      <c r="H71" s="491"/>
      <c r="I71" s="491">
        <f t="shared" si="0"/>
        <v>0</v>
      </c>
      <c r="J71" s="491" t="e">
        <f t="shared" si="1"/>
        <v>#REF!</v>
      </c>
      <c r="K71" s="492" t="e">
        <f t="shared" si="2"/>
        <v>#REF!</v>
      </c>
      <c r="L71" s="493" t="e">
        <v>#N/A</v>
      </c>
      <c r="M71" s="493"/>
      <c r="N71" s="9" t="e">
        <v>#N/A</v>
      </c>
      <c r="W71" s="9" t="e">
        <v>#N/A</v>
      </c>
    </row>
    <row r="72" spans="1:23" s="9" customFormat="1" ht="26.25" customHeight="1">
      <c r="A72" s="8">
        <f t="shared" si="3"/>
        <v>64</v>
      </c>
      <c r="B72" s="62" t="s">
        <v>220</v>
      </c>
      <c r="C72" s="63" t="s">
        <v>221</v>
      </c>
      <c r="D72" s="22" t="e">
        <f>VLOOKUP(B72,'DSOAT-T1.2025'!B67:D151,3,0)</f>
        <v>#N/A</v>
      </c>
      <c r="E72" s="490" t="e">
        <f>VLOOKUP(B72,'DSOAT-T1.2025'!B67:AJ151,47,0)</f>
        <v>#N/A</v>
      </c>
      <c r="F72" s="490" t="e">
        <f>VLOOKUP(B72,'DSOAT-T1.2025'!B67:AQ151,54,0)</f>
        <v>#N/A</v>
      </c>
      <c r="G72" s="491">
        <v>11000000</v>
      </c>
      <c r="H72" s="491"/>
      <c r="I72" s="491">
        <f t="shared" si="0"/>
        <v>0</v>
      </c>
      <c r="J72" s="491" t="e">
        <f t="shared" si="1"/>
        <v>#N/A</v>
      </c>
      <c r="K72" s="492" t="e">
        <f t="shared" si="2"/>
        <v>#N/A</v>
      </c>
      <c r="L72" s="493" t="e">
        <v>#N/A</v>
      </c>
      <c r="M72" s="493"/>
      <c r="N72" s="9" t="e">
        <v>#N/A</v>
      </c>
      <c r="W72" s="9" t="e">
        <v>#N/A</v>
      </c>
    </row>
    <row r="73" spans="1:23" s="9" customFormat="1" ht="26.25" customHeight="1">
      <c r="A73" s="8">
        <f t="shared" si="3"/>
        <v>65</v>
      </c>
      <c r="B73" s="62" t="s">
        <v>141</v>
      </c>
      <c r="C73" s="63" t="s">
        <v>187</v>
      </c>
      <c r="D73" s="22">
        <f>VLOOKUP(B73,'DSOAT-T1.2025'!B67:D152,3,0)</f>
        <v>4718700</v>
      </c>
      <c r="E73" s="490" t="e">
        <f>VLOOKUP(B73,'DSOAT-T1.2025'!B67:AJ152,47,0)</f>
        <v>#REF!</v>
      </c>
      <c r="F73" s="490" t="e">
        <f>VLOOKUP(B73,'DSOAT-T1.2025'!B67:AQ152,54,0)</f>
        <v>#REF!</v>
      </c>
      <c r="G73" s="491">
        <v>11000000</v>
      </c>
      <c r="H73" s="491"/>
      <c r="I73" s="491">
        <f t="shared" si="0"/>
        <v>0</v>
      </c>
      <c r="J73" s="491" t="e">
        <f t="shared" si="1"/>
        <v>#REF!</v>
      </c>
      <c r="K73" s="492" t="e">
        <f t="shared" si="2"/>
        <v>#REF!</v>
      </c>
      <c r="L73" s="493" t="e">
        <v>#N/A</v>
      </c>
      <c r="M73" s="493"/>
      <c r="N73" s="9" t="e">
        <v>#N/A</v>
      </c>
      <c r="W73" s="9" t="e">
        <v>#N/A</v>
      </c>
    </row>
    <row r="74" spans="1:23" s="9" customFormat="1" ht="26.25" customHeight="1">
      <c r="A74" s="8">
        <f t="shared" si="3"/>
        <v>66</v>
      </c>
      <c r="B74" s="62" t="s">
        <v>263</v>
      </c>
      <c r="C74" s="63" t="s">
        <v>262</v>
      </c>
      <c r="D74" s="22">
        <f>VLOOKUP(B74,'DSOAT-T1.2025'!B68:D153,3,0)</f>
        <v>4718700</v>
      </c>
      <c r="E74" s="490" t="e">
        <f>VLOOKUP(B74,'DSOAT-T1.2025'!B68:AJ153,47,0)</f>
        <v>#REF!</v>
      </c>
      <c r="F74" s="490" t="e">
        <f>VLOOKUP(B74,'DSOAT-T1.2025'!B68:AQ153,54,0)</f>
        <v>#REF!</v>
      </c>
      <c r="G74" s="491">
        <v>11000000</v>
      </c>
      <c r="H74" s="491">
        <v>1</v>
      </c>
      <c r="I74" s="491">
        <f t="shared" ref="I74:I85" si="4">H74*4400000</f>
        <v>4400000</v>
      </c>
      <c r="J74" s="491" t="e">
        <f t="shared" ref="J74:J84" si="5">E74-F74-G74-I74</f>
        <v>#REF!</v>
      </c>
      <c r="K74" s="492" t="e">
        <f t="shared" ref="K74:K84" si="6">IF(J74&lt;0,0,IF(J74&lt;5000000,J74*5%,IF(J74&lt;10000000,J74*10%-250000,IF(J74&lt;18000000,J74*15%-750000,IF(J74&lt;32000000,J74*20%-1650000,IF(J74&lt;52000000,J74*25%-3250000,IF(J74&lt;80000000,J74*30%-5850000,IF(J74&gt;80000000,J74*35%-9850000))))))))</f>
        <v>#REF!</v>
      </c>
      <c r="L74" s="493" t="e">
        <v>#N/A</v>
      </c>
      <c r="M74" s="493"/>
      <c r="N74" s="9" t="e">
        <v>#N/A</v>
      </c>
      <c r="W74" s="9" t="e">
        <v>#N/A</v>
      </c>
    </row>
    <row r="75" spans="1:23" s="9" customFormat="1" ht="26.25" customHeight="1">
      <c r="A75" s="8">
        <f t="shared" ref="A75:A85" si="7">A74+1</f>
        <v>67</v>
      </c>
      <c r="B75" s="62" t="s">
        <v>47</v>
      </c>
      <c r="C75" s="63" t="s">
        <v>48</v>
      </c>
      <c r="D75" s="22">
        <f>VLOOKUP(B75,'DSOAT-T1.2025'!B69:D154,3,0)</f>
        <v>4130200.0000000005</v>
      </c>
      <c r="E75" s="490" t="e">
        <f>VLOOKUP(B75,'DSOAT-T1.2025'!B69:AJ154,47,0)</f>
        <v>#REF!</v>
      </c>
      <c r="F75" s="490" t="e">
        <f>VLOOKUP(B75,'DSOAT-T1.2025'!B69:AQ154,54,0)</f>
        <v>#REF!</v>
      </c>
      <c r="G75" s="491">
        <v>11000000</v>
      </c>
      <c r="H75" s="491"/>
      <c r="I75" s="491">
        <f t="shared" si="4"/>
        <v>0</v>
      </c>
      <c r="J75" s="491" t="e">
        <f t="shared" si="5"/>
        <v>#REF!</v>
      </c>
      <c r="K75" s="492" t="e">
        <f t="shared" si="6"/>
        <v>#REF!</v>
      </c>
      <c r="L75" s="493" t="s">
        <v>42</v>
      </c>
      <c r="M75" s="493"/>
      <c r="N75" s="9" t="s">
        <v>48</v>
      </c>
      <c r="W75" s="9">
        <v>1</v>
      </c>
    </row>
    <row r="76" spans="1:23" s="9" customFormat="1" ht="26.25" customHeight="1">
      <c r="A76" s="8">
        <f t="shared" si="7"/>
        <v>68</v>
      </c>
      <c r="B76" s="62" t="s">
        <v>271</v>
      </c>
      <c r="C76" s="63" t="s">
        <v>269</v>
      </c>
      <c r="D76" s="22">
        <f>VLOOKUP(B76,'DSOAT-T1.2025'!B70:D155,3,0)</f>
        <v>3691500</v>
      </c>
      <c r="E76" s="490" t="e">
        <f>VLOOKUP(B76,'DSOAT-T1.2025'!B70:AJ155,47,0)</f>
        <v>#REF!</v>
      </c>
      <c r="F76" s="490" t="e">
        <f>VLOOKUP(B76,'DSOAT-T1.2025'!B70:AQ155,54,0)</f>
        <v>#REF!</v>
      </c>
      <c r="G76" s="491">
        <v>11000000</v>
      </c>
      <c r="H76" s="491"/>
      <c r="I76" s="491">
        <f t="shared" si="4"/>
        <v>0</v>
      </c>
      <c r="J76" s="491" t="e">
        <f t="shared" si="5"/>
        <v>#REF!</v>
      </c>
      <c r="K76" s="492" t="e">
        <f t="shared" si="6"/>
        <v>#REF!</v>
      </c>
      <c r="L76" s="493"/>
      <c r="M76" s="493"/>
    </row>
    <row r="77" spans="1:23" s="9" customFormat="1" ht="26.25" customHeight="1">
      <c r="A77" s="8">
        <f t="shared" si="7"/>
        <v>69</v>
      </c>
      <c r="B77" s="62" t="s">
        <v>272</v>
      </c>
      <c r="C77" s="63" t="s">
        <v>273</v>
      </c>
      <c r="D77" s="22">
        <f>VLOOKUP(B77,'DSOAT-T1.2025'!B71:D156,3,0)</f>
        <v>4718700</v>
      </c>
      <c r="E77" s="490" t="e">
        <f>VLOOKUP(B77,'DSOAT-T1.2025'!B71:AJ156,47,0)</f>
        <v>#REF!</v>
      </c>
      <c r="F77" s="490" t="e">
        <f>VLOOKUP(B77,'DSOAT-T1.2025'!B71:AQ156,54,0)</f>
        <v>#REF!</v>
      </c>
      <c r="G77" s="491">
        <v>11000000</v>
      </c>
      <c r="H77" s="491"/>
      <c r="I77" s="491">
        <f t="shared" si="4"/>
        <v>0</v>
      </c>
      <c r="J77" s="491" t="e">
        <f t="shared" si="5"/>
        <v>#REF!</v>
      </c>
      <c r="K77" s="492" t="e">
        <f t="shared" si="6"/>
        <v>#REF!</v>
      </c>
      <c r="L77" s="493"/>
      <c r="M77" s="493"/>
    </row>
    <row r="78" spans="1:23" s="9" customFormat="1" ht="26.25" customHeight="1">
      <c r="A78" s="8">
        <f t="shared" si="7"/>
        <v>70</v>
      </c>
      <c r="B78" s="62" t="s">
        <v>274</v>
      </c>
      <c r="C78" s="63" t="s">
        <v>275</v>
      </c>
      <c r="D78" s="22" t="e">
        <f>VLOOKUP(B78,'DSOAT-T1.2025'!B72:D157,3,0)</f>
        <v>#N/A</v>
      </c>
      <c r="E78" s="490" t="e">
        <f>VLOOKUP(B78,'DSOAT-T1.2025'!B72:AJ157,47,0)</f>
        <v>#N/A</v>
      </c>
      <c r="F78" s="490" t="e">
        <f>VLOOKUP(B78,'DSOAT-T1.2025'!B72:AQ157,54,0)</f>
        <v>#N/A</v>
      </c>
      <c r="G78" s="491">
        <v>11000000</v>
      </c>
      <c r="H78" s="491"/>
      <c r="I78" s="491">
        <f t="shared" si="4"/>
        <v>0</v>
      </c>
      <c r="J78" s="491" t="e">
        <f t="shared" si="5"/>
        <v>#N/A</v>
      </c>
      <c r="K78" s="492" t="e">
        <f t="shared" si="6"/>
        <v>#N/A</v>
      </c>
      <c r="L78" s="493"/>
      <c r="M78" s="493"/>
    </row>
    <row r="79" spans="1:23" s="9" customFormat="1" ht="26.25" customHeight="1">
      <c r="A79" s="8">
        <f t="shared" si="7"/>
        <v>71</v>
      </c>
      <c r="B79" s="62" t="s">
        <v>283</v>
      </c>
      <c r="C79" s="63" t="s">
        <v>281</v>
      </c>
      <c r="D79" s="22">
        <f>VLOOKUP(B79,'DSOAT-T1.2025'!B72:D158,3,0)</f>
        <v>4130200.0000000005</v>
      </c>
      <c r="E79" s="490" t="e">
        <f>VLOOKUP(B79,'DSOAT-T1.2025'!B72:AJ158,47,0)</f>
        <v>#REF!</v>
      </c>
      <c r="F79" s="490" t="e">
        <f>VLOOKUP(B79,'DSOAT-T1.2025'!B72:AQ158,54,0)</f>
        <v>#REF!</v>
      </c>
      <c r="G79" s="491">
        <v>11000000</v>
      </c>
      <c r="H79" s="491"/>
      <c r="I79" s="491">
        <f t="shared" si="4"/>
        <v>0</v>
      </c>
      <c r="J79" s="491" t="e">
        <f t="shared" si="5"/>
        <v>#REF!</v>
      </c>
      <c r="K79" s="492" t="e">
        <f t="shared" si="6"/>
        <v>#REF!</v>
      </c>
      <c r="L79" s="493"/>
      <c r="M79" s="493"/>
    </row>
    <row r="80" spans="1:23" s="9" customFormat="1" ht="26.25" customHeight="1">
      <c r="A80" s="8">
        <f t="shared" si="7"/>
        <v>72</v>
      </c>
      <c r="B80" s="62" t="s">
        <v>284</v>
      </c>
      <c r="C80" s="63" t="s">
        <v>282</v>
      </c>
      <c r="D80" s="22">
        <f>VLOOKUP(B80,'DSOAT-T1.2025'!B73:D159,3,0)</f>
        <v>3691500</v>
      </c>
      <c r="E80" s="490" t="e">
        <f>VLOOKUP(B80,'DSOAT-T1.2025'!B73:AJ159,47,0)</f>
        <v>#REF!</v>
      </c>
      <c r="F80" s="490" t="e">
        <f>VLOOKUP(B80,'DSOAT-T1.2025'!B73:AQ159,54,0)</f>
        <v>#REF!</v>
      </c>
      <c r="G80" s="491">
        <v>11000000</v>
      </c>
      <c r="H80" s="491"/>
      <c r="I80" s="491">
        <f t="shared" si="4"/>
        <v>0</v>
      </c>
      <c r="J80" s="491" t="e">
        <f t="shared" si="5"/>
        <v>#REF!</v>
      </c>
      <c r="K80" s="492" t="e">
        <f t="shared" si="6"/>
        <v>#REF!</v>
      </c>
      <c r="L80" s="493"/>
      <c r="M80" s="493"/>
    </row>
    <row r="81" spans="1:23" s="9" customFormat="1" ht="26.25" customHeight="1">
      <c r="A81" s="8">
        <f t="shared" si="7"/>
        <v>73</v>
      </c>
      <c r="B81" s="94" t="s">
        <v>287</v>
      </c>
      <c r="C81" s="95" t="s">
        <v>288</v>
      </c>
      <c r="D81" s="22">
        <f>VLOOKUP(B81,'DSOAT-T1.2025'!B74:D160,3,0)</f>
        <v>3691500</v>
      </c>
      <c r="E81" s="490" t="e">
        <f>VLOOKUP(B81,'DSOAT-T1.2025'!B74:AJ160,47,0)</f>
        <v>#REF!</v>
      </c>
      <c r="F81" s="490" t="e">
        <f>VLOOKUP(B81,'DSOAT-T1.2025'!B74:AQ160,54,0)</f>
        <v>#REF!</v>
      </c>
      <c r="G81" s="491">
        <v>11000000</v>
      </c>
      <c r="H81" s="491"/>
      <c r="I81" s="491">
        <f t="shared" si="4"/>
        <v>0</v>
      </c>
      <c r="J81" s="491" t="e">
        <f t="shared" si="5"/>
        <v>#REF!</v>
      </c>
      <c r="K81" s="492" t="e">
        <f t="shared" si="6"/>
        <v>#REF!</v>
      </c>
      <c r="L81" s="493" t="e">
        <v>#N/A</v>
      </c>
      <c r="M81" s="493"/>
      <c r="N81" s="9" t="e">
        <v>#N/A</v>
      </c>
      <c r="W81" s="9" t="e">
        <v>#N/A</v>
      </c>
    </row>
    <row r="82" spans="1:23" s="9" customFormat="1" ht="26.25" customHeight="1">
      <c r="A82" s="8">
        <f t="shared" si="7"/>
        <v>74</v>
      </c>
      <c r="B82" s="62" t="s">
        <v>290</v>
      </c>
      <c r="C82" s="63" t="s">
        <v>289</v>
      </c>
      <c r="D82" s="22">
        <f>VLOOKUP(B82,'DSOAT-T1.2025'!B75:D161,3,0)</f>
        <v>3691500</v>
      </c>
      <c r="E82" s="490" t="e">
        <f>VLOOKUP(B82,'DSOAT-T1.2025'!B75:AJ161,47,0)</f>
        <v>#REF!</v>
      </c>
      <c r="F82" s="490" t="e">
        <f>VLOOKUP(B82,'DSOAT-T1.2025'!B75:AQ161,54,0)</f>
        <v>#REF!</v>
      </c>
      <c r="G82" s="491">
        <v>11000000</v>
      </c>
      <c r="H82" s="491"/>
      <c r="I82" s="491">
        <f t="shared" si="4"/>
        <v>0</v>
      </c>
      <c r="J82" s="491" t="e">
        <f t="shared" si="5"/>
        <v>#REF!</v>
      </c>
      <c r="K82" s="492" t="e">
        <f t="shared" si="6"/>
        <v>#REF!</v>
      </c>
      <c r="L82" s="493"/>
      <c r="M82" s="493"/>
      <c r="W82" s="9" t="e">
        <v>#N/A</v>
      </c>
    </row>
    <row r="83" spans="1:23" s="9" customFormat="1" ht="26.25" customHeight="1">
      <c r="A83" s="8">
        <f t="shared" si="7"/>
        <v>75</v>
      </c>
      <c r="B83" s="62" t="s">
        <v>294</v>
      </c>
      <c r="C83" s="63" t="s">
        <v>295</v>
      </c>
      <c r="D83" s="22">
        <f>VLOOKUP(B83,'DSOAT-T1.2025'!B76:D162,3,0)</f>
        <v>4718700</v>
      </c>
      <c r="E83" s="490" t="e">
        <f>VLOOKUP(B83,'DSOAT-T1.2025'!B76:AJ162,47,0)</f>
        <v>#REF!</v>
      </c>
      <c r="F83" s="490" t="e">
        <f>VLOOKUP(B83,'DSOAT-T1.2025'!B76:AQ162,54,0)</f>
        <v>#REF!</v>
      </c>
      <c r="G83" s="491">
        <v>11000000</v>
      </c>
      <c r="H83" s="491"/>
      <c r="I83" s="491">
        <f t="shared" si="4"/>
        <v>0</v>
      </c>
      <c r="J83" s="491" t="e">
        <f t="shared" si="5"/>
        <v>#REF!</v>
      </c>
      <c r="K83" s="492" t="e">
        <f t="shared" si="6"/>
        <v>#REF!</v>
      </c>
      <c r="L83" s="493"/>
      <c r="M83" s="493"/>
      <c r="W83" s="9" t="e">
        <v>#N/A</v>
      </c>
    </row>
    <row r="84" spans="1:23" s="9" customFormat="1" ht="26.25" customHeight="1">
      <c r="A84" s="8">
        <f t="shared" si="7"/>
        <v>76</v>
      </c>
      <c r="B84" s="62" t="s">
        <v>434</v>
      </c>
      <c r="C84" s="63" t="s">
        <v>435</v>
      </c>
      <c r="D84" s="22">
        <f>VLOOKUP(B84,'DSOAT-T1.2025'!B77:D163,3,0)</f>
        <v>4718700</v>
      </c>
      <c r="E84" s="490" t="e">
        <f>VLOOKUP(B84,'DSOAT-T1.2025'!B77:AJ163,47,0)</f>
        <v>#REF!</v>
      </c>
      <c r="F84" s="490" t="e">
        <f>VLOOKUP(B84,'DSOAT-T1.2025'!B77:AQ163,54,0)</f>
        <v>#REF!</v>
      </c>
      <c r="G84" s="491">
        <v>11000000</v>
      </c>
      <c r="H84" s="491"/>
      <c r="I84" s="491">
        <f t="shared" si="4"/>
        <v>0</v>
      </c>
      <c r="J84" s="491" t="e">
        <f t="shared" si="5"/>
        <v>#REF!</v>
      </c>
      <c r="K84" s="492" t="e">
        <f t="shared" si="6"/>
        <v>#REF!</v>
      </c>
      <c r="L84" s="493"/>
      <c r="M84" s="493"/>
    </row>
    <row r="85" spans="1:23" s="9" customFormat="1" ht="26.25" customHeight="1">
      <c r="A85" s="8">
        <f t="shared" si="7"/>
        <v>77</v>
      </c>
      <c r="B85" s="62" t="s">
        <v>901</v>
      </c>
      <c r="C85" s="63" t="s">
        <v>644</v>
      </c>
      <c r="D85" s="22">
        <f>VLOOKUP(B85,'DSOAT-T1.2025'!B78:D164,3,0)</f>
        <v>4130200.0000000005</v>
      </c>
      <c r="E85" s="490" t="e">
        <f>VLOOKUP(B85,'DSOAT-T1.2025'!B78:AJ164,47,0)</f>
        <v>#REF!</v>
      </c>
      <c r="F85" s="490" t="e">
        <f>VLOOKUP(B85,'DSOAT-T1.2025'!B78:AQ164,54,0)</f>
        <v>#REF!</v>
      </c>
      <c r="G85" s="491">
        <v>11000000</v>
      </c>
      <c r="H85" s="491">
        <v>1</v>
      </c>
      <c r="I85" s="491">
        <f t="shared" si="4"/>
        <v>4400000</v>
      </c>
      <c r="J85" s="491" t="e">
        <f t="shared" ref="J85" si="8">E85-F85-G85-I85</f>
        <v>#REF!</v>
      </c>
      <c r="K85" s="492" t="e">
        <f t="shared" ref="K85" si="9">IF(J85&lt;0,0,IF(J85&lt;5000000,J85*5%,IF(J85&lt;10000000,J85*10%-250000,IF(J85&lt;18000000,J85*15%-750000,IF(J85&lt;32000000,J85*20%-1650000,IF(J85&lt;52000000,J85*25%-3250000,IF(J85&lt;80000000,J85*30%-5850000,IF(J85&gt;80000000,J85*35%-9850000))))))))</f>
        <v>#REF!</v>
      </c>
      <c r="L85" s="493"/>
      <c r="M85" s="493"/>
    </row>
    <row r="86" spans="1:23" s="1" customFormat="1" ht="27.75" customHeight="1">
      <c r="A86" s="1519" t="s">
        <v>110</v>
      </c>
      <c r="B86" s="1520"/>
      <c r="C86" s="1520"/>
      <c r="D86" s="502" t="e">
        <f>SUM(D9:D85)</f>
        <v>#N/A</v>
      </c>
      <c r="E86" s="502" t="e">
        <f t="shared" ref="E86:J86" si="10">SUM(E9:E85)</f>
        <v>#REF!</v>
      </c>
      <c r="F86" s="502" t="e">
        <f t="shared" si="10"/>
        <v>#REF!</v>
      </c>
      <c r="G86" s="502">
        <f t="shared" si="10"/>
        <v>847000000</v>
      </c>
      <c r="H86" s="502">
        <f t="shared" si="10"/>
        <v>6</v>
      </c>
      <c r="I86" s="502">
        <f t="shared" si="10"/>
        <v>26400000</v>
      </c>
      <c r="J86" s="502" t="e">
        <f t="shared" si="10"/>
        <v>#REF!</v>
      </c>
      <c r="K86" s="502" t="e">
        <f>SUM(K9:K85)</f>
        <v>#REF!</v>
      </c>
      <c r="L86" s="503"/>
      <c r="M86" s="503"/>
    </row>
    <row r="87" spans="1:23">
      <c r="E87" s="504" t="e">
        <v>#N/A</v>
      </c>
      <c r="F87" s="11"/>
    </row>
    <row r="88" spans="1:23" ht="15.75">
      <c r="B88" s="1521" t="s">
        <v>192</v>
      </c>
      <c r="C88" s="1521"/>
      <c r="D88" s="1521"/>
      <c r="E88" s="1521"/>
      <c r="F88" s="505"/>
      <c r="G88" s="506" t="s">
        <v>928</v>
      </c>
      <c r="H88" s="506"/>
      <c r="I88" s="506"/>
      <c r="J88" s="506"/>
      <c r="K88" s="506"/>
      <c r="L88" s="506"/>
      <c r="M88" s="506"/>
      <c r="N88" s="506"/>
    </row>
    <row r="89" spans="1:23" ht="15.75">
      <c r="B89" s="507"/>
      <c r="C89" s="505"/>
      <c r="D89" s="508"/>
      <c r="E89" s="508"/>
      <c r="F89" s="505"/>
      <c r="G89" s="1522" t="s">
        <v>929</v>
      </c>
      <c r="H89" s="1522"/>
      <c r="I89" s="1522"/>
      <c r="J89" s="1522"/>
      <c r="K89" s="1522"/>
      <c r="L89" s="509"/>
      <c r="M89" s="509"/>
      <c r="N89" s="505"/>
    </row>
    <row r="91" spans="1:23" s="12" customFormat="1">
      <c r="A91" s="511"/>
      <c r="B91" s="511"/>
      <c r="D91" s="512"/>
      <c r="E91" s="13"/>
    </row>
    <row r="92" spans="1:23" s="12" customFormat="1">
      <c r="A92" s="511"/>
      <c r="B92" s="511"/>
      <c r="D92" s="512"/>
      <c r="E92" s="13"/>
    </row>
    <row r="93" spans="1:23" s="12" customFormat="1">
      <c r="A93" s="511"/>
      <c r="B93" s="511"/>
      <c r="D93" s="512"/>
      <c r="E93" s="13"/>
    </row>
    <row r="94" spans="1:23" s="12" customFormat="1">
      <c r="A94" s="511"/>
      <c r="B94" s="511"/>
      <c r="D94" s="512"/>
      <c r="E94" s="13"/>
    </row>
    <row r="95" spans="1:23" s="12" customFormat="1">
      <c r="A95" s="511"/>
      <c r="B95" s="511"/>
      <c r="D95" s="512"/>
      <c r="E95" s="13"/>
    </row>
    <row r="96" spans="1:23" s="12" customFormat="1">
      <c r="A96" s="511"/>
      <c r="B96" s="511"/>
      <c r="D96" s="512"/>
      <c r="E96" s="13"/>
    </row>
    <row r="97" spans="1:5" s="12" customFormat="1">
      <c r="A97" s="511"/>
      <c r="B97" s="511"/>
      <c r="D97" s="512"/>
      <c r="E97" s="13"/>
    </row>
    <row r="98" spans="1:5" s="12" customFormat="1">
      <c r="A98" s="511"/>
      <c r="B98" s="511"/>
      <c r="D98" s="512"/>
      <c r="E98" s="13"/>
    </row>
    <row r="108" spans="1:5" s="12" customFormat="1">
      <c r="A108" s="511"/>
      <c r="B108" s="511"/>
      <c r="D108" s="512"/>
      <c r="E108" s="13"/>
    </row>
  </sheetData>
  <mergeCells count="13">
    <mergeCell ref="A86:C86"/>
    <mergeCell ref="B88:E88"/>
    <mergeCell ref="G89:K89"/>
    <mergeCell ref="A2:D2"/>
    <mergeCell ref="A3:K3"/>
    <mergeCell ref="A4:K4"/>
    <mergeCell ref="A6:A7"/>
    <mergeCell ref="B6:B7"/>
    <mergeCell ref="C6:C7"/>
    <mergeCell ref="D6:E6"/>
    <mergeCell ref="G6:G7"/>
    <mergeCell ref="H6:I6"/>
    <mergeCell ref="J6:K6"/>
  </mergeCells>
  <conditionalFormatting sqref="B86:B87 B110:B65536 B1:B2 B8 B5 B89:B104">
    <cfRule type="duplicateValues" dxfId="70" priority="27"/>
  </conditionalFormatting>
  <conditionalFormatting sqref="B105">
    <cfRule type="duplicateValues" dxfId="69" priority="26"/>
  </conditionalFormatting>
  <conditionalFormatting sqref="B108">
    <cfRule type="duplicateValues" dxfId="68" priority="24"/>
  </conditionalFormatting>
  <conditionalFormatting sqref="B109 B106:B107">
    <cfRule type="duplicateValues" dxfId="67" priority="25"/>
  </conditionalFormatting>
  <conditionalFormatting sqref="C9:C84">
    <cfRule type="duplicateValues" dxfId="66" priority="3" stopIfTrue="1"/>
  </conditionalFormatting>
  <conditionalFormatting sqref="C50">
    <cfRule type="duplicateValues" dxfId="65" priority="4" stopIfTrue="1"/>
  </conditionalFormatting>
  <conditionalFormatting sqref="C51:C84 C9:C49">
    <cfRule type="duplicateValues" dxfId="64" priority="5" stopIfTrue="1"/>
  </conditionalFormatting>
  <conditionalFormatting sqref="C85">
    <cfRule type="duplicateValues" dxfId="63" priority="1" stopIfTrue="1"/>
    <cfRule type="duplicateValues" dxfId="62" priority="2" stopIfTrue="1"/>
  </conditionalFormatting>
  <conditionalFormatting sqref="C86:C65536 C1:C8">
    <cfRule type="duplicateValues" dxfId="61" priority="28"/>
  </conditionalFormatting>
  <conditionalFormatting sqref="C86:C65536">
    <cfRule type="duplicateValues" dxfId="60" priority="29"/>
  </conditionalFormatting>
  <conditionalFormatting sqref="P8:P28">
    <cfRule type="duplicateValues" dxfId="59" priority="17"/>
  </conditionalFormatting>
  <conditionalFormatting sqref="P29:P33">
    <cfRule type="duplicateValues" dxfId="58" priority="6"/>
  </conditionalFormatting>
  <conditionalFormatting sqref="Q21">
    <cfRule type="duplicateValues" dxfId="57" priority="15"/>
    <cfRule type="duplicateValues" dxfId="56" priority="16"/>
  </conditionalFormatting>
  <conditionalFormatting sqref="Q23:Q25">
    <cfRule type="duplicateValues" dxfId="55" priority="13"/>
    <cfRule type="duplicateValues" dxfId="54" priority="14"/>
  </conditionalFormatting>
  <conditionalFormatting sqref="Q26">
    <cfRule type="duplicateValues" dxfId="53" priority="9"/>
    <cfRule type="duplicateValues" dxfId="52" priority="10"/>
  </conditionalFormatting>
  <conditionalFormatting sqref="Q27:Q28">
    <cfRule type="duplicateValues" dxfId="51" priority="11"/>
    <cfRule type="duplicateValues" dxfId="50" priority="12"/>
  </conditionalFormatting>
  <conditionalFormatting sqref="Q29:Q33">
    <cfRule type="duplicateValues" dxfId="49" priority="7"/>
    <cfRule type="duplicateValues" dxfId="48" priority="8"/>
  </conditionalFormatting>
  <conditionalFormatting sqref="Q34">
    <cfRule type="duplicateValues" dxfId="47" priority="20"/>
    <cfRule type="duplicateValues" dxfId="46" priority="21"/>
  </conditionalFormatting>
  <conditionalFormatting sqref="Q34:Q41">
    <cfRule type="duplicateValues" dxfId="45" priority="22"/>
    <cfRule type="duplicateValues" dxfId="44" priority="23"/>
  </conditionalFormatting>
  <conditionalFormatting sqref="Q35:Q41">
    <cfRule type="duplicateValues" dxfId="43" priority="18"/>
    <cfRule type="duplicateValues" dxfId="42" priority="19"/>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3"/>
  <sheetViews>
    <sheetView topLeftCell="A12" workbookViewId="0">
      <selection activeCell="A28" sqref="A28:J28"/>
    </sheetView>
  </sheetViews>
  <sheetFormatPr defaultColWidth="9.140625" defaultRowHeight="15"/>
  <cols>
    <col min="1" max="2" width="9.140625" style="20"/>
    <col min="3" max="3" width="8" style="20" customWidth="1"/>
    <col min="4" max="4" width="12.42578125" style="20" customWidth="1"/>
    <col min="5" max="5" width="10.85546875" style="20" customWidth="1"/>
    <col min="6" max="6" width="12.28515625" style="20" customWidth="1"/>
    <col min="7" max="7" width="9.140625" style="20"/>
    <col min="8" max="8" width="10.85546875" style="20" customWidth="1"/>
    <col min="9" max="9" width="10.28515625" style="20" customWidth="1"/>
    <col min="10" max="10" width="14.7109375" style="20" customWidth="1"/>
    <col min="11" max="11" width="21.7109375" style="20" customWidth="1"/>
    <col min="12" max="16384" width="9.140625" style="20"/>
  </cols>
  <sheetData>
    <row r="2" spans="1:11" ht="16.5">
      <c r="A2" s="1531"/>
      <c r="B2" s="1532" t="s">
        <v>931</v>
      </c>
      <c r="C2" s="1532"/>
      <c r="D2" s="1532"/>
      <c r="E2" s="1532"/>
      <c r="F2" s="1533" t="s">
        <v>932</v>
      </c>
      <c r="G2" s="1533"/>
      <c r="H2" s="1533"/>
      <c r="I2" s="1533"/>
      <c r="J2" s="1533"/>
    </row>
    <row r="3" spans="1:11" ht="16.5">
      <c r="A3" s="1531"/>
      <c r="B3" s="1532" t="s">
        <v>933</v>
      </c>
      <c r="C3" s="1532"/>
      <c r="D3" s="1532"/>
      <c r="E3" s="1532"/>
      <c r="F3" s="1534" t="s">
        <v>934</v>
      </c>
      <c r="G3" s="1534"/>
      <c r="H3" s="1534"/>
      <c r="I3" s="1534"/>
      <c r="J3" s="1534"/>
      <c r="K3" s="513"/>
    </row>
    <row r="4" spans="1:11" ht="16.5">
      <c r="A4" s="1531"/>
      <c r="B4" s="1535" t="s">
        <v>935</v>
      </c>
      <c r="C4" s="1535"/>
      <c r="D4" s="1535"/>
      <c r="E4" s="1535"/>
      <c r="F4" s="1536" t="s">
        <v>965</v>
      </c>
      <c r="G4" s="1536"/>
      <c r="H4" s="1536"/>
      <c r="I4" s="1536"/>
      <c r="J4" s="1536"/>
      <c r="K4" s="515"/>
    </row>
    <row r="5" spans="1:11" ht="24" customHeight="1">
      <c r="A5" s="516"/>
      <c r="B5" s="1538" t="s">
        <v>966</v>
      </c>
      <c r="C5" s="1538"/>
      <c r="D5" s="1538"/>
      <c r="E5" s="1538"/>
      <c r="F5" s="514"/>
      <c r="G5" s="514"/>
      <c r="H5" s="514"/>
      <c r="I5" s="514"/>
      <c r="J5" s="514"/>
      <c r="K5" s="517"/>
    </row>
    <row r="6" spans="1:11" ht="30.6" customHeight="1">
      <c r="A6" s="516"/>
      <c r="B6" s="1538" t="s">
        <v>967</v>
      </c>
      <c r="C6" s="1538"/>
      <c r="D6" s="1538"/>
      <c r="E6" s="1538"/>
    </row>
    <row r="7" spans="1:11" ht="20.25">
      <c r="A7" s="1539" t="s">
        <v>936</v>
      </c>
      <c r="B7" s="1539"/>
      <c r="C7" s="1539"/>
      <c r="D7" s="1539"/>
      <c r="E7" s="1539"/>
      <c r="F7" s="1539"/>
      <c r="G7" s="1539"/>
      <c r="H7" s="1539"/>
      <c r="I7" s="1539"/>
      <c r="J7" s="1539"/>
      <c r="K7" s="518"/>
    </row>
    <row r="8" spans="1:11" ht="15.75">
      <c r="A8" s="519"/>
    </row>
    <row r="9" spans="1:11" ht="52.15" customHeight="1">
      <c r="A9" s="1540" t="s">
        <v>937</v>
      </c>
      <c r="B9" s="1540"/>
      <c r="C9" s="1540"/>
      <c r="D9" s="1540"/>
      <c r="E9" s="1540"/>
      <c r="F9" s="1540"/>
      <c r="G9" s="1540"/>
      <c r="H9" s="1540"/>
      <c r="I9" s="1540"/>
      <c r="J9" s="1540"/>
      <c r="K9" s="520"/>
    </row>
    <row r="10" spans="1:11" ht="16.5">
      <c r="A10" s="1541" t="s">
        <v>968</v>
      </c>
      <c r="B10" s="1541"/>
      <c r="C10" s="1541"/>
      <c r="D10" s="1541"/>
      <c r="E10" s="1541"/>
      <c r="F10" s="1541"/>
      <c r="G10" s="1541"/>
      <c r="H10" s="1541"/>
      <c r="I10" s="1541"/>
      <c r="J10" s="1541"/>
      <c r="K10" s="520"/>
    </row>
    <row r="11" spans="1:11" s="263" customFormat="1" ht="61.5" customHeight="1">
      <c r="A11" s="1542" t="s">
        <v>969</v>
      </c>
      <c r="B11" s="1542"/>
      <c r="C11" s="1542"/>
      <c r="D11" s="1542"/>
      <c r="E11" s="1542"/>
      <c r="F11" s="1542"/>
      <c r="G11" s="1542"/>
      <c r="H11" s="1542"/>
      <c r="I11" s="1542"/>
      <c r="J11" s="1542"/>
      <c r="K11" s="521"/>
    </row>
    <row r="12" spans="1:11" s="263" customFormat="1" ht="100.9" customHeight="1">
      <c r="A12" s="522"/>
      <c r="B12" s="522" t="s">
        <v>938</v>
      </c>
      <c r="C12" s="522" t="s">
        <v>939</v>
      </c>
      <c r="D12" s="522" t="s">
        <v>940</v>
      </c>
      <c r="E12" s="522" t="s">
        <v>941</v>
      </c>
      <c r="F12" s="523" t="s">
        <v>942</v>
      </c>
      <c r="G12" s="522" t="s">
        <v>943</v>
      </c>
      <c r="H12" s="522" t="s">
        <v>944</v>
      </c>
      <c r="I12" s="522" t="s">
        <v>945</v>
      </c>
      <c r="J12" s="522" t="s">
        <v>946</v>
      </c>
      <c r="K12" s="521"/>
    </row>
    <row r="13" spans="1:11" s="263" customFormat="1" ht="16.5">
      <c r="A13" s="524"/>
      <c r="B13" s="525">
        <v>1</v>
      </c>
      <c r="C13" s="526">
        <v>2</v>
      </c>
      <c r="D13" s="526">
        <v>3</v>
      </c>
      <c r="E13" s="526">
        <v>4</v>
      </c>
      <c r="F13" s="526">
        <v>5</v>
      </c>
      <c r="G13" s="526">
        <v>6</v>
      </c>
      <c r="H13" s="526">
        <v>7</v>
      </c>
      <c r="I13" s="526">
        <v>8</v>
      </c>
      <c r="J13" s="526">
        <v>9</v>
      </c>
      <c r="K13" s="521"/>
    </row>
    <row r="14" spans="1:11" s="263" customFormat="1" ht="16.5">
      <c r="A14" s="527" t="s">
        <v>970</v>
      </c>
      <c r="B14" s="528">
        <v>71</v>
      </c>
      <c r="C14" s="528"/>
      <c r="D14" s="528">
        <f>'DSOAT-T1.2025'!AQ89</f>
        <v>34433053</v>
      </c>
      <c r="E14" s="528">
        <f>'DSOAT-T1.2025'!AK89</f>
        <v>70505749</v>
      </c>
      <c r="F14" s="528" t="e">
        <f>'DSOAT-T1.2025'!F89+'DSOAT-T1.2025'!G89+'DSOAT-T1.2025'!H89+'DSOAT-T1.2025'!I89+'DSOAT-T1.2025'!#REF!+'DSOAT-T1.2025'!#REF!+'DSOAT-T1.2025'!#REF!+'DSOAT-T1.2025'!#REF!+'DSOAT-T1.2025'!#REF!+'DSOAT-T1.2025'!#REF!+'DSOAT-T1.2025'!#REF!+'DSOAT-T1.2025'!#REF!+'DSOAT-T1.2025'!#REF!+'DSOAT-T1.2025'!#REF!</f>
        <v>#REF!</v>
      </c>
      <c r="G14" s="528">
        <f>'DSOAT-T1.2025'!AL89</f>
        <v>6632502</v>
      </c>
      <c r="H14" s="528">
        <f>'DSOAT-T1.2025'!AM89</f>
        <v>23400000</v>
      </c>
      <c r="I14" s="528">
        <f>'DSOAT-T1.2025'!AS89</f>
        <v>11037236</v>
      </c>
      <c r="J14" s="529" t="e">
        <f>ROUND(SUM(E14:H14),0)</f>
        <v>#REF!</v>
      </c>
      <c r="K14" s="530">
        <v>-57958785</v>
      </c>
    </row>
    <row r="15" spans="1:11" s="534" customFormat="1" ht="16.5">
      <c r="A15" s="527" t="s">
        <v>110</v>
      </c>
      <c r="B15" s="531">
        <f>SUM(B14)</f>
        <v>71</v>
      </c>
      <c r="C15" s="531">
        <f>SUM(C14)</f>
        <v>0</v>
      </c>
      <c r="D15" s="531">
        <f t="shared" ref="D15:I15" si="0">SUM(D14)</f>
        <v>34433053</v>
      </c>
      <c r="E15" s="531">
        <f t="shared" si="0"/>
        <v>70505749</v>
      </c>
      <c r="F15" s="531" t="e">
        <f t="shared" si="0"/>
        <v>#REF!</v>
      </c>
      <c r="G15" s="531">
        <f t="shared" si="0"/>
        <v>6632502</v>
      </c>
      <c r="H15" s="531">
        <f t="shared" si="0"/>
        <v>23400000</v>
      </c>
      <c r="I15" s="531">
        <f t="shared" si="0"/>
        <v>11037236</v>
      </c>
      <c r="J15" s="532" t="e">
        <f>ROUND(SUM(J14),0)</f>
        <v>#REF!</v>
      </c>
      <c r="K15" s="533"/>
    </row>
    <row r="16" spans="1:11" s="263" customFormat="1" ht="16.5">
      <c r="A16" s="527" t="s">
        <v>947</v>
      </c>
      <c r="B16" s="528"/>
      <c r="C16" s="528"/>
      <c r="D16" s="528"/>
      <c r="E16" s="528"/>
      <c r="F16" s="528"/>
      <c r="G16" s="528"/>
      <c r="H16" s="528"/>
      <c r="I16" s="528"/>
      <c r="J16" s="535" t="e">
        <f>ROUND(J15*8%,0)</f>
        <v>#REF!</v>
      </c>
      <c r="K16" s="521"/>
    </row>
    <row r="17" spans="1:12" s="534" customFormat="1" ht="16.5">
      <c r="A17" s="1543" t="s">
        <v>971</v>
      </c>
      <c r="B17" s="1544"/>
      <c r="C17" s="1544"/>
      <c r="D17" s="1544"/>
      <c r="E17" s="1544"/>
      <c r="F17" s="1544"/>
      <c r="G17" s="1544"/>
      <c r="H17" s="1544"/>
      <c r="I17" s="1545"/>
      <c r="J17" s="532" t="e">
        <f>J15+J16</f>
        <v>#REF!</v>
      </c>
      <c r="K17" s="536"/>
    </row>
    <row r="18" spans="1:12" ht="17.25">
      <c r="A18" s="1546" t="s">
        <v>948</v>
      </c>
      <c r="B18" s="1546"/>
      <c r="C18" s="1546"/>
      <c r="D18" s="1546"/>
      <c r="E18" s="1546"/>
      <c r="F18" s="1546"/>
      <c r="G18" s="1546"/>
      <c r="H18" s="1546"/>
      <c r="I18" s="1546"/>
      <c r="J18" s="537">
        <f>G14</f>
        <v>6632502</v>
      </c>
      <c r="K18" s="538"/>
    </row>
    <row r="19" spans="1:12" s="263" customFormat="1" ht="16.5">
      <c r="A19" s="1547" t="s">
        <v>949</v>
      </c>
      <c r="B19" s="1548"/>
      <c r="C19" s="1548"/>
      <c r="D19" s="1548"/>
      <c r="E19" s="1548"/>
      <c r="F19" s="1548"/>
      <c r="G19" s="1548"/>
      <c r="H19" s="1548"/>
      <c r="I19" s="1549"/>
      <c r="J19" s="539">
        <f>G15</f>
        <v>6632502</v>
      </c>
      <c r="K19" s="520"/>
    </row>
    <row r="20" spans="1:12" ht="17.25">
      <c r="A20" s="1547" t="s">
        <v>950</v>
      </c>
      <c r="B20" s="1548"/>
      <c r="C20" s="1548"/>
      <c r="D20" s="1548"/>
      <c r="E20" s="1548"/>
      <c r="F20" s="1548"/>
      <c r="G20" s="1548"/>
      <c r="H20" s="1548"/>
      <c r="I20" s="1549"/>
      <c r="J20" s="539">
        <f>'DSOAT-T1.2025'!AT89</f>
        <v>925501311</v>
      </c>
      <c r="K20" s="538"/>
    </row>
    <row r="21" spans="1:12" ht="60.6" customHeight="1">
      <c r="A21" s="1550" t="s">
        <v>974</v>
      </c>
      <c r="B21" s="1550"/>
      <c r="C21" s="1550"/>
      <c r="D21" s="1550"/>
      <c r="E21" s="1550"/>
      <c r="F21" s="1550"/>
      <c r="G21" s="1550"/>
      <c r="H21" s="1550"/>
      <c r="I21" s="1550"/>
      <c r="J21" s="1550"/>
      <c r="K21" s="540"/>
    </row>
    <row r="22" spans="1:12" ht="18.600000000000001" customHeight="1">
      <c r="A22" s="1537" t="s">
        <v>972</v>
      </c>
      <c r="B22" s="1537"/>
      <c r="C22" s="1537"/>
      <c r="D22" s="1537"/>
      <c r="E22" s="1537"/>
      <c r="F22" s="1537"/>
      <c r="G22" s="1537"/>
      <c r="H22" s="1537"/>
      <c r="I22" s="1537"/>
      <c r="J22" s="1537"/>
      <c r="K22" s="540"/>
    </row>
    <row r="23" spans="1:12" ht="16.5">
      <c r="A23" s="1541" t="s">
        <v>951</v>
      </c>
      <c r="B23" s="1541"/>
      <c r="C23" s="1541"/>
      <c r="D23" s="1541"/>
      <c r="E23" s="1541"/>
      <c r="F23" s="1541"/>
      <c r="G23" s="1541"/>
      <c r="H23" s="1541"/>
      <c r="I23" s="1541"/>
      <c r="J23" s="541">
        <f>J20+D15</f>
        <v>959934364</v>
      </c>
      <c r="K23" s="542"/>
    </row>
    <row r="24" spans="1:12" ht="16.5">
      <c r="A24" s="521" t="s">
        <v>952</v>
      </c>
      <c r="B24" s="521"/>
      <c r="C24" s="521"/>
      <c r="D24" s="520"/>
      <c r="E24" s="520"/>
      <c r="F24" s="520"/>
      <c r="G24" s="543"/>
      <c r="H24" s="544"/>
      <c r="I24" s="545"/>
      <c r="J24" s="541">
        <f>D15+E15</f>
        <v>104938802</v>
      </c>
      <c r="K24" s="540"/>
    </row>
    <row r="25" spans="1:12" ht="16.5">
      <c r="A25" s="546" t="s">
        <v>953</v>
      </c>
      <c r="B25" s="546"/>
      <c r="C25" s="546"/>
      <c r="D25" s="547"/>
      <c r="E25" s="547"/>
      <c r="F25" s="547"/>
      <c r="G25" s="547"/>
      <c r="H25" s="547"/>
      <c r="I25" s="547"/>
      <c r="J25" s="541" t="e">
        <f>J16</f>
        <v>#REF!</v>
      </c>
      <c r="K25" s="548"/>
    </row>
    <row r="26" spans="1:12" ht="38.25" customHeight="1">
      <c r="A26" s="1552" t="s">
        <v>973</v>
      </c>
      <c r="B26" s="1552"/>
      <c r="C26" s="1552"/>
      <c r="D26" s="1552"/>
      <c r="E26" s="1552"/>
      <c r="F26" s="1552"/>
      <c r="G26" s="1552"/>
      <c r="H26" s="1552"/>
      <c r="I26" s="1552"/>
      <c r="J26" s="549" t="e">
        <f>D15+E15+H15+I15+J16</f>
        <v>#REF!</v>
      </c>
      <c r="K26" s="550" t="e">
        <f>D14+E14+H14+I14+J16</f>
        <v>#REF!</v>
      </c>
      <c r="L26" s="28" t="e">
        <f>J26-'DSOAT-T1.2025'!AW89</f>
        <v>#REF!</v>
      </c>
    </row>
    <row r="27" spans="1:12" ht="24.75" customHeight="1">
      <c r="A27" s="1553" t="s">
        <v>975</v>
      </c>
      <c r="B27" s="1553"/>
      <c r="C27" s="1553"/>
      <c r="D27" s="1553"/>
      <c r="E27" s="1553"/>
      <c r="F27" s="1553"/>
      <c r="G27" s="1553"/>
      <c r="H27" s="1553"/>
      <c r="I27" s="1553"/>
      <c r="J27" s="1553"/>
      <c r="K27" s="540"/>
    </row>
    <row r="28" spans="1:12" ht="16.5">
      <c r="A28" s="1554" t="s">
        <v>954</v>
      </c>
      <c r="B28" s="1554"/>
      <c r="C28" s="1554"/>
      <c r="D28" s="1554"/>
      <c r="E28" s="1554"/>
      <c r="F28" s="1554"/>
      <c r="G28" s="1554"/>
      <c r="H28" s="1554"/>
      <c r="I28" s="1554"/>
      <c r="J28" s="1554"/>
      <c r="K28" s="520"/>
    </row>
    <row r="29" spans="1:12" ht="16.5">
      <c r="A29" s="1555" t="s">
        <v>955</v>
      </c>
      <c r="B29" s="1555"/>
      <c r="C29" s="1555"/>
      <c r="D29" s="1555"/>
      <c r="E29" s="1555"/>
      <c r="F29" s="1555"/>
      <c r="G29" s="1555"/>
      <c r="H29" s="1555"/>
      <c r="I29" s="1555"/>
      <c r="J29" s="1555"/>
      <c r="K29" s="520"/>
    </row>
    <row r="30" spans="1:12" ht="16.5">
      <c r="A30" s="1555" t="s">
        <v>956</v>
      </c>
      <c r="B30" s="1555"/>
      <c r="C30" s="1555"/>
      <c r="D30" s="1555"/>
      <c r="E30" s="1555"/>
      <c r="F30" s="1555"/>
      <c r="G30" s="1555"/>
      <c r="H30" s="1555"/>
      <c r="I30" s="1555"/>
      <c r="J30" s="1555"/>
      <c r="K30" s="520"/>
    </row>
    <row r="31" spans="1:12" ht="51" customHeight="1">
      <c r="A31" s="1556" t="s">
        <v>957</v>
      </c>
      <c r="B31" s="1556"/>
      <c r="C31" s="1556"/>
      <c r="D31" s="1556"/>
      <c r="E31" s="1556"/>
      <c r="F31" s="1556"/>
      <c r="G31" s="1556"/>
      <c r="H31" s="1556"/>
      <c r="I31" s="1556"/>
      <c r="J31" s="1556"/>
      <c r="K31" s="520"/>
    </row>
    <row r="32" spans="1:12" ht="16.5">
      <c r="A32" s="1556" t="s">
        <v>958</v>
      </c>
      <c r="B32" s="1556"/>
      <c r="C32" s="1556"/>
      <c r="D32" s="1556"/>
      <c r="E32" s="1556"/>
      <c r="F32" s="1556"/>
      <c r="G32" s="1556"/>
      <c r="H32" s="1556"/>
      <c r="I32" s="1556"/>
      <c r="J32" s="1556"/>
      <c r="K32" s="551"/>
    </row>
    <row r="33" spans="1:11" ht="20.25">
      <c r="D33" s="538"/>
      <c r="E33" s="538"/>
      <c r="F33" s="538"/>
      <c r="G33" s="538"/>
      <c r="H33" s="1557" t="s">
        <v>959</v>
      </c>
      <c r="I33" s="1557"/>
      <c r="J33" s="1557"/>
      <c r="K33" s="552"/>
    </row>
    <row r="34" spans="1:11" ht="17.25">
      <c r="A34" s="1558" t="s">
        <v>960</v>
      </c>
      <c r="B34" s="1558"/>
      <c r="C34" s="553"/>
      <c r="D34" s="538"/>
      <c r="E34" s="538"/>
      <c r="F34" s="538"/>
      <c r="G34" s="538"/>
      <c r="H34" s="1490" t="s">
        <v>961</v>
      </c>
      <c r="I34" s="1490"/>
      <c r="J34" s="1490"/>
      <c r="K34" s="538"/>
    </row>
    <row r="35" spans="1:11" ht="17.25">
      <c r="A35" s="1551" t="s">
        <v>962</v>
      </c>
      <c r="B35" s="1551"/>
      <c r="C35" s="553"/>
      <c r="D35" s="538"/>
      <c r="E35" s="538"/>
      <c r="F35" s="538"/>
      <c r="G35" s="538"/>
      <c r="H35" s="538"/>
      <c r="I35" s="538"/>
      <c r="J35" s="538"/>
      <c r="K35" s="538"/>
    </row>
    <row r="36" spans="1:11" ht="17.25">
      <c r="A36" s="1551" t="s">
        <v>963</v>
      </c>
      <c r="B36" s="1551"/>
      <c r="C36" s="1551"/>
      <c r="D36" s="538"/>
      <c r="E36" s="538"/>
      <c r="F36" s="538"/>
      <c r="G36" s="538"/>
      <c r="H36" s="538"/>
      <c r="I36" s="538"/>
      <c r="J36" s="538"/>
      <c r="K36" s="538"/>
    </row>
    <row r="37" spans="1:11" ht="17.25">
      <c r="A37" s="1558"/>
      <c r="B37" s="1558"/>
      <c r="C37" s="553"/>
      <c r="D37" s="538"/>
      <c r="E37" s="538"/>
      <c r="F37" s="538"/>
      <c r="G37" s="538"/>
      <c r="H37" s="538"/>
      <c r="I37" s="538"/>
      <c r="J37" s="538"/>
      <c r="K37" s="538"/>
    </row>
    <row r="38" spans="1:11" ht="17.25">
      <c r="A38" s="1551"/>
      <c r="B38" s="1551"/>
      <c r="C38" s="553"/>
      <c r="D38" s="538"/>
      <c r="E38" s="538"/>
      <c r="F38" s="538"/>
      <c r="G38" s="538"/>
      <c r="H38" s="538"/>
      <c r="I38" s="538"/>
      <c r="J38" s="538"/>
      <c r="K38" s="538"/>
    </row>
    <row r="39" spans="1:11" ht="18.75">
      <c r="A39" s="1551"/>
      <c r="B39" s="1551"/>
      <c r="C39" s="1551"/>
      <c r="D39" s="538"/>
      <c r="E39" s="538"/>
      <c r="F39" s="538"/>
      <c r="G39" s="538"/>
      <c r="H39" s="1559" t="s">
        <v>964</v>
      </c>
      <c r="I39" s="1559"/>
      <c r="J39" s="1559"/>
      <c r="K39" s="552"/>
    </row>
    <row r="40" spans="1:11" ht="17.25">
      <c r="A40" s="554"/>
      <c r="B40" s="538"/>
      <c r="C40" s="538"/>
      <c r="D40" s="538"/>
      <c r="E40" s="538"/>
      <c r="F40" s="538"/>
      <c r="G40" s="538"/>
      <c r="H40" s="538"/>
      <c r="I40" s="538"/>
      <c r="J40" s="538"/>
      <c r="K40" s="538"/>
    </row>
    <row r="41" spans="1:11" ht="17.25">
      <c r="A41" s="538"/>
      <c r="B41" s="538"/>
      <c r="C41" s="538"/>
      <c r="D41" s="538"/>
      <c r="E41" s="538"/>
      <c r="F41" s="538"/>
      <c r="G41" s="538"/>
      <c r="H41" s="538"/>
      <c r="I41" s="538"/>
      <c r="J41" s="538"/>
      <c r="K41" s="538"/>
    </row>
    <row r="42" spans="1:11" ht="17.25">
      <c r="A42" s="555"/>
      <c r="B42" s="538"/>
      <c r="C42" s="538"/>
      <c r="D42" s="538"/>
      <c r="E42" s="538"/>
      <c r="F42" s="538"/>
      <c r="G42" s="538"/>
      <c r="H42" s="538"/>
      <c r="I42" s="538"/>
      <c r="J42" s="538"/>
      <c r="K42" s="538"/>
    </row>
    <row r="43" spans="1:11">
      <c r="A43" s="556"/>
    </row>
  </sheetData>
  <mergeCells count="36">
    <mergeCell ref="A36:C36"/>
    <mergeCell ref="A37:B37"/>
    <mergeCell ref="A38:B38"/>
    <mergeCell ref="A39:C39"/>
    <mergeCell ref="H39:J39"/>
    <mergeCell ref="A35:B35"/>
    <mergeCell ref="A23:I23"/>
    <mergeCell ref="A26:I26"/>
    <mergeCell ref="A27:J27"/>
    <mergeCell ref="A28:J28"/>
    <mergeCell ref="A29:J29"/>
    <mergeCell ref="A30:J30"/>
    <mergeCell ref="A31:J31"/>
    <mergeCell ref="A32:J32"/>
    <mergeCell ref="H33:J33"/>
    <mergeCell ref="A34:B34"/>
    <mergeCell ref="H34:J34"/>
    <mergeCell ref="A22:J22"/>
    <mergeCell ref="B5:E5"/>
    <mergeCell ref="B6:E6"/>
    <mergeCell ref="A7:J7"/>
    <mergeCell ref="A9:J9"/>
    <mergeCell ref="A10:J10"/>
    <mergeCell ref="A11:J11"/>
    <mergeCell ref="A17:I17"/>
    <mergeCell ref="A18:I18"/>
    <mergeCell ref="A19:I19"/>
    <mergeCell ref="A20:I20"/>
    <mergeCell ref="A21:J21"/>
    <mergeCell ref="A2:A4"/>
    <mergeCell ref="B2:E2"/>
    <mergeCell ref="F2:J2"/>
    <mergeCell ref="B3:E3"/>
    <mergeCell ref="F3:J3"/>
    <mergeCell ref="B4:E4"/>
    <mergeCell ref="F4:J4"/>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5" tint="0.79998168889431442"/>
  </sheetPr>
  <dimension ref="A1:AE103"/>
  <sheetViews>
    <sheetView topLeftCell="B3" workbookViewId="0">
      <selection activeCell="G23" sqref="G23"/>
    </sheetView>
  </sheetViews>
  <sheetFormatPr defaultRowHeight="15"/>
  <cols>
    <col min="1" max="1" width="15.28515625" hidden="1" customWidth="1"/>
    <col min="2" max="2" width="11.5703125" customWidth="1"/>
    <col min="3" max="3" width="7.7109375" customWidth="1"/>
    <col min="4" max="4" width="22.42578125" customWidth="1"/>
    <col min="5" max="7" width="0" hidden="1" customWidth="1"/>
    <col min="8" max="8" width="13.7109375" hidden="1" customWidth="1"/>
    <col min="9" max="9" width="13" hidden="1" customWidth="1"/>
    <col min="10" max="10" width="0" hidden="1" customWidth="1"/>
    <col min="11" max="11" width="14.5703125" hidden="1" customWidth="1"/>
    <col min="12" max="12" width="14.140625" hidden="1" customWidth="1"/>
    <col min="13" max="13" width="12" customWidth="1"/>
    <col min="14" max="14" width="12.7109375" customWidth="1"/>
    <col min="15" max="15" width="13.140625" customWidth="1"/>
    <col min="16" max="16" width="13.28515625" customWidth="1"/>
    <col min="17" max="17" width="15.42578125" hidden="1" customWidth="1"/>
    <col min="18" max="18" width="12" hidden="1" customWidth="1"/>
    <col min="19" max="19" width="9.140625" hidden="1" customWidth="1"/>
    <col min="20" max="20" width="13.85546875" hidden="1" customWidth="1"/>
    <col min="21" max="21" width="14.28515625" hidden="1" customWidth="1"/>
    <col min="22" max="24" width="9.140625" hidden="1" customWidth="1"/>
    <col min="25" max="25" width="11.5703125" style="561" customWidth="1"/>
    <col min="26" max="26" width="13" style="561" customWidth="1"/>
    <col min="27" max="27" width="10.85546875" style="561" customWidth="1"/>
    <col min="28" max="28" width="9.140625" style="561" customWidth="1"/>
    <col min="29" max="29" width="14.42578125" customWidth="1"/>
    <col min="30" max="30" width="11.85546875" customWidth="1"/>
  </cols>
  <sheetData>
    <row r="1" spans="1:30" ht="16.5">
      <c r="A1" s="450"/>
      <c r="B1" s="450"/>
      <c r="C1" s="1560" t="s">
        <v>111</v>
      </c>
      <c r="D1" s="1560"/>
      <c r="E1" s="1560"/>
      <c r="F1" s="450"/>
      <c r="G1" s="450"/>
      <c r="H1" s="450"/>
      <c r="I1" s="1562" t="s">
        <v>112</v>
      </c>
      <c r="J1" s="1562"/>
      <c r="K1" s="1562"/>
      <c r="L1" s="1562"/>
      <c r="M1" s="1562"/>
      <c r="N1" s="1562"/>
      <c r="O1" s="1562"/>
      <c r="P1" s="450"/>
      <c r="Q1" s="450"/>
      <c r="R1" s="450"/>
      <c r="S1" s="450"/>
      <c r="T1" s="450"/>
      <c r="U1" s="450"/>
      <c r="V1" s="450"/>
      <c r="W1" s="450"/>
      <c r="X1" s="450"/>
    </row>
    <row r="2" spans="1:30" ht="16.5">
      <c r="A2" s="450"/>
      <c r="B2" s="450"/>
      <c r="C2" s="1560" t="s">
        <v>113</v>
      </c>
      <c r="D2" s="1560"/>
      <c r="E2" s="1560"/>
      <c r="F2" s="450"/>
      <c r="G2" s="450"/>
      <c r="H2" s="450"/>
      <c r="I2" s="1561" t="s">
        <v>114</v>
      </c>
      <c r="J2" s="1561"/>
      <c r="K2" s="1561"/>
      <c r="L2" s="1561"/>
      <c r="M2" s="1561"/>
      <c r="N2" s="1561"/>
      <c r="O2" s="1561"/>
      <c r="P2" s="450"/>
      <c r="Q2" s="450"/>
      <c r="R2" s="450"/>
      <c r="S2" s="450"/>
      <c r="T2" s="450"/>
      <c r="U2" s="450"/>
      <c r="V2" s="450"/>
      <c r="W2" s="450"/>
      <c r="X2" s="450"/>
    </row>
    <row r="3" spans="1:30" ht="16.5">
      <c r="A3" s="450"/>
      <c r="B3" s="450"/>
      <c r="C3" s="1561" t="s">
        <v>115</v>
      </c>
      <c r="D3" s="1561"/>
      <c r="E3" s="1561"/>
      <c r="F3" s="450"/>
      <c r="G3" s="450"/>
      <c r="H3" s="450"/>
      <c r="I3" s="450"/>
      <c r="J3" s="450"/>
      <c r="K3" s="450"/>
      <c r="L3" s="450"/>
      <c r="M3" s="450"/>
      <c r="N3" s="450"/>
      <c r="O3" s="450"/>
      <c r="P3" s="450"/>
      <c r="Q3" s="450"/>
      <c r="R3" s="450"/>
      <c r="S3" s="450"/>
      <c r="T3" s="450"/>
      <c r="U3" s="450"/>
      <c r="V3" s="450"/>
      <c r="W3" s="450"/>
      <c r="X3" s="450"/>
    </row>
    <row r="4" spans="1:30" ht="16.5">
      <c r="A4" s="450"/>
      <c r="B4" s="450"/>
      <c r="C4" s="1561" t="s">
        <v>116</v>
      </c>
      <c r="D4" s="1561"/>
      <c r="E4" s="1561"/>
      <c r="F4" s="450"/>
      <c r="G4" s="450"/>
      <c r="H4" s="450"/>
      <c r="I4" s="450"/>
      <c r="J4" s="450"/>
      <c r="K4" s="450"/>
      <c r="L4" s="450"/>
      <c r="M4" s="450"/>
      <c r="N4" s="450"/>
      <c r="O4" s="450"/>
      <c r="P4" s="450"/>
      <c r="Q4" s="450"/>
      <c r="R4" s="450"/>
      <c r="S4" s="450"/>
      <c r="T4" s="450"/>
      <c r="U4" s="450"/>
      <c r="V4" s="450"/>
      <c r="W4" s="450"/>
      <c r="X4" s="450"/>
    </row>
    <row r="5" spans="1:30" ht="16.5">
      <c r="A5" s="450"/>
      <c r="B5" s="450"/>
      <c r="C5" s="457"/>
      <c r="D5" s="457"/>
      <c r="E5" s="457"/>
      <c r="F5" s="450"/>
      <c r="G5" s="450"/>
      <c r="H5" s="450"/>
      <c r="I5" s="450"/>
      <c r="J5" s="450"/>
      <c r="K5" s="450"/>
      <c r="L5" s="450"/>
      <c r="M5" s="450"/>
      <c r="N5" s="450"/>
      <c r="O5" s="450"/>
      <c r="P5" s="450"/>
      <c r="Q5" s="450"/>
      <c r="R5" s="450"/>
      <c r="S5" s="450"/>
      <c r="T5" s="450"/>
      <c r="U5" s="450"/>
      <c r="V5" s="450"/>
      <c r="W5" s="450"/>
      <c r="X5" s="450"/>
    </row>
    <row r="6" spans="1:30" ht="20.25">
      <c r="A6" s="450"/>
      <c r="B6" s="450"/>
      <c r="C6" s="450"/>
      <c r="D6" s="450"/>
      <c r="E6" s="1563" t="s">
        <v>117</v>
      </c>
      <c r="F6" s="1563"/>
      <c r="G6" s="1563"/>
      <c r="H6" s="1563"/>
      <c r="I6" s="1563"/>
      <c r="J6" s="1563"/>
      <c r="K6" s="1563"/>
      <c r="L6" s="1563"/>
      <c r="M6" s="1563"/>
      <c r="N6" s="459"/>
      <c r="O6" s="450"/>
      <c r="P6" s="450"/>
      <c r="Q6" s="450"/>
      <c r="R6" s="450"/>
      <c r="S6" s="450"/>
      <c r="T6" s="450"/>
      <c r="U6" s="450"/>
      <c r="V6" s="450"/>
      <c r="W6" s="450"/>
      <c r="X6" s="450"/>
    </row>
    <row r="7" spans="1:30" ht="18.75">
      <c r="A7" s="450"/>
      <c r="B7" s="450"/>
      <c r="C7" s="450"/>
      <c r="D7" s="450"/>
      <c r="E7" s="1564" t="s">
        <v>898</v>
      </c>
      <c r="F7" s="1564"/>
      <c r="G7" s="1564"/>
      <c r="H7" s="1564"/>
      <c r="I7" s="1564"/>
      <c r="J7" s="1564"/>
      <c r="K7" s="1564"/>
      <c r="L7" s="1564"/>
      <c r="M7" s="1564"/>
      <c r="N7" s="458"/>
      <c r="O7" s="450"/>
      <c r="P7" s="450"/>
      <c r="Q7" s="450"/>
      <c r="R7" s="450"/>
      <c r="S7" s="450"/>
      <c r="T7" s="450"/>
      <c r="U7" s="450"/>
      <c r="V7" s="450"/>
      <c r="W7" s="450"/>
      <c r="X7" s="450"/>
    </row>
    <row r="9" spans="1:30" ht="47.25">
      <c r="A9" s="456" t="s">
        <v>118</v>
      </c>
      <c r="B9" s="456" t="s">
        <v>119</v>
      </c>
      <c r="C9" s="460" t="s">
        <v>120</v>
      </c>
      <c r="D9" s="460" t="s">
        <v>121</v>
      </c>
      <c r="E9" s="460" t="s">
        <v>122</v>
      </c>
      <c r="F9" s="460" t="s">
        <v>123</v>
      </c>
      <c r="G9" s="451" t="s">
        <v>124</v>
      </c>
      <c r="H9" s="451" t="s">
        <v>125</v>
      </c>
      <c r="I9" s="451" t="s">
        <v>126</v>
      </c>
      <c r="J9" s="451" t="s">
        <v>208</v>
      </c>
      <c r="K9" s="451" t="s">
        <v>127</v>
      </c>
      <c r="L9" s="451" t="s">
        <v>128</v>
      </c>
      <c r="M9" s="451" t="s">
        <v>129</v>
      </c>
      <c r="N9" s="451" t="s">
        <v>130</v>
      </c>
      <c r="O9" s="451" t="s">
        <v>140</v>
      </c>
      <c r="P9" s="451" t="s">
        <v>131</v>
      </c>
      <c r="Q9" s="471" t="s">
        <v>172</v>
      </c>
      <c r="R9" s="475" t="s">
        <v>173</v>
      </c>
      <c r="S9" s="450"/>
      <c r="T9" s="450"/>
      <c r="U9" s="454">
        <v>133783630</v>
      </c>
      <c r="V9" s="450"/>
      <c r="W9" s="450"/>
      <c r="X9" s="452" t="s">
        <v>899</v>
      </c>
      <c r="Y9" s="561" t="s">
        <v>1104</v>
      </c>
      <c r="AA9" s="561" t="s">
        <v>1105</v>
      </c>
      <c r="AC9" s="561" t="s">
        <v>433</v>
      </c>
    </row>
    <row r="10" spans="1:30" ht="16.5" hidden="1">
      <c r="A10" s="467" t="s">
        <v>174</v>
      </c>
      <c r="B10" s="468" t="s">
        <v>167</v>
      </c>
      <c r="C10" s="461">
        <v>1</v>
      </c>
      <c r="D10" s="455" t="s">
        <v>145</v>
      </c>
      <c r="E10" s="474">
        <v>196</v>
      </c>
      <c r="F10" s="466">
        <v>1</v>
      </c>
      <c r="G10" s="465">
        <v>20.5</v>
      </c>
      <c r="H10" s="462">
        <v>4286903</v>
      </c>
      <c r="I10" s="462">
        <v>0</v>
      </c>
      <c r="J10" s="462">
        <v>0</v>
      </c>
      <c r="K10" s="462">
        <v>4286903</v>
      </c>
      <c r="L10" s="462">
        <v>2000000</v>
      </c>
      <c r="M10" s="462">
        <v>467376</v>
      </c>
      <c r="N10" s="462">
        <v>44512</v>
      </c>
      <c r="O10" s="462">
        <v>0</v>
      </c>
      <c r="P10" s="462">
        <v>1775015</v>
      </c>
      <c r="Q10" s="472">
        <v>4288496</v>
      </c>
      <c r="R10" s="476">
        <v>-1593</v>
      </c>
      <c r="S10" s="452" t="s">
        <v>167</v>
      </c>
      <c r="T10" s="454">
        <v>3988188</v>
      </c>
      <c r="U10" s="454">
        <v>-298715</v>
      </c>
      <c r="V10" s="452">
        <v>0</v>
      </c>
      <c r="W10" s="452" t="s">
        <v>167</v>
      </c>
      <c r="X10" s="452" t="s">
        <v>900</v>
      </c>
      <c r="Y10" s="561">
        <f>IFERROR(VLOOKUP(B10,'DSOAT-T1.2025'!$B$11:$AQ$78,54,0),0)</f>
        <v>0</v>
      </c>
      <c r="Z10" s="561">
        <f>Y10-M10</f>
        <v>-467376</v>
      </c>
      <c r="AA10" s="561">
        <f>IFERROR(VLOOKUP(B10,'DSOAT-T1.2025'!$B$11:$AR$78,55,0),0)</f>
        <v>0</v>
      </c>
      <c r="AB10" s="561">
        <f>AA10-N10</f>
        <v>-44512</v>
      </c>
      <c r="AC10" s="561">
        <f>IFERROR(VLOOKUP(B10,'DSOAT-T1.2025'!$B$11:$AS$78,56,0),0)</f>
        <v>0</v>
      </c>
      <c r="AD10" s="66">
        <f>AC10-O10</f>
        <v>0</v>
      </c>
    </row>
    <row r="11" spans="1:30" ht="16.5" hidden="1">
      <c r="A11" s="467" t="s">
        <v>175</v>
      </c>
      <c r="B11" s="468" t="s">
        <v>13</v>
      </c>
      <c r="C11" s="461">
        <v>2</v>
      </c>
      <c r="D11" s="455" t="s">
        <v>14</v>
      </c>
      <c r="E11" s="474">
        <v>489</v>
      </c>
      <c r="F11" s="466">
        <v>0.95</v>
      </c>
      <c r="G11" s="465">
        <v>20.5</v>
      </c>
      <c r="H11" s="462">
        <v>10160617</v>
      </c>
      <c r="I11" s="462">
        <v>0</v>
      </c>
      <c r="J11" s="462">
        <v>0</v>
      </c>
      <c r="K11" s="462">
        <v>10160617</v>
      </c>
      <c r="L11" s="462">
        <v>2000000</v>
      </c>
      <c r="M11" s="462">
        <v>467376</v>
      </c>
      <c r="N11" s="462">
        <v>44512</v>
      </c>
      <c r="O11" s="462">
        <v>0</v>
      </c>
      <c r="P11" s="462">
        <v>7648729</v>
      </c>
      <c r="Q11" s="472">
        <v>10057399</v>
      </c>
      <c r="R11" s="476">
        <v>103218</v>
      </c>
      <c r="S11" s="452" t="s">
        <v>13</v>
      </c>
      <c r="T11" s="454">
        <v>8372993</v>
      </c>
      <c r="U11" s="454">
        <v>-1787624</v>
      </c>
      <c r="V11" s="452" t="s">
        <v>13</v>
      </c>
      <c r="W11" s="452" t="s">
        <v>13</v>
      </c>
      <c r="X11" s="452" t="s">
        <v>900</v>
      </c>
      <c r="Y11" s="561">
        <f>IFERROR(VLOOKUP(B11,'DSOAT-T1.2025'!$B$11:$AQ$78,54,0),0)</f>
        <v>0</v>
      </c>
      <c r="Z11" s="561">
        <f t="shared" ref="Z11:Z74" si="0">Y11-M11</f>
        <v>-467376</v>
      </c>
      <c r="AA11" s="561">
        <f>IFERROR(VLOOKUP(B11,'DSOAT-T1.2025'!$B$11:$AR$78,55,0),0)</f>
        <v>0</v>
      </c>
      <c r="AB11" s="561">
        <f t="shared" ref="AB11:AB74" si="1">AA11-N11</f>
        <v>-44512</v>
      </c>
      <c r="AC11" s="561">
        <f>IFERROR(VLOOKUP(B11,'DSOAT-T1.2025'!$B$11:$AS$78,56,0),0)</f>
        <v>0</v>
      </c>
      <c r="AD11" s="66">
        <f t="shared" ref="AD11:AD74" si="2">AC11-O11</f>
        <v>0</v>
      </c>
    </row>
    <row r="12" spans="1:30" ht="16.5" hidden="1">
      <c r="A12" s="467" t="s">
        <v>183</v>
      </c>
      <c r="B12" s="468" t="s">
        <v>103</v>
      </c>
      <c r="C12" s="461">
        <v>3</v>
      </c>
      <c r="D12" s="455" t="s">
        <v>104</v>
      </c>
      <c r="E12" s="474">
        <v>570</v>
      </c>
      <c r="F12" s="466">
        <v>1.01</v>
      </c>
      <c r="G12" s="465">
        <v>20.5</v>
      </c>
      <c r="H12" s="462">
        <v>12609664</v>
      </c>
      <c r="I12" s="462">
        <v>16292</v>
      </c>
      <c r="J12" s="462">
        <v>0</v>
      </c>
      <c r="K12" s="462">
        <v>12625956</v>
      </c>
      <c r="L12" s="462">
        <v>2000000</v>
      </c>
      <c r="M12" s="462">
        <v>467376</v>
      </c>
      <c r="N12" s="462">
        <v>44512</v>
      </c>
      <c r="O12" s="462">
        <v>57929</v>
      </c>
      <c r="P12" s="462">
        <v>10056139</v>
      </c>
      <c r="Q12" s="472">
        <v>12473419</v>
      </c>
      <c r="R12" s="476">
        <v>152537</v>
      </c>
      <c r="S12" s="452" t="s">
        <v>103</v>
      </c>
      <c r="T12" s="454">
        <v>9056502</v>
      </c>
      <c r="U12" s="454">
        <v>-3569454</v>
      </c>
      <c r="V12" s="452" t="s">
        <v>103</v>
      </c>
      <c r="W12" s="452" t="s">
        <v>103</v>
      </c>
      <c r="X12" s="452" t="s">
        <v>900</v>
      </c>
      <c r="Y12" s="561">
        <f>IFERROR(VLOOKUP(B12,'DSOAT-T1.2025'!$B$11:$AQ$78,54,0),0)</f>
        <v>0</v>
      </c>
      <c r="Z12" s="561">
        <f t="shared" si="0"/>
        <v>-467376</v>
      </c>
      <c r="AA12" s="561">
        <f>IFERROR(VLOOKUP(B12,'DSOAT-T1.2025'!$B$11:$AR$78,55,0),0)</f>
        <v>0</v>
      </c>
      <c r="AB12" s="561">
        <f t="shared" si="1"/>
        <v>-44512</v>
      </c>
      <c r="AC12" s="561">
        <f>IFERROR(VLOOKUP(B12,'DSOAT-T1.2025'!$B$11:$AS$78,56,0),0)</f>
        <v>0</v>
      </c>
      <c r="AD12" s="66">
        <f t="shared" si="2"/>
        <v>-57929</v>
      </c>
    </row>
    <row r="13" spans="1:30" ht="16.5" hidden="1">
      <c r="A13" s="467" t="s">
        <v>175</v>
      </c>
      <c r="B13" s="468" t="s">
        <v>21</v>
      </c>
      <c r="C13" s="461">
        <v>4</v>
      </c>
      <c r="D13" s="455" t="s">
        <v>22</v>
      </c>
      <c r="E13" s="474">
        <v>290</v>
      </c>
      <c r="F13" s="466">
        <v>1.06</v>
      </c>
      <c r="G13" s="465">
        <v>20.5</v>
      </c>
      <c r="H13" s="462">
        <v>6723439</v>
      </c>
      <c r="I13" s="462">
        <v>125629</v>
      </c>
      <c r="J13" s="462">
        <v>0</v>
      </c>
      <c r="K13" s="462">
        <v>6849068</v>
      </c>
      <c r="L13" s="462">
        <v>2000000</v>
      </c>
      <c r="M13" s="462">
        <v>467376</v>
      </c>
      <c r="N13" s="462">
        <v>44512</v>
      </c>
      <c r="O13" s="462">
        <v>0</v>
      </c>
      <c r="P13" s="462">
        <v>4337180</v>
      </c>
      <c r="Q13" s="472">
        <v>6631329</v>
      </c>
      <c r="R13" s="476">
        <v>217739</v>
      </c>
      <c r="S13" s="452" t="s">
        <v>21</v>
      </c>
      <c r="T13" s="454">
        <v>5370932</v>
      </c>
      <c r="U13" s="454">
        <v>-1478136</v>
      </c>
      <c r="V13" s="452">
        <v>0</v>
      </c>
      <c r="W13" s="452" t="s">
        <v>21</v>
      </c>
      <c r="X13" s="452" t="s">
        <v>900</v>
      </c>
      <c r="Y13" s="561">
        <f>IFERROR(VLOOKUP(B13,'DSOAT-T1.2025'!$B$11:$AQ$78,54,0),0)</f>
        <v>0</v>
      </c>
      <c r="Z13" s="561">
        <f t="shared" si="0"/>
        <v>-467376</v>
      </c>
      <c r="AA13" s="561">
        <f>IFERROR(VLOOKUP(B13,'DSOAT-T1.2025'!$B$11:$AR$78,55,0),0)</f>
        <v>0</v>
      </c>
      <c r="AB13" s="561">
        <f t="shared" si="1"/>
        <v>-44512</v>
      </c>
      <c r="AC13" s="561">
        <f>IFERROR(VLOOKUP(B13,'DSOAT-T1.2025'!$B$11:$AS$78,56,0),0)</f>
        <v>0</v>
      </c>
      <c r="AD13" s="66">
        <f t="shared" si="2"/>
        <v>0</v>
      </c>
    </row>
    <row r="14" spans="1:30" ht="16.5" hidden="1">
      <c r="A14" s="467" t="s">
        <v>176</v>
      </c>
      <c r="B14" s="468" t="s">
        <v>16</v>
      </c>
      <c r="C14" s="461">
        <v>5</v>
      </c>
      <c r="D14" s="455" t="s">
        <v>17</v>
      </c>
      <c r="E14" s="474">
        <v>379</v>
      </c>
      <c r="F14" s="466">
        <v>1.2</v>
      </c>
      <c r="G14" s="465">
        <v>20.5</v>
      </c>
      <c r="H14" s="462">
        <v>9947365</v>
      </c>
      <c r="I14" s="462">
        <v>110369</v>
      </c>
      <c r="J14" s="462">
        <v>0</v>
      </c>
      <c r="K14" s="462">
        <v>10057734</v>
      </c>
      <c r="L14" s="462">
        <v>2000000</v>
      </c>
      <c r="M14" s="462">
        <v>467376</v>
      </c>
      <c r="N14" s="462">
        <v>44512</v>
      </c>
      <c r="O14" s="462">
        <v>0</v>
      </c>
      <c r="P14" s="462">
        <v>7545846</v>
      </c>
      <c r="Q14" s="472">
        <v>10343372</v>
      </c>
      <c r="R14" s="476">
        <v>-285638</v>
      </c>
      <c r="S14" s="452" t="s">
        <v>16</v>
      </c>
      <c r="T14" s="454">
        <v>5957995</v>
      </c>
      <c r="U14" s="454">
        <v>-4099739</v>
      </c>
      <c r="V14" s="452" t="s">
        <v>16</v>
      </c>
      <c r="W14" s="452" t="s">
        <v>16</v>
      </c>
      <c r="X14" s="452" t="s">
        <v>900</v>
      </c>
      <c r="Y14" s="561">
        <f>IFERROR(VLOOKUP(B14,'DSOAT-T1.2025'!$B$11:$AQ$78,54,0),0)</f>
        <v>0</v>
      </c>
      <c r="Z14" s="561">
        <f t="shared" si="0"/>
        <v>-467376</v>
      </c>
      <c r="AA14" s="561">
        <f>IFERROR(VLOOKUP(B14,'DSOAT-T1.2025'!$B$11:$AR$78,55,0),0)</f>
        <v>0</v>
      </c>
      <c r="AB14" s="561">
        <f t="shared" si="1"/>
        <v>-44512</v>
      </c>
      <c r="AC14" s="561">
        <f>IFERROR(VLOOKUP(B14,'DSOAT-T1.2025'!$B$11:$AS$78,56,0),0)</f>
        <v>0</v>
      </c>
      <c r="AD14" s="66">
        <f t="shared" si="2"/>
        <v>0</v>
      </c>
    </row>
    <row r="15" spans="1:30" ht="16.5" hidden="1">
      <c r="A15" s="467" t="s">
        <v>176</v>
      </c>
      <c r="B15" s="468" t="s">
        <v>157</v>
      </c>
      <c r="C15" s="461">
        <v>6</v>
      </c>
      <c r="D15" s="455" t="s">
        <v>144</v>
      </c>
      <c r="E15" s="474">
        <v>379</v>
      </c>
      <c r="F15" s="466">
        <v>1.38</v>
      </c>
      <c r="G15" s="465">
        <v>20.5</v>
      </c>
      <c r="H15" s="462">
        <v>11439470</v>
      </c>
      <c r="I15" s="462">
        <v>268429</v>
      </c>
      <c r="J15" s="462">
        <v>0</v>
      </c>
      <c r="K15" s="462">
        <v>11707899</v>
      </c>
      <c r="L15" s="462">
        <v>2000000</v>
      </c>
      <c r="M15" s="462">
        <v>467376</v>
      </c>
      <c r="N15" s="462">
        <v>44512</v>
      </c>
      <c r="O15" s="462">
        <v>12026</v>
      </c>
      <c r="P15" s="462">
        <v>9183985</v>
      </c>
      <c r="Q15" s="472">
        <v>10272019</v>
      </c>
      <c r="R15" s="476">
        <v>1435880</v>
      </c>
      <c r="S15" s="452" t="s">
        <v>157</v>
      </c>
      <c r="T15" s="454">
        <v>8981838</v>
      </c>
      <c r="U15" s="454">
        <v>-2726061</v>
      </c>
      <c r="V15" s="452" t="s">
        <v>157</v>
      </c>
      <c r="W15" s="452" t="s">
        <v>157</v>
      </c>
      <c r="X15" s="452" t="s">
        <v>900</v>
      </c>
      <c r="Y15" s="561">
        <f>IFERROR(VLOOKUP(B15,'DSOAT-T1.2025'!$B$11:$AQ$78,54,0),0)</f>
        <v>0</v>
      </c>
      <c r="Z15" s="561">
        <f t="shared" si="0"/>
        <v>-467376</v>
      </c>
      <c r="AA15" s="561">
        <f>IFERROR(VLOOKUP(B15,'DSOAT-T1.2025'!$B$11:$AR$78,55,0),0)</f>
        <v>0</v>
      </c>
      <c r="AB15" s="561">
        <f t="shared" si="1"/>
        <v>-44512</v>
      </c>
      <c r="AC15" s="561">
        <f>IFERROR(VLOOKUP(B15,'DSOAT-T1.2025'!$B$11:$AS$78,56,0),0)</f>
        <v>0</v>
      </c>
      <c r="AD15" s="66">
        <f t="shared" si="2"/>
        <v>-12026</v>
      </c>
    </row>
    <row r="16" spans="1:30" ht="16.5" hidden="1">
      <c r="A16" s="467" t="s">
        <v>177</v>
      </c>
      <c r="B16" s="468" t="s">
        <v>107</v>
      </c>
      <c r="C16" s="461">
        <v>7</v>
      </c>
      <c r="D16" s="455" t="s">
        <v>108</v>
      </c>
      <c r="E16" s="474">
        <v>543</v>
      </c>
      <c r="F16" s="466">
        <v>0.87</v>
      </c>
      <c r="G16" s="465">
        <v>20.5</v>
      </c>
      <c r="H16" s="462">
        <v>10392331</v>
      </c>
      <c r="I16" s="462">
        <v>0</v>
      </c>
      <c r="J16" s="462">
        <v>0</v>
      </c>
      <c r="K16" s="462">
        <v>10392331</v>
      </c>
      <c r="L16" s="462">
        <v>2000000</v>
      </c>
      <c r="M16" s="462">
        <v>467376</v>
      </c>
      <c r="N16" s="462">
        <v>44512</v>
      </c>
      <c r="O16" s="462">
        <v>0</v>
      </c>
      <c r="P16" s="462">
        <v>7880443</v>
      </c>
      <c r="Q16" s="472">
        <v>9861135</v>
      </c>
      <c r="R16" s="476">
        <v>531196</v>
      </c>
      <c r="S16" s="452" t="s">
        <v>107</v>
      </c>
      <c r="T16" s="454">
        <v>9297618</v>
      </c>
      <c r="U16" s="454">
        <v>-1094713</v>
      </c>
      <c r="V16" s="452" t="s">
        <v>107</v>
      </c>
      <c r="W16" s="452" t="s">
        <v>107</v>
      </c>
      <c r="X16" s="450"/>
      <c r="Y16" s="561">
        <f>IFERROR(VLOOKUP(B16,'DSOAT-T1.2025'!$B$11:$AQ$78,54,0),0)</f>
        <v>0</v>
      </c>
      <c r="Z16" s="561">
        <f t="shared" si="0"/>
        <v>-467376</v>
      </c>
      <c r="AA16" s="561">
        <f>IFERROR(VLOOKUP(B16,'DSOAT-T1.2025'!$B$11:$AR$78,55,0),0)</f>
        <v>0</v>
      </c>
      <c r="AB16" s="561">
        <f t="shared" si="1"/>
        <v>-44512</v>
      </c>
      <c r="AC16" s="561">
        <f>IFERROR(VLOOKUP(B16,'DSOAT-T1.2025'!$B$11:$AS$78,56,0),0)</f>
        <v>0</v>
      </c>
      <c r="AD16" s="66">
        <f t="shared" si="2"/>
        <v>0</v>
      </c>
    </row>
    <row r="17" spans="1:30" ht="16.5" hidden="1">
      <c r="A17" s="467" t="s">
        <v>178</v>
      </c>
      <c r="B17" s="468" t="s">
        <v>36</v>
      </c>
      <c r="C17" s="461">
        <v>8</v>
      </c>
      <c r="D17" s="455" t="s">
        <v>37</v>
      </c>
      <c r="E17" s="474">
        <v>489</v>
      </c>
      <c r="F17" s="466">
        <v>1</v>
      </c>
      <c r="G17" s="465">
        <v>20.5</v>
      </c>
      <c r="H17" s="462">
        <v>10636603</v>
      </c>
      <c r="I17" s="462">
        <v>21572</v>
      </c>
      <c r="J17" s="462">
        <v>0</v>
      </c>
      <c r="K17" s="462">
        <v>10658175</v>
      </c>
      <c r="L17" s="462">
        <v>2000000</v>
      </c>
      <c r="M17" s="462">
        <v>467376</v>
      </c>
      <c r="N17" s="462">
        <v>44512</v>
      </c>
      <c r="O17" s="462">
        <v>0</v>
      </c>
      <c r="P17" s="462">
        <v>8146287</v>
      </c>
      <c r="Q17" s="472">
        <v>10659385</v>
      </c>
      <c r="R17" s="476">
        <v>-1210</v>
      </c>
      <c r="S17" s="452" t="s">
        <v>36</v>
      </c>
      <c r="T17" s="454">
        <v>8297924</v>
      </c>
      <c r="U17" s="454">
        <v>-2360251</v>
      </c>
      <c r="V17" s="452" t="s">
        <v>36</v>
      </c>
      <c r="W17" s="452" t="s">
        <v>36</v>
      </c>
      <c r="X17" s="452" t="s">
        <v>900</v>
      </c>
      <c r="Y17" s="561">
        <f>IFERROR(VLOOKUP(B17,'DSOAT-T1.2025'!$B$11:$AQ$78,54,0),0)</f>
        <v>0</v>
      </c>
      <c r="Z17" s="561">
        <f t="shared" si="0"/>
        <v>-467376</v>
      </c>
      <c r="AA17" s="561">
        <f>IFERROR(VLOOKUP(B17,'DSOAT-T1.2025'!$B$11:$AR$78,55,0),0)</f>
        <v>0</v>
      </c>
      <c r="AB17" s="561">
        <f t="shared" si="1"/>
        <v>-44512</v>
      </c>
      <c r="AC17" s="561">
        <f>IFERROR(VLOOKUP(B17,'DSOAT-T1.2025'!$B$11:$AS$78,56,0),0)</f>
        <v>0</v>
      </c>
      <c r="AD17" s="66">
        <f t="shared" si="2"/>
        <v>0</v>
      </c>
    </row>
    <row r="18" spans="1:30" ht="16.5" hidden="1">
      <c r="A18" s="467" t="s">
        <v>189</v>
      </c>
      <c r="B18" s="468" t="s">
        <v>156</v>
      </c>
      <c r="C18" s="461">
        <v>9</v>
      </c>
      <c r="D18" s="455" t="s">
        <v>143</v>
      </c>
      <c r="E18" s="474">
        <v>355</v>
      </c>
      <c r="F18" s="466">
        <v>0.85</v>
      </c>
      <c r="G18" s="465">
        <v>23.5</v>
      </c>
      <c r="H18" s="462">
        <v>2471949</v>
      </c>
      <c r="I18" s="462">
        <v>7461388</v>
      </c>
      <c r="J18" s="462">
        <v>0</v>
      </c>
      <c r="K18" s="462">
        <v>9933337</v>
      </c>
      <c r="L18" s="462">
        <v>2000000</v>
      </c>
      <c r="M18" s="462">
        <v>467376</v>
      </c>
      <c r="N18" s="462">
        <v>44512</v>
      </c>
      <c r="O18" s="462">
        <v>0</v>
      </c>
      <c r="P18" s="462">
        <v>7421449</v>
      </c>
      <c r="Q18" s="472">
        <v>9058557</v>
      </c>
      <c r="R18" s="476">
        <v>874780</v>
      </c>
      <c r="S18" s="452" t="s">
        <v>156</v>
      </c>
      <c r="T18" s="454">
        <v>7738386</v>
      </c>
      <c r="U18" s="454">
        <v>-2194951</v>
      </c>
      <c r="V18" s="452" t="s">
        <v>156</v>
      </c>
      <c r="W18" s="452" t="s">
        <v>156</v>
      </c>
      <c r="X18" s="450"/>
      <c r="Y18" s="561">
        <f>IFERROR(VLOOKUP(B18,'DSOAT-T1.2025'!$B$11:$AQ$78,54,0),0)</f>
        <v>0</v>
      </c>
      <c r="Z18" s="561">
        <f t="shared" si="0"/>
        <v>-467376</v>
      </c>
      <c r="AA18" s="561">
        <f>IFERROR(VLOOKUP(B18,'DSOAT-T1.2025'!$B$11:$AR$78,55,0),0)</f>
        <v>0</v>
      </c>
      <c r="AB18" s="561">
        <f t="shared" si="1"/>
        <v>-44512</v>
      </c>
      <c r="AC18" s="561">
        <f>IFERROR(VLOOKUP(B18,'DSOAT-T1.2025'!$B$11:$AS$78,56,0),0)</f>
        <v>0</v>
      </c>
      <c r="AD18" s="66">
        <f t="shared" si="2"/>
        <v>0</v>
      </c>
    </row>
    <row r="19" spans="1:30" ht="16.5" hidden="1">
      <c r="A19" s="467" t="s">
        <v>189</v>
      </c>
      <c r="B19" s="468" t="s">
        <v>155</v>
      </c>
      <c r="C19" s="461">
        <v>10</v>
      </c>
      <c r="D19" s="455" t="s">
        <v>142</v>
      </c>
      <c r="E19" s="474">
        <v>355</v>
      </c>
      <c r="F19" s="466">
        <v>1.21</v>
      </c>
      <c r="G19" s="465">
        <v>23.5</v>
      </c>
      <c r="H19" s="462">
        <v>3518891</v>
      </c>
      <c r="I19" s="462">
        <v>6312503</v>
      </c>
      <c r="J19" s="462">
        <v>0</v>
      </c>
      <c r="K19" s="462">
        <v>9831394</v>
      </c>
      <c r="L19" s="462">
        <v>2000000</v>
      </c>
      <c r="M19" s="462">
        <v>467376</v>
      </c>
      <c r="N19" s="462">
        <v>44512</v>
      </c>
      <c r="O19" s="462">
        <v>0</v>
      </c>
      <c r="P19" s="462">
        <v>7319506</v>
      </c>
      <c r="Q19" s="472">
        <v>8968366</v>
      </c>
      <c r="R19" s="476">
        <v>863028</v>
      </c>
      <c r="S19" s="452" t="s">
        <v>155</v>
      </c>
      <c r="T19" s="454">
        <v>7538592</v>
      </c>
      <c r="U19" s="454">
        <v>-2292802</v>
      </c>
      <c r="V19" s="452" t="s">
        <v>155</v>
      </c>
      <c r="W19" s="452" t="s">
        <v>155</v>
      </c>
      <c r="X19" s="450"/>
      <c r="Y19" s="561">
        <f>IFERROR(VLOOKUP(B19,'DSOAT-T1.2025'!$B$11:$AQ$78,54,0),0)</f>
        <v>0</v>
      </c>
      <c r="Z19" s="561">
        <f t="shared" si="0"/>
        <v>-467376</v>
      </c>
      <c r="AA19" s="561">
        <f>IFERROR(VLOOKUP(B19,'DSOAT-T1.2025'!$B$11:$AR$78,55,0),0)</f>
        <v>0</v>
      </c>
      <c r="AB19" s="561">
        <f t="shared" si="1"/>
        <v>-44512</v>
      </c>
      <c r="AC19" s="561">
        <f>IFERROR(VLOOKUP(B19,'DSOAT-T1.2025'!$B$11:$AS$78,56,0),0)</f>
        <v>0</v>
      </c>
      <c r="AD19" s="66">
        <f t="shared" si="2"/>
        <v>0</v>
      </c>
    </row>
    <row r="20" spans="1:30" ht="16.5" hidden="1">
      <c r="A20" s="467" t="s">
        <v>178</v>
      </c>
      <c r="B20" s="468" t="s">
        <v>34</v>
      </c>
      <c r="C20" s="461">
        <v>11</v>
      </c>
      <c r="D20" s="455" t="s">
        <v>35</v>
      </c>
      <c r="E20" s="474">
        <v>438</v>
      </c>
      <c r="F20" s="466">
        <v>1.1200000000000001</v>
      </c>
      <c r="G20" s="465">
        <v>23.5</v>
      </c>
      <c r="H20" s="462">
        <v>10670535</v>
      </c>
      <c r="I20" s="462">
        <v>2705009</v>
      </c>
      <c r="J20" s="462">
        <v>0</v>
      </c>
      <c r="K20" s="462">
        <v>13375544</v>
      </c>
      <c r="L20" s="462">
        <v>2000000</v>
      </c>
      <c r="M20" s="462">
        <v>467376</v>
      </c>
      <c r="N20" s="462">
        <v>44512</v>
      </c>
      <c r="O20" s="462">
        <v>95408</v>
      </c>
      <c r="P20" s="462">
        <v>10768248</v>
      </c>
      <c r="Q20" s="472">
        <v>14252482</v>
      </c>
      <c r="R20" s="476">
        <v>-876938</v>
      </c>
      <c r="S20" s="452" t="s">
        <v>34</v>
      </c>
      <c r="T20" s="454">
        <v>7399021</v>
      </c>
      <c r="U20" s="454">
        <v>-5976523</v>
      </c>
      <c r="V20" s="452" t="s">
        <v>34</v>
      </c>
      <c r="W20" s="452" t="s">
        <v>34</v>
      </c>
      <c r="X20" s="452" t="s">
        <v>900</v>
      </c>
      <c r="Y20" s="561">
        <f>IFERROR(VLOOKUP(B20,'DSOAT-T1.2025'!$B$11:$AQ$78,54,0),0)</f>
        <v>0</v>
      </c>
      <c r="Z20" s="561">
        <f t="shared" si="0"/>
        <v>-467376</v>
      </c>
      <c r="AA20" s="561">
        <f>IFERROR(VLOOKUP(B20,'DSOAT-T1.2025'!$B$11:$AR$78,55,0),0)</f>
        <v>0</v>
      </c>
      <c r="AB20" s="561">
        <f t="shared" si="1"/>
        <v>-44512</v>
      </c>
      <c r="AC20" s="561">
        <f>IFERROR(VLOOKUP(B20,'DSOAT-T1.2025'!$B$11:$AS$78,56,0),0)</f>
        <v>0</v>
      </c>
      <c r="AD20" s="66">
        <f t="shared" si="2"/>
        <v>-95408</v>
      </c>
    </row>
    <row r="21" spans="1:30" ht="16.5" hidden="1">
      <c r="A21" s="467" t="s">
        <v>178</v>
      </c>
      <c r="B21" s="468" t="s">
        <v>38</v>
      </c>
      <c r="C21" s="461">
        <v>12</v>
      </c>
      <c r="D21" s="455" t="s">
        <v>39</v>
      </c>
      <c r="E21" s="474">
        <v>418</v>
      </c>
      <c r="F21" s="466">
        <v>1.43</v>
      </c>
      <c r="G21" s="465">
        <v>26</v>
      </c>
      <c r="H21" s="462">
        <v>4869798</v>
      </c>
      <c r="I21" s="462">
        <v>10077154</v>
      </c>
      <c r="J21" s="462">
        <v>0</v>
      </c>
      <c r="K21" s="462">
        <v>14946952</v>
      </c>
      <c r="L21" s="462">
        <v>2000000</v>
      </c>
      <c r="M21" s="462">
        <v>467376</v>
      </c>
      <c r="N21" s="462">
        <v>44512</v>
      </c>
      <c r="O21" s="462">
        <v>414258</v>
      </c>
      <c r="P21" s="462">
        <v>12020806</v>
      </c>
      <c r="Q21" s="472">
        <v>15376690</v>
      </c>
      <c r="R21" s="476">
        <v>-429738</v>
      </c>
      <c r="S21" s="452" t="s">
        <v>38</v>
      </c>
      <c r="T21" s="454">
        <v>15180519</v>
      </c>
      <c r="U21" s="454">
        <v>233567</v>
      </c>
      <c r="V21" s="452" t="s">
        <v>38</v>
      </c>
      <c r="W21" s="452" t="s">
        <v>38</v>
      </c>
      <c r="X21" s="450"/>
      <c r="Y21" s="561">
        <f>IFERROR(VLOOKUP(B21,'DSOAT-T1.2025'!$B$11:$AQ$78,54,0),0)</f>
        <v>0</v>
      </c>
      <c r="Z21" s="561">
        <f t="shared" si="0"/>
        <v>-467376</v>
      </c>
      <c r="AA21" s="561">
        <f>IFERROR(VLOOKUP(B21,'DSOAT-T1.2025'!$B$11:$AR$78,55,0),0)</f>
        <v>0</v>
      </c>
      <c r="AB21" s="561">
        <f t="shared" si="1"/>
        <v>-44512</v>
      </c>
      <c r="AC21" s="561">
        <f>IFERROR(VLOOKUP(B21,'DSOAT-T1.2025'!$B$11:$AS$78,56,0),0)</f>
        <v>0</v>
      </c>
      <c r="AD21" s="66">
        <f t="shared" si="2"/>
        <v>-414258</v>
      </c>
    </row>
    <row r="22" spans="1:30" ht="16.5" hidden="1">
      <c r="A22" s="467" t="s">
        <v>178</v>
      </c>
      <c r="B22" s="468" t="s">
        <v>24</v>
      </c>
      <c r="C22" s="461">
        <v>13</v>
      </c>
      <c r="D22" s="455" t="s">
        <v>25</v>
      </c>
      <c r="E22" s="474">
        <v>394</v>
      </c>
      <c r="F22" s="466">
        <v>1.1200000000000001</v>
      </c>
      <c r="G22" s="465">
        <v>22.5</v>
      </c>
      <c r="H22" s="462">
        <v>9598609</v>
      </c>
      <c r="I22" s="462">
        <v>1330521</v>
      </c>
      <c r="J22" s="462">
        <v>0</v>
      </c>
      <c r="K22" s="462">
        <v>10929130</v>
      </c>
      <c r="L22" s="462">
        <v>2000000</v>
      </c>
      <c r="M22" s="462">
        <v>467376</v>
      </c>
      <c r="N22" s="462">
        <v>44512</v>
      </c>
      <c r="O22" s="462">
        <v>0</v>
      </c>
      <c r="P22" s="462">
        <v>8417242</v>
      </c>
      <c r="Q22" s="472">
        <v>11217515</v>
      </c>
      <c r="R22" s="476">
        <v>-288385</v>
      </c>
      <c r="S22" s="452" t="s">
        <v>24</v>
      </c>
      <c r="T22" s="454">
        <v>9266667</v>
      </c>
      <c r="U22" s="454">
        <v>-1662463</v>
      </c>
      <c r="V22" s="452" t="s">
        <v>24</v>
      </c>
      <c r="W22" s="452" t="s">
        <v>24</v>
      </c>
      <c r="X22" s="452" t="s">
        <v>900</v>
      </c>
      <c r="Y22" s="561">
        <f>IFERROR(VLOOKUP(B22,'DSOAT-T1.2025'!$B$11:$AQ$78,54,0),0)</f>
        <v>0</v>
      </c>
      <c r="Z22" s="561">
        <f t="shared" si="0"/>
        <v>-467376</v>
      </c>
      <c r="AA22" s="561">
        <f>IFERROR(VLOOKUP(B22,'DSOAT-T1.2025'!$B$11:$AR$78,55,0),0)</f>
        <v>0</v>
      </c>
      <c r="AB22" s="561">
        <f t="shared" si="1"/>
        <v>-44512</v>
      </c>
      <c r="AC22" s="561">
        <f>IFERROR(VLOOKUP(B22,'DSOAT-T1.2025'!$B$11:$AS$78,56,0),0)</f>
        <v>0</v>
      </c>
      <c r="AD22" s="66">
        <f t="shared" si="2"/>
        <v>0</v>
      </c>
    </row>
    <row r="23" spans="1:30" ht="16.5" hidden="1">
      <c r="A23" s="467" t="s">
        <v>183</v>
      </c>
      <c r="B23" s="468" t="s">
        <v>26</v>
      </c>
      <c r="C23" s="461">
        <v>14</v>
      </c>
      <c r="D23" s="455" t="s">
        <v>27</v>
      </c>
      <c r="E23" s="474">
        <v>418</v>
      </c>
      <c r="F23" s="466">
        <v>1.45</v>
      </c>
      <c r="G23" s="465">
        <v>25.5</v>
      </c>
      <c r="H23" s="462">
        <v>4972286</v>
      </c>
      <c r="I23" s="462">
        <v>3095613</v>
      </c>
      <c r="J23" s="462">
        <v>0</v>
      </c>
      <c r="K23" s="462">
        <v>8067899</v>
      </c>
      <c r="L23" s="462">
        <v>2000000</v>
      </c>
      <c r="M23" s="462">
        <v>467376</v>
      </c>
      <c r="N23" s="462">
        <v>44512</v>
      </c>
      <c r="O23" s="462">
        <v>0</v>
      </c>
      <c r="P23" s="462">
        <v>5556011</v>
      </c>
      <c r="Q23" s="472">
        <v>7788174</v>
      </c>
      <c r="R23" s="476">
        <v>279725</v>
      </c>
      <c r="S23" s="452" t="s">
        <v>26</v>
      </c>
      <c r="T23" s="454">
        <v>9882752</v>
      </c>
      <c r="U23" s="454">
        <v>1814853</v>
      </c>
      <c r="V23" s="452" t="s">
        <v>26</v>
      </c>
      <c r="W23" s="452" t="s">
        <v>26</v>
      </c>
      <c r="X23" s="450"/>
      <c r="Y23" s="561">
        <f>IFERROR(VLOOKUP(B23,'DSOAT-T1.2025'!$B$11:$AQ$78,54,0),0)</f>
        <v>0</v>
      </c>
      <c r="Z23" s="561">
        <f t="shared" si="0"/>
        <v>-467376</v>
      </c>
      <c r="AA23" s="561">
        <f>IFERROR(VLOOKUP(B23,'DSOAT-T1.2025'!$B$11:$AR$78,55,0),0)</f>
        <v>0</v>
      </c>
      <c r="AB23" s="561">
        <f t="shared" si="1"/>
        <v>-44512</v>
      </c>
      <c r="AC23" s="561">
        <f>IFERROR(VLOOKUP(B23,'DSOAT-T1.2025'!$B$11:$AS$78,56,0),0)</f>
        <v>0</v>
      </c>
      <c r="AD23" s="66">
        <f t="shared" si="2"/>
        <v>0</v>
      </c>
    </row>
    <row r="24" spans="1:30" ht="16.5" hidden="1">
      <c r="A24" s="467" t="s">
        <v>178</v>
      </c>
      <c r="B24" s="468" t="s">
        <v>28</v>
      </c>
      <c r="C24" s="461">
        <v>15</v>
      </c>
      <c r="D24" s="455" t="s">
        <v>29</v>
      </c>
      <c r="E24" s="474">
        <v>418</v>
      </c>
      <c r="F24" s="466">
        <v>1.42</v>
      </c>
      <c r="G24" s="465">
        <v>26</v>
      </c>
      <c r="H24" s="462">
        <v>4835743</v>
      </c>
      <c r="I24" s="462">
        <v>3566200</v>
      </c>
      <c r="J24" s="462">
        <v>0</v>
      </c>
      <c r="K24" s="462">
        <v>8401943</v>
      </c>
      <c r="L24" s="462">
        <v>2000000</v>
      </c>
      <c r="M24" s="462">
        <v>467376</v>
      </c>
      <c r="N24" s="462">
        <v>44512</v>
      </c>
      <c r="O24" s="462">
        <v>0</v>
      </c>
      <c r="P24" s="462">
        <v>5890055</v>
      </c>
      <c r="Q24" s="472">
        <v>8852945</v>
      </c>
      <c r="R24" s="476">
        <v>-451002</v>
      </c>
      <c r="S24" s="452" t="s">
        <v>28</v>
      </c>
      <c r="T24" s="454">
        <v>8410936</v>
      </c>
      <c r="U24" s="454">
        <v>8993</v>
      </c>
      <c r="V24" s="452" t="s">
        <v>28</v>
      </c>
      <c r="W24" s="452" t="s">
        <v>28</v>
      </c>
      <c r="X24" s="450"/>
      <c r="Y24" s="561">
        <f>IFERROR(VLOOKUP(B24,'DSOAT-T1.2025'!$B$11:$AQ$78,54,0),0)</f>
        <v>0</v>
      </c>
      <c r="Z24" s="561">
        <f t="shared" si="0"/>
        <v>-467376</v>
      </c>
      <c r="AA24" s="561">
        <f>IFERROR(VLOOKUP(B24,'DSOAT-T1.2025'!$B$11:$AR$78,55,0),0)</f>
        <v>0</v>
      </c>
      <c r="AB24" s="561">
        <f t="shared" si="1"/>
        <v>-44512</v>
      </c>
      <c r="AC24" s="561">
        <f>IFERROR(VLOOKUP(B24,'DSOAT-T1.2025'!$B$11:$AS$78,56,0),0)</f>
        <v>0</v>
      </c>
      <c r="AD24" s="66">
        <f t="shared" si="2"/>
        <v>0</v>
      </c>
    </row>
    <row r="25" spans="1:30" ht="16.5" hidden="1">
      <c r="A25" s="467" t="s">
        <v>178</v>
      </c>
      <c r="B25" s="468" t="s">
        <v>30</v>
      </c>
      <c r="C25" s="461">
        <v>16</v>
      </c>
      <c r="D25" s="455" t="s">
        <v>31</v>
      </c>
      <c r="E25" s="474">
        <v>418</v>
      </c>
      <c r="F25" s="466">
        <v>1.35</v>
      </c>
      <c r="G25" s="465">
        <v>24</v>
      </c>
      <c r="H25" s="462">
        <v>4597361</v>
      </c>
      <c r="I25" s="462">
        <v>2306921</v>
      </c>
      <c r="J25" s="462">
        <v>0</v>
      </c>
      <c r="K25" s="462">
        <v>6904282</v>
      </c>
      <c r="L25" s="462">
        <v>2000000</v>
      </c>
      <c r="M25" s="462">
        <v>467376</v>
      </c>
      <c r="N25" s="462">
        <v>44512</v>
      </c>
      <c r="O25" s="462">
        <v>0</v>
      </c>
      <c r="P25" s="462">
        <v>4392394</v>
      </c>
      <c r="Q25" s="472">
        <v>7375237</v>
      </c>
      <c r="R25" s="476">
        <v>-470955</v>
      </c>
      <c r="S25" s="452" t="s">
        <v>30</v>
      </c>
      <c r="T25" s="454">
        <v>9560145</v>
      </c>
      <c r="U25" s="454">
        <v>2655863</v>
      </c>
      <c r="V25" s="452" t="s">
        <v>30</v>
      </c>
      <c r="W25" s="452" t="s">
        <v>30</v>
      </c>
      <c r="X25" s="450"/>
      <c r="Y25" s="561">
        <f>IFERROR(VLOOKUP(B25,'DSOAT-T1.2025'!$B$11:$AQ$78,54,0),0)</f>
        <v>0</v>
      </c>
      <c r="Z25" s="561">
        <f t="shared" si="0"/>
        <v>-467376</v>
      </c>
      <c r="AA25" s="561">
        <f>IFERROR(VLOOKUP(B25,'DSOAT-T1.2025'!$B$11:$AR$78,55,0),0)</f>
        <v>0</v>
      </c>
      <c r="AB25" s="561">
        <f t="shared" si="1"/>
        <v>-44512</v>
      </c>
      <c r="AC25" s="561">
        <f>IFERROR(VLOOKUP(B25,'DSOAT-T1.2025'!$B$11:$AS$78,56,0),0)</f>
        <v>0</v>
      </c>
      <c r="AD25" s="66">
        <f t="shared" si="2"/>
        <v>0</v>
      </c>
    </row>
    <row r="26" spans="1:30" ht="16.5">
      <c r="A26" s="467" t="s">
        <v>176</v>
      </c>
      <c r="B26" s="468" t="s">
        <v>32</v>
      </c>
      <c r="C26" s="461">
        <v>17</v>
      </c>
      <c r="D26" s="455" t="s">
        <v>33</v>
      </c>
      <c r="E26" s="474">
        <v>379</v>
      </c>
      <c r="F26" s="466">
        <v>1</v>
      </c>
      <c r="G26" s="465">
        <v>6.5</v>
      </c>
      <c r="H26" s="462">
        <v>2628369</v>
      </c>
      <c r="I26" s="462">
        <v>0</v>
      </c>
      <c r="J26" s="462">
        <v>0</v>
      </c>
      <c r="K26" s="462">
        <v>2628369</v>
      </c>
      <c r="L26" s="462">
        <v>0</v>
      </c>
      <c r="M26" s="462">
        <v>0</v>
      </c>
      <c r="N26" s="462">
        <v>44512</v>
      </c>
      <c r="O26" s="462">
        <v>0</v>
      </c>
      <c r="P26" s="462">
        <v>2583857</v>
      </c>
      <c r="Q26" s="472">
        <v>9331767</v>
      </c>
      <c r="R26" s="476">
        <v>-6703398</v>
      </c>
      <c r="S26" s="452" t="s">
        <v>32</v>
      </c>
      <c r="T26" s="454">
        <v>7026621</v>
      </c>
      <c r="U26" s="454">
        <v>4398252</v>
      </c>
      <c r="V26" s="452" t="s">
        <v>32</v>
      </c>
      <c r="W26" s="452" t="s">
        <v>32</v>
      </c>
      <c r="X26" s="452" t="s">
        <v>900</v>
      </c>
      <c r="Y26" s="561">
        <f>IFERROR(VLOOKUP(B26,'DSOAT-T1.2025'!$B$11:$AQ$78,54,0),0)</f>
        <v>0</v>
      </c>
      <c r="Z26" s="561">
        <f t="shared" si="0"/>
        <v>0</v>
      </c>
      <c r="AA26" s="561">
        <f>IFERROR(VLOOKUP(B26,'DSOAT-T1.2025'!$B$11:$AR$78,55,0),0)</f>
        <v>0</v>
      </c>
      <c r="AB26" s="74">
        <f t="shared" si="1"/>
        <v>-44512</v>
      </c>
      <c r="AC26" s="561">
        <f>IFERROR(VLOOKUP(B26,'DSOAT-T1.2025'!$B$11:$AS$78,56,0),0)</f>
        <v>0</v>
      </c>
      <c r="AD26" s="66">
        <f t="shared" si="2"/>
        <v>0</v>
      </c>
    </row>
    <row r="27" spans="1:30" ht="16.5" hidden="1">
      <c r="A27" s="467" t="s">
        <v>178</v>
      </c>
      <c r="B27" s="468" t="s">
        <v>272</v>
      </c>
      <c r="C27" s="461">
        <v>18</v>
      </c>
      <c r="D27" s="455" t="s">
        <v>273</v>
      </c>
      <c r="E27" s="474">
        <v>478</v>
      </c>
      <c r="F27" s="466">
        <v>0.34</v>
      </c>
      <c r="G27" s="465">
        <v>21.5</v>
      </c>
      <c r="H27" s="462">
        <v>1324053</v>
      </c>
      <c r="I27" s="462">
        <v>7443459</v>
      </c>
      <c r="J27" s="462">
        <v>0</v>
      </c>
      <c r="K27" s="462">
        <v>8767512</v>
      </c>
      <c r="L27" s="462">
        <v>2000000</v>
      </c>
      <c r="M27" s="462">
        <v>467376</v>
      </c>
      <c r="N27" s="462">
        <v>44512</v>
      </c>
      <c r="O27" s="462">
        <v>0</v>
      </c>
      <c r="P27" s="462">
        <v>6255624</v>
      </c>
      <c r="Q27" s="472">
        <v>6023782</v>
      </c>
      <c r="R27" s="476">
        <v>2743730</v>
      </c>
      <c r="S27" s="452" t="s">
        <v>272</v>
      </c>
      <c r="T27" s="454">
        <v>7026621</v>
      </c>
      <c r="U27" s="454">
        <v>-1740891</v>
      </c>
      <c r="V27" s="452" t="s">
        <v>272</v>
      </c>
      <c r="W27" s="452" t="s">
        <v>272</v>
      </c>
      <c r="X27" s="450"/>
      <c r="Y27" s="561">
        <f>IFERROR(VLOOKUP(B27,'DSOAT-T1.2025'!$B$11:$AQ$78,54,0),0)</f>
        <v>0</v>
      </c>
      <c r="Z27" s="561">
        <f t="shared" si="0"/>
        <v>-467376</v>
      </c>
      <c r="AA27" s="561">
        <f>IFERROR(VLOOKUP(B27,'DSOAT-T1.2025'!$B$11:$AR$78,55,0),0)</f>
        <v>0</v>
      </c>
      <c r="AB27" s="561">
        <f t="shared" si="1"/>
        <v>-44512</v>
      </c>
      <c r="AC27" s="561">
        <f>IFERROR(VLOOKUP(B27,'DSOAT-T1.2025'!$B$11:$AS$78,56,0),0)</f>
        <v>0</v>
      </c>
      <c r="AD27" s="66">
        <f t="shared" si="2"/>
        <v>0</v>
      </c>
    </row>
    <row r="28" spans="1:30" ht="16.5" hidden="1">
      <c r="A28" s="467" t="s">
        <v>184</v>
      </c>
      <c r="B28" s="468" t="s">
        <v>271</v>
      </c>
      <c r="C28" s="461">
        <v>19</v>
      </c>
      <c r="D28" s="455" t="s">
        <v>269</v>
      </c>
      <c r="E28" s="474">
        <v>431</v>
      </c>
      <c r="F28" s="466">
        <v>0.91</v>
      </c>
      <c r="G28" s="465">
        <v>23.5</v>
      </c>
      <c r="H28" s="462">
        <v>3072482</v>
      </c>
      <c r="I28" s="462">
        <v>9231208</v>
      </c>
      <c r="J28" s="462">
        <v>0</v>
      </c>
      <c r="K28" s="462">
        <v>12303690</v>
      </c>
      <c r="L28" s="462">
        <v>2000000</v>
      </c>
      <c r="M28" s="462">
        <v>365138</v>
      </c>
      <c r="N28" s="462">
        <v>34775</v>
      </c>
      <c r="O28" s="462">
        <v>109578</v>
      </c>
      <c r="P28" s="462">
        <v>9794199</v>
      </c>
      <c r="Q28" s="472">
        <v>6896919</v>
      </c>
      <c r="R28" s="476">
        <v>5406771</v>
      </c>
      <c r="S28" s="452" t="s">
        <v>271</v>
      </c>
      <c r="T28" s="454">
        <v>7026621</v>
      </c>
      <c r="U28" s="454">
        <v>-5277069</v>
      </c>
      <c r="V28" s="452" t="s">
        <v>271</v>
      </c>
      <c r="W28" s="452" t="s">
        <v>271</v>
      </c>
      <c r="X28" s="450"/>
      <c r="Y28" s="561">
        <f>IFERROR(VLOOKUP(B28,'DSOAT-T1.2025'!$B$11:$AQ$78,54,0),0)</f>
        <v>0</v>
      </c>
      <c r="Z28" s="561">
        <f t="shared" si="0"/>
        <v>-365138</v>
      </c>
      <c r="AA28" s="561">
        <f>IFERROR(VLOOKUP(B28,'DSOAT-T1.2025'!$B$11:$AR$78,55,0),0)</f>
        <v>0</v>
      </c>
      <c r="AB28" s="561">
        <f t="shared" si="1"/>
        <v>-34775</v>
      </c>
      <c r="AC28" s="561">
        <f>IFERROR(VLOOKUP(B28,'DSOAT-T1.2025'!$B$11:$AS$78,56,0),0)</f>
        <v>0</v>
      </c>
      <c r="AD28" s="66">
        <f t="shared" si="2"/>
        <v>-109578</v>
      </c>
    </row>
    <row r="29" spans="1:30" ht="16.5" hidden="1">
      <c r="A29" s="467" t="s">
        <v>178</v>
      </c>
      <c r="B29" s="468" t="s">
        <v>212</v>
      </c>
      <c r="C29" s="461">
        <v>20</v>
      </c>
      <c r="D29" s="455" t="s">
        <v>213</v>
      </c>
      <c r="E29" s="474">
        <v>418</v>
      </c>
      <c r="F29" s="466">
        <v>1.34</v>
      </c>
      <c r="G29" s="465">
        <v>23</v>
      </c>
      <c r="H29" s="462">
        <v>4563307</v>
      </c>
      <c r="I29" s="462">
        <v>3555315</v>
      </c>
      <c r="J29" s="462">
        <v>0</v>
      </c>
      <c r="K29" s="462">
        <v>8118622</v>
      </c>
      <c r="L29" s="462">
        <v>2000000</v>
      </c>
      <c r="M29" s="462">
        <v>467376</v>
      </c>
      <c r="N29" s="462">
        <v>44512</v>
      </c>
      <c r="O29" s="462">
        <v>0</v>
      </c>
      <c r="P29" s="462">
        <v>5606734</v>
      </c>
      <c r="Q29" s="472">
        <v>7626020</v>
      </c>
      <c r="R29" s="476">
        <v>492602</v>
      </c>
      <c r="S29" s="452" t="s">
        <v>212</v>
      </c>
      <c r="T29" s="454">
        <v>17662404</v>
      </c>
      <c r="U29" s="454">
        <v>9543782</v>
      </c>
      <c r="V29" s="452" t="s">
        <v>212</v>
      </c>
      <c r="W29" s="452" t="s">
        <v>212</v>
      </c>
      <c r="X29" s="450"/>
      <c r="Y29" s="561">
        <f>IFERROR(VLOOKUP(B29,'DSOAT-T1.2025'!$B$11:$AQ$78,54,0),0)</f>
        <v>0</v>
      </c>
      <c r="Z29" s="561">
        <f t="shared" si="0"/>
        <v>-467376</v>
      </c>
      <c r="AA29" s="561">
        <f>IFERROR(VLOOKUP(B29,'DSOAT-T1.2025'!$B$11:$AR$78,55,0),0)</f>
        <v>0</v>
      </c>
      <c r="AB29" s="561">
        <f t="shared" si="1"/>
        <v>-44512</v>
      </c>
      <c r="AC29" s="561">
        <f>IFERROR(VLOOKUP(B29,'DSOAT-T1.2025'!$B$11:$AS$78,56,0),0)</f>
        <v>0</v>
      </c>
      <c r="AD29" s="66">
        <f t="shared" si="2"/>
        <v>0</v>
      </c>
    </row>
    <row r="30" spans="1:30" ht="16.5" hidden="1">
      <c r="A30" s="467" t="s">
        <v>178</v>
      </c>
      <c r="B30" s="468" t="s">
        <v>217</v>
      </c>
      <c r="C30" s="461">
        <v>21</v>
      </c>
      <c r="D30" s="455" t="s">
        <v>216</v>
      </c>
      <c r="E30" s="474">
        <v>415</v>
      </c>
      <c r="F30" s="466">
        <v>1</v>
      </c>
      <c r="G30" s="465">
        <v>20.5</v>
      </c>
      <c r="H30" s="462">
        <v>9026974</v>
      </c>
      <c r="I30" s="462">
        <v>0</v>
      </c>
      <c r="J30" s="462">
        <v>0</v>
      </c>
      <c r="K30" s="462">
        <v>9026974</v>
      </c>
      <c r="L30" s="462">
        <v>2000000</v>
      </c>
      <c r="M30" s="462">
        <v>467376</v>
      </c>
      <c r="N30" s="462">
        <v>44512</v>
      </c>
      <c r="O30" s="462">
        <v>0</v>
      </c>
      <c r="P30" s="462">
        <v>6515086</v>
      </c>
      <c r="Q30" s="472">
        <v>3438168</v>
      </c>
      <c r="R30" s="476">
        <v>5588806</v>
      </c>
      <c r="S30" s="452" t="s">
        <v>217</v>
      </c>
      <c r="T30" s="454">
        <v>17662404</v>
      </c>
      <c r="U30" s="454">
        <v>8635430</v>
      </c>
      <c r="V30" s="452" t="s">
        <v>217</v>
      </c>
      <c r="W30" s="452" t="s">
        <v>217</v>
      </c>
      <c r="X30" s="452" t="s">
        <v>900</v>
      </c>
      <c r="Y30" s="561">
        <f>IFERROR(VLOOKUP(B30,'DSOAT-T1.2025'!$B$11:$AQ$78,54,0),0)</f>
        <v>0</v>
      </c>
      <c r="Z30" s="561">
        <f t="shared" si="0"/>
        <v>-467376</v>
      </c>
      <c r="AA30" s="561">
        <f>IFERROR(VLOOKUP(B30,'DSOAT-T1.2025'!$B$11:$AR$78,55,0),0)</f>
        <v>0</v>
      </c>
      <c r="AB30" s="561">
        <f t="shared" si="1"/>
        <v>-44512</v>
      </c>
      <c r="AC30" s="561">
        <f>IFERROR(VLOOKUP(B30,'DSOAT-T1.2025'!$B$11:$AS$78,56,0),0)</f>
        <v>0</v>
      </c>
      <c r="AD30" s="66">
        <f t="shared" si="2"/>
        <v>0</v>
      </c>
    </row>
    <row r="31" spans="1:30" ht="16.5" hidden="1">
      <c r="A31" s="467" t="s">
        <v>178</v>
      </c>
      <c r="B31" s="468" t="s">
        <v>263</v>
      </c>
      <c r="C31" s="461">
        <v>22</v>
      </c>
      <c r="D31" s="455" t="s">
        <v>262</v>
      </c>
      <c r="E31" s="474">
        <v>418</v>
      </c>
      <c r="F31" s="466">
        <v>1.4</v>
      </c>
      <c r="G31" s="465">
        <v>26</v>
      </c>
      <c r="H31" s="462">
        <v>4767634</v>
      </c>
      <c r="I31" s="462">
        <v>4689647</v>
      </c>
      <c r="J31" s="462">
        <v>0</v>
      </c>
      <c r="K31" s="462">
        <v>9457281</v>
      </c>
      <c r="L31" s="462">
        <v>2000000</v>
      </c>
      <c r="M31" s="462">
        <v>467376</v>
      </c>
      <c r="N31" s="462">
        <v>44512</v>
      </c>
      <c r="O31" s="462">
        <v>0</v>
      </c>
      <c r="P31" s="462">
        <v>6945393</v>
      </c>
      <c r="Q31" s="472">
        <v>9218677</v>
      </c>
      <c r="R31" s="476">
        <v>238604</v>
      </c>
      <c r="S31" s="452" t="s">
        <v>263</v>
      </c>
      <c r="T31" s="454">
        <v>17662404</v>
      </c>
      <c r="U31" s="454">
        <v>8205123</v>
      </c>
      <c r="V31" s="452" t="s">
        <v>263</v>
      </c>
      <c r="W31" s="452" t="s">
        <v>263</v>
      </c>
      <c r="X31" s="450"/>
      <c r="Y31" s="561">
        <f>IFERROR(VLOOKUP(B31,'DSOAT-T1.2025'!$B$11:$AQ$78,54,0),0)</f>
        <v>0</v>
      </c>
      <c r="Z31" s="561">
        <f t="shared" si="0"/>
        <v>-467376</v>
      </c>
      <c r="AA31" s="561">
        <f>IFERROR(VLOOKUP(B31,'DSOAT-T1.2025'!$B$11:$AR$78,55,0),0)</f>
        <v>0</v>
      </c>
      <c r="AB31" s="561">
        <f t="shared" si="1"/>
        <v>-44512</v>
      </c>
      <c r="AC31" s="561">
        <f>IFERROR(VLOOKUP(B31,'DSOAT-T1.2025'!$B$11:$AS$78,56,0),0)</f>
        <v>0</v>
      </c>
      <c r="AD31" s="66">
        <f t="shared" si="2"/>
        <v>0</v>
      </c>
    </row>
    <row r="32" spans="1:30" ht="16.5" hidden="1">
      <c r="A32" s="467" t="s">
        <v>178</v>
      </c>
      <c r="B32" s="468" t="s">
        <v>294</v>
      </c>
      <c r="C32" s="461">
        <v>23</v>
      </c>
      <c r="D32" s="455" t="s">
        <v>295</v>
      </c>
      <c r="E32" s="474">
        <v>418</v>
      </c>
      <c r="F32" s="466">
        <v>1.28</v>
      </c>
      <c r="G32" s="465">
        <v>27</v>
      </c>
      <c r="H32" s="462">
        <v>4358980</v>
      </c>
      <c r="I32" s="462">
        <v>3264694</v>
      </c>
      <c r="J32" s="462">
        <v>0</v>
      </c>
      <c r="K32" s="462">
        <v>7623674</v>
      </c>
      <c r="L32" s="462">
        <v>2000000</v>
      </c>
      <c r="M32" s="462">
        <v>467376</v>
      </c>
      <c r="N32" s="462">
        <v>44512</v>
      </c>
      <c r="O32" s="462">
        <v>0</v>
      </c>
      <c r="P32" s="462">
        <v>5111786</v>
      </c>
      <c r="Q32" s="472">
        <v>6892922</v>
      </c>
      <c r="R32" s="476">
        <v>730752</v>
      </c>
      <c r="S32" s="452" t="s">
        <v>294</v>
      </c>
      <c r="T32" s="454"/>
      <c r="U32" s="454">
        <v>-7623674</v>
      </c>
      <c r="V32" s="452" t="s">
        <v>294</v>
      </c>
      <c r="W32" s="452" t="s">
        <v>294</v>
      </c>
      <c r="X32" s="450"/>
      <c r="Y32" s="561">
        <f>IFERROR(VLOOKUP(B32,'DSOAT-T1.2025'!$B$11:$AQ$78,54,0),0)</f>
        <v>0</v>
      </c>
      <c r="Z32" s="561">
        <f t="shared" si="0"/>
        <v>-467376</v>
      </c>
      <c r="AA32" s="561">
        <f>IFERROR(VLOOKUP(B32,'DSOAT-T1.2025'!$B$11:$AR$78,55,0),0)</f>
        <v>0</v>
      </c>
      <c r="AB32" s="561">
        <f t="shared" si="1"/>
        <v>-44512</v>
      </c>
      <c r="AC32" s="561">
        <f>IFERROR(VLOOKUP(B32,'DSOAT-T1.2025'!$B$11:$AS$78,56,0),0)</f>
        <v>0</v>
      </c>
      <c r="AD32" s="66">
        <f t="shared" si="2"/>
        <v>0</v>
      </c>
    </row>
    <row r="33" spans="1:31" ht="16.5" hidden="1">
      <c r="A33" s="467" t="s">
        <v>178</v>
      </c>
      <c r="B33" s="468" t="s">
        <v>434</v>
      </c>
      <c r="C33" s="461">
        <v>24</v>
      </c>
      <c r="D33" s="455" t="s">
        <v>435</v>
      </c>
      <c r="E33" s="474">
        <v>355</v>
      </c>
      <c r="F33" s="466">
        <v>1.3</v>
      </c>
      <c r="G33" s="465">
        <v>26</v>
      </c>
      <c r="H33" s="462">
        <v>3759848</v>
      </c>
      <c r="I33" s="462">
        <v>3408446</v>
      </c>
      <c r="J33" s="462">
        <v>0</v>
      </c>
      <c r="K33" s="462">
        <v>7168294</v>
      </c>
      <c r="L33" s="462">
        <v>2000000</v>
      </c>
      <c r="M33" s="462">
        <v>467376</v>
      </c>
      <c r="N33" s="462">
        <v>44512</v>
      </c>
      <c r="O33" s="462">
        <v>0</v>
      </c>
      <c r="P33" s="462">
        <v>4656406</v>
      </c>
      <c r="Q33" s="472">
        <v>6752188</v>
      </c>
      <c r="R33" s="476">
        <v>416106</v>
      </c>
      <c r="S33" s="452" t="s">
        <v>434</v>
      </c>
      <c r="T33" s="454"/>
      <c r="U33" s="454"/>
      <c r="V33" s="450"/>
      <c r="W33" s="452" t="s">
        <v>434</v>
      </c>
      <c r="X33" s="450"/>
      <c r="Y33" s="561">
        <f>IFERROR(VLOOKUP(B33,'DSOAT-T1.2025'!$B$11:$AQ$78,54,0),0)</f>
        <v>0</v>
      </c>
      <c r="Z33" s="561">
        <f t="shared" si="0"/>
        <v>-467376</v>
      </c>
      <c r="AA33" s="561">
        <f>IFERROR(VLOOKUP(B33,'DSOAT-T1.2025'!$B$11:$AR$78,55,0),0)</f>
        <v>0</v>
      </c>
      <c r="AB33" s="561">
        <f t="shared" si="1"/>
        <v>-44512</v>
      </c>
      <c r="AC33" s="561">
        <f>IFERROR(VLOOKUP(B33,'DSOAT-T1.2025'!$B$11:$AS$78,56,0),0)</f>
        <v>0</v>
      </c>
      <c r="AD33" s="66">
        <f t="shared" si="2"/>
        <v>0</v>
      </c>
    </row>
    <row r="34" spans="1:31" ht="16.5" hidden="1">
      <c r="A34" s="467" t="s">
        <v>179</v>
      </c>
      <c r="B34" s="468" t="s">
        <v>59</v>
      </c>
      <c r="C34" s="461">
        <v>25</v>
      </c>
      <c r="D34" s="455" t="s">
        <v>60</v>
      </c>
      <c r="E34" s="474">
        <v>478</v>
      </c>
      <c r="F34" s="466">
        <v>1.22</v>
      </c>
      <c r="G34" s="465">
        <v>20.5</v>
      </c>
      <c r="H34" s="462">
        <v>4775446</v>
      </c>
      <c r="I34" s="462">
        <v>7830122</v>
      </c>
      <c r="J34" s="462">
        <v>0</v>
      </c>
      <c r="K34" s="462">
        <v>12605568</v>
      </c>
      <c r="L34" s="462">
        <v>2000000</v>
      </c>
      <c r="M34" s="462">
        <v>408954</v>
      </c>
      <c r="N34" s="462">
        <v>38948</v>
      </c>
      <c r="O34" s="462">
        <v>0</v>
      </c>
      <c r="P34" s="462">
        <v>10157666</v>
      </c>
      <c r="Q34" s="472">
        <v>11800054</v>
      </c>
      <c r="R34" s="476">
        <v>805514</v>
      </c>
      <c r="S34" s="452" t="s">
        <v>59</v>
      </c>
      <c r="T34" s="454">
        <v>13008787</v>
      </c>
      <c r="U34" s="454">
        <v>403219</v>
      </c>
      <c r="V34" s="452" t="s">
        <v>59</v>
      </c>
      <c r="W34" s="452" t="s">
        <v>59</v>
      </c>
      <c r="X34" s="450"/>
      <c r="Y34" s="561">
        <f>IFERROR(VLOOKUP(B34,'DSOAT-T1.2025'!$B$11:$AQ$78,54,0),0)</f>
        <v>0</v>
      </c>
      <c r="Z34" s="561">
        <f t="shared" si="0"/>
        <v>-408954</v>
      </c>
      <c r="AA34" s="561">
        <f>IFERROR(VLOOKUP(B34,'DSOAT-T1.2025'!$B$11:$AR$78,55,0),0)</f>
        <v>0</v>
      </c>
      <c r="AB34" s="561">
        <f t="shared" si="1"/>
        <v>-38948</v>
      </c>
      <c r="AC34" s="561">
        <f>IFERROR(VLOOKUP(B34,'DSOAT-T1.2025'!$B$11:$AS$78,56,0),0)</f>
        <v>0</v>
      </c>
      <c r="AD34" s="66">
        <f t="shared" si="2"/>
        <v>0</v>
      </c>
      <c r="AE34">
        <f>IFERROR(VLOOKUP(B34,'DSOAT-T1.2025'!$B$11:$BH$78,67,0),0)</f>
        <v>0</v>
      </c>
    </row>
    <row r="35" spans="1:31" ht="16.5" hidden="1">
      <c r="A35" s="467" t="s">
        <v>179</v>
      </c>
      <c r="B35" s="468" t="s">
        <v>40</v>
      </c>
      <c r="C35" s="461">
        <v>26</v>
      </c>
      <c r="D35" s="455" t="s">
        <v>41</v>
      </c>
      <c r="E35" s="474">
        <v>543</v>
      </c>
      <c r="F35" s="466">
        <v>1.05</v>
      </c>
      <c r="G35" s="465">
        <v>20.5</v>
      </c>
      <c r="H35" s="462">
        <v>12502992</v>
      </c>
      <c r="I35" s="462">
        <v>950934</v>
      </c>
      <c r="J35" s="462">
        <v>0</v>
      </c>
      <c r="K35" s="462">
        <v>13453926</v>
      </c>
      <c r="L35" s="462">
        <v>2000000</v>
      </c>
      <c r="M35" s="462">
        <v>408954</v>
      </c>
      <c r="N35" s="462">
        <v>38948</v>
      </c>
      <c r="O35" s="462">
        <v>102249</v>
      </c>
      <c r="P35" s="462">
        <v>10903775</v>
      </c>
      <c r="Q35" s="472">
        <v>12147962</v>
      </c>
      <c r="R35" s="476">
        <v>1305964</v>
      </c>
      <c r="S35" s="452" t="s">
        <v>40</v>
      </c>
      <c r="T35" s="454">
        <v>8458432</v>
      </c>
      <c r="U35" s="454">
        <v>-4995494</v>
      </c>
      <c r="V35" s="452" t="s">
        <v>40</v>
      </c>
      <c r="W35" s="452" t="s">
        <v>40</v>
      </c>
      <c r="X35" s="452" t="s">
        <v>900</v>
      </c>
      <c r="Y35" s="561">
        <f>IFERROR(VLOOKUP(B35,'DSOAT-T1.2025'!$B$11:$AQ$78,54,0),0)</f>
        <v>0</v>
      </c>
      <c r="Z35" s="561">
        <f t="shared" si="0"/>
        <v>-408954</v>
      </c>
      <c r="AA35" s="561">
        <f>IFERROR(VLOOKUP(B35,'DSOAT-T1.2025'!$B$11:$AR$78,55,0),0)</f>
        <v>0</v>
      </c>
      <c r="AB35" s="561">
        <f t="shared" si="1"/>
        <v>-38948</v>
      </c>
      <c r="AC35" s="561">
        <f>IFERROR(VLOOKUP(B35,'DSOAT-T1.2025'!$B$11:$AS$78,56,0),0)</f>
        <v>0</v>
      </c>
      <c r="AD35" s="66">
        <f t="shared" si="2"/>
        <v>-102249</v>
      </c>
    </row>
    <row r="36" spans="1:31" ht="16.5" hidden="1">
      <c r="A36" s="467" t="s">
        <v>179</v>
      </c>
      <c r="B36" s="468" t="s">
        <v>53</v>
      </c>
      <c r="C36" s="461">
        <v>27</v>
      </c>
      <c r="D36" s="455" t="s">
        <v>138</v>
      </c>
      <c r="E36" s="474">
        <v>418</v>
      </c>
      <c r="F36" s="466">
        <v>1.45</v>
      </c>
      <c r="G36" s="465">
        <v>20.5</v>
      </c>
      <c r="H36" s="462">
        <v>13291350</v>
      </c>
      <c r="I36" s="462">
        <v>4799773</v>
      </c>
      <c r="J36" s="462">
        <v>0</v>
      </c>
      <c r="K36" s="462">
        <v>18091123</v>
      </c>
      <c r="L36" s="462">
        <v>2000000</v>
      </c>
      <c r="M36" s="462">
        <v>408954</v>
      </c>
      <c r="N36" s="462">
        <v>38948</v>
      </c>
      <c r="O36" s="462">
        <v>495017</v>
      </c>
      <c r="P36" s="462">
        <v>15148204</v>
      </c>
      <c r="Q36" s="472">
        <v>16676850</v>
      </c>
      <c r="R36" s="476">
        <v>1414273</v>
      </c>
      <c r="S36" s="452" t="s">
        <v>53</v>
      </c>
      <c r="T36" s="454">
        <v>6381832</v>
      </c>
      <c r="U36" s="454">
        <v>-11709291</v>
      </c>
      <c r="V36" s="452" t="s">
        <v>53</v>
      </c>
      <c r="W36" s="452" t="s">
        <v>53</v>
      </c>
      <c r="X36" s="450"/>
      <c r="Y36" s="561">
        <f>IFERROR(VLOOKUP(B36,'DSOAT-T1.2025'!$B$11:$AQ$78,54,0),0)</f>
        <v>0</v>
      </c>
      <c r="Z36" s="561">
        <f t="shared" si="0"/>
        <v>-408954</v>
      </c>
      <c r="AA36" s="561">
        <f>IFERROR(VLOOKUP(B36,'DSOAT-T1.2025'!$B$11:$AR$78,55,0),0)</f>
        <v>0</v>
      </c>
      <c r="AB36" s="561">
        <f t="shared" si="1"/>
        <v>-38948</v>
      </c>
      <c r="AC36" s="561">
        <f>IFERROR(VLOOKUP(B36,'DSOAT-T1.2025'!$B$11:$AS$78,56,0),0)</f>
        <v>0</v>
      </c>
      <c r="AD36" s="66">
        <f t="shared" si="2"/>
        <v>-495017</v>
      </c>
    </row>
    <row r="37" spans="1:31" ht="16.5" hidden="1">
      <c r="A37" s="467" t="s">
        <v>179</v>
      </c>
      <c r="B37" s="468" t="s">
        <v>43</v>
      </c>
      <c r="C37" s="461">
        <v>28</v>
      </c>
      <c r="D37" s="455" t="s">
        <v>44</v>
      </c>
      <c r="E37" s="474">
        <v>394</v>
      </c>
      <c r="F37" s="466">
        <v>1.04</v>
      </c>
      <c r="G37" s="465">
        <v>20.5</v>
      </c>
      <c r="H37" s="462">
        <v>8985751</v>
      </c>
      <c r="I37" s="462">
        <v>2691288</v>
      </c>
      <c r="J37" s="462">
        <v>0</v>
      </c>
      <c r="K37" s="462">
        <v>11677039</v>
      </c>
      <c r="L37" s="462">
        <v>2000000</v>
      </c>
      <c r="M37" s="462">
        <v>408954</v>
      </c>
      <c r="N37" s="462">
        <v>38948</v>
      </c>
      <c r="O37" s="462">
        <v>19654</v>
      </c>
      <c r="P37" s="462">
        <v>9209483</v>
      </c>
      <c r="Q37" s="472">
        <v>12338844</v>
      </c>
      <c r="R37" s="476">
        <v>-661805</v>
      </c>
      <c r="S37" s="452" t="s">
        <v>43</v>
      </c>
      <c r="T37" s="454">
        <v>6498925</v>
      </c>
      <c r="U37" s="454">
        <v>-5178114</v>
      </c>
      <c r="V37" s="452" t="s">
        <v>43</v>
      </c>
      <c r="W37" s="452" t="s">
        <v>43</v>
      </c>
      <c r="X37" s="452" t="s">
        <v>900</v>
      </c>
      <c r="Y37" s="561">
        <f>IFERROR(VLOOKUP(B37,'DSOAT-T1.2025'!$B$11:$AQ$78,54,0),0)</f>
        <v>0</v>
      </c>
      <c r="Z37" s="561">
        <f t="shared" si="0"/>
        <v>-408954</v>
      </c>
      <c r="AA37" s="561">
        <f>IFERROR(VLOOKUP(B37,'DSOAT-T1.2025'!$B$11:$AR$78,55,0),0)</f>
        <v>0</v>
      </c>
      <c r="AB37" s="561">
        <f t="shared" si="1"/>
        <v>-38948</v>
      </c>
      <c r="AC37" s="561">
        <f>IFERROR(VLOOKUP(B37,'DSOAT-T1.2025'!$B$11:$AS$78,56,0),0)</f>
        <v>0</v>
      </c>
      <c r="AD37" s="66">
        <f t="shared" si="2"/>
        <v>-19654</v>
      </c>
    </row>
    <row r="38" spans="1:31" ht="16.5" hidden="1">
      <c r="A38" s="467" t="s">
        <v>179</v>
      </c>
      <c r="B38" s="468" t="s">
        <v>45</v>
      </c>
      <c r="C38" s="461">
        <v>29</v>
      </c>
      <c r="D38" s="455" t="s">
        <v>46</v>
      </c>
      <c r="E38" s="474">
        <v>418</v>
      </c>
      <c r="F38" s="466">
        <v>1.23</v>
      </c>
      <c r="G38" s="465">
        <v>20.5</v>
      </c>
      <c r="H38" s="462">
        <v>4222899</v>
      </c>
      <c r="I38" s="462">
        <v>3219032</v>
      </c>
      <c r="J38" s="462">
        <v>0</v>
      </c>
      <c r="K38" s="462">
        <v>7441931</v>
      </c>
      <c r="L38" s="462">
        <v>2000000</v>
      </c>
      <c r="M38" s="462">
        <v>408954</v>
      </c>
      <c r="N38" s="462">
        <v>38948</v>
      </c>
      <c r="O38" s="462">
        <v>0</v>
      </c>
      <c r="P38" s="462">
        <v>4994029</v>
      </c>
      <c r="Q38" s="472">
        <v>6556634</v>
      </c>
      <c r="R38" s="476">
        <v>885297</v>
      </c>
      <c r="S38" s="452" t="s">
        <v>45</v>
      </c>
      <c r="T38" s="454">
        <v>3226397</v>
      </c>
      <c r="U38" s="454">
        <v>-4215534</v>
      </c>
      <c r="V38" s="452" t="s">
        <v>45</v>
      </c>
      <c r="W38" s="452" t="s">
        <v>45</v>
      </c>
      <c r="X38" s="450"/>
      <c r="Y38" s="561">
        <f>IFERROR(VLOOKUP(B38,'DSOAT-T1.2025'!$B$11:$AQ$78,54,0),0)</f>
        <v>0</v>
      </c>
      <c r="Z38" s="561">
        <f t="shared" si="0"/>
        <v>-408954</v>
      </c>
      <c r="AA38" s="561">
        <f>IFERROR(VLOOKUP(B38,'DSOAT-T1.2025'!$B$11:$AR$78,55,0),0)</f>
        <v>0</v>
      </c>
      <c r="AB38" s="561">
        <f t="shared" si="1"/>
        <v>-38948</v>
      </c>
      <c r="AC38" s="561">
        <f>IFERROR(VLOOKUP(B38,'DSOAT-T1.2025'!$B$11:$AS$78,56,0),0)</f>
        <v>0</v>
      </c>
      <c r="AD38" s="66">
        <f t="shared" si="2"/>
        <v>0</v>
      </c>
    </row>
    <row r="39" spans="1:31" ht="16.5" hidden="1">
      <c r="A39" s="467" t="s">
        <v>179</v>
      </c>
      <c r="B39" s="468" t="s">
        <v>47</v>
      </c>
      <c r="C39" s="461">
        <v>30</v>
      </c>
      <c r="D39" s="455" t="s">
        <v>48</v>
      </c>
      <c r="E39" s="474">
        <v>431</v>
      </c>
      <c r="F39" s="466">
        <v>1.43</v>
      </c>
      <c r="G39" s="465">
        <v>20.5</v>
      </c>
      <c r="H39" s="462">
        <v>5062239</v>
      </c>
      <c r="I39" s="462">
        <v>5267859</v>
      </c>
      <c r="J39" s="462">
        <v>0</v>
      </c>
      <c r="K39" s="462">
        <v>10330098</v>
      </c>
      <c r="L39" s="462">
        <v>2000000</v>
      </c>
      <c r="M39" s="462">
        <v>408954</v>
      </c>
      <c r="N39" s="462">
        <v>38948</v>
      </c>
      <c r="O39" s="462">
        <v>0</v>
      </c>
      <c r="P39" s="462">
        <v>7882196</v>
      </c>
      <c r="Q39" s="472">
        <v>8428247</v>
      </c>
      <c r="R39" s="476">
        <v>1901851</v>
      </c>
      <c r="S39" s="452" t="s">
        <v>47</v>
      </c>
      <c r="T39" s="454">
        <v>9531308</v>
      </c>
      <c r="U39" s="454">
        <v>-798790</v>
      </c>
      <c r="V39" s="452" t="s">
        <v>47</v>
      </c>
      <c r="W39" s="452" t="s">
        <v>47</v>
      </c>
      <c r="X39" s="450"/>
      <c r="Y39" s="561">
        <f>IFERROR(VLOOKUP(B39,'DSOAT-T1.2025'!$B$11:$AQ$78,54,0),0)</f>
        <v>0</v>
      </c>
      <c r="Z39" s="561">
        <f t="shared" si="0"/>
        <v>-408954</v>
      </c>
      <c r="AA39" s="561">
        <f>IFERROR(VLOOKUP(B39,'DSOAT-T1.2025'!$B$11:$AR$78,55,0),0)</f>
        <v>0</v>
      </c>
      <c r="AB39" s="561">
        <f t="shared" si="1"/>
        <v>-38948</v>
      </c>
      <c r="AC39" s="561">
        <f>IFERROR(VLOOKUP(B39,'DSOAT-T1.2025'!$B$11:$AS$78,56,0),0)</f>
        <v>0</v>
      </c>
      <c r="AD39" s="66">
        <f t="shared" si="2"/>
        <v>0</v>
      </c>
    </row>
    <row r="40" spans="1:31" ht="16.5" hidden="1">
      <c r="A40" s="467" t="s">
        <v>179</v>
      </c>
      <c r="B40" s="468" t="s">
        <v>55</v>
      </c>
      <c r="C40" s="461">
        <v>31</v>
      </c>
      <c r="D40" s="455" t="s">
        <v>56</v>
      </c>
      <c r="E40" s="474">
        <v>478</v>
      </c>
      <c r="F40" s="466">
        <v>0.96</v>
      </c>
      <c r="G40" s="465">
        <v>20.5</v>
      </c>
      <c r="H40" s="462">
        <v>3769020</v>
      </c>
      <c r="I40" s="462">
        <v>3948780</v>
      </c>
      <c r="J40" s="462">
        <v>0</v>
      </c>
      <c r="K40" s="462">
        <v>7717800</v>
      </c>
      <c r="L40" s="462">
        <v>2000000</v>
      </c>
      <c r="M40" s="462">
        <v>408954</v>
      </c>
      <c r="N40" s="462">
        <v>38948</v>
      </c>
      <c r="O40" s="462">
        <v>0</v>
      </c>
      <c r="P40" s="462">
        <v>5269898</v>
      </c>
      <c r="Q40" s="472">
        <v>8806844</v>
      </c>
      <c r="R40" s="476">
        <v>-1089044</v>
      </c>
      <c r="S40" s="452" t="s">
        <v>55</v>
      </c>
      <c r="T40" s="454">
        <v>9212350</v>
      </c>
      <c r="U40" s="454">
        <v>1494550</v>
      </c>
      <c r="V40" s="452" t="s">
        <v>55</v>
      </c>
      <c r="W40" s="452" t="s">
        <v>55</v>
      </c>
      <c r="X40" s="450"/>
      <c r="Y40" s="561">
        <f>IFERROR(VLOOKUP(B40,'DSOAT-T1.2025'!$B$11:$AQ$78,54,0),0)</f>
        <v>0</v>
      </c>
      <c r="Z40" s="561">
        <f t="shared" si="0"/>
        <v>-408954</v>
      </c>
      <c r="AA40" s="561">
        <f>IFERROR(VLOOKUP(B40,'DSOAT-T1.2025'!$B$11:$AR$78,55,0),0)</f>
        <v>0</v>
      </c>
      <c r="AB40" s="561">
        <f t="shared" si="1"/>
        <v>-38948</v>
      </c>
      <c r="AC40" s="561">
        <f>IFERROR(VLOOKUP(B40,'DSOAT-T1.2025'!$B$11:$AS$78,56,0),0)</f>
        <v>0</v>
      </c>
      <c r="AD40" s="66">
        <f t="shared" si="2"/>
        <v>0</v>
      </c>
      <c r="AE40">
        <f>IFERROR(VLOOKUP(B40,'DSOAT-T1.2025'!$B$11:$BH$78,67,0),0)</f>
        <v>0</v>
      </c>
    </row>
    <row r="41" spans="1:31" ht="16.5" hidden="1">
      <c r="A41" s="467" t="s">
        <v>179</v>
      </c>
      <c r="B41" s="468" t="s">
        <v>49</v>
      </c>
      <c r="C41" s="461">
        <v>32</v>
      </c>
      <c r="D41" s="455" t="s">
        <v>50</v>
      </c>
      <c r="E41" s="474">
        <v>478</v>
      </c>
      <c r="F41" s="466">
        <v>1.1200000000000001</v>
      </c>
      <c r="G41" s="465">
        <v>20.5</v>
      </c>
      <c r="H41" s="462">
        <v>4397190</v>
      </c>
      <c r="I41" s="462">
        <v>4874029</v>
      </c>
      <c r="J41" s="462">
        <v>0</v>
      </c>
      <c r="K41" s="462">
        <v>9271219</v>
      </c>
      <c r="L41" s="462">
        <v>2000000</v>
      </c>
      <c r="M41" s="462">
        <v>408954</v>
      </c>
      <c r="N41" s="462">
        <v>38948</v>
      </c>
      <c r="O41" s="462">
        <v>86413</v>
      </c>
      <c r="P41" s="462">
        <v>6736904</v>
      </c>
      <c r="Q41" s="472">
        <v>9614397</v>
      </c>
      <c r="R41" s="476">
        <v>-343178</v>
      </c>
      <c r="S41" s="452" t="s">
        <v>49</v>
      </c>
      <c r="T41" s="454">
        <v>13514883</v>
      </c>
      <c r="U41" s="454">
        <v>4243664</v>
      </c>
      <c r="V41" s="452" t="s">
        <v>49</v>
      </c>
      <c r="W41" s="452" t="s">
        <v>49</v>
      </c>
      <c r="X41" s="450"/>
      <c r="Y41" s="561">
        <f>IFERROR(VLOOKUP(B41,'DSOAT-T1.2025'!$B$11:$AQ$78,54,0),0)</f>
        <v>0</v>
      </c>
      <c r="Z41" s="561">
        <f t="shared" si="0"/>
        <v>-408954</v>
      </c>
      <c r="AA41" s="561">
        <f>IFERROR(VLOOKUP(B41,'DSOAT-T1.2025'!$B$11:$AR$78,55,0),0)</f>
        <v>0</v>
      </c>
      <c r="AB41" s="561">
        <f t="shared" si="1"/>
        <v>-38948</v>
      </c>
      <c r="AC41" s="561">
        <f>IFERROR(VLOOKUP(B41,'DSOAT-T1.2025'!$B$11:$AS$78,56,0),0)</f>
        <v>0</v>
      </c>
      <c r="AD41" s="66">
        <f t="shared" si="2"/>
        <v>-86413</v>
      </c>
    </row>
    <row r="42" spans="1:31" ht="16.5" hidden="1">
      <c r="A42" s="467" t="s">
        <v>179</v>
      </c>
      <c r="B42" s="468" t="s">
        <v>51</v>
      </c>
      <c r="C42" s="461">
        <v>33</v>
      </c>
      <c r="D42" s="455" t="s">
        <v>52</v>
      </c>
      <c r="E42" s="474">
        <v>418</v>
      </c>
      <c r="F42" s="466">
        <v>1.36</v>
      </c>
      <c r="G42" s="465">
        <v>20.5</v>
      </c>
      <c r="H42" s="462">
        <v>4669222</v>
      </c>
      <c r="I42" s="462">
        <v>5055907</v>
      </c>
      <c r="J42" s="462">
        <v>0</v>
      </c>
      <c r="K42" s="462">
        <v>9725129</v>
      </c>
      <c r="L42" s="462">
        <v>2000000</v>
      </c>
      <c r="M42" s="462">
        <v>408954</v>
      </c>
      <c r="N42" s="462">
        <v>38948</v>
      </c>
      <c r="O42" s="462">
        <v>0</v>
      </c>
      <c r="P42" s="462">
        <v>7277227</v>
      </c>
      <c r="Q42" s="472">
        <v>7947502</v>
      </c>
      <c r="R42" s="476">
        <v>1777627</v>
      </c>
      <c r="S42" s="452" t="s">
        <v>51</v>
      </c>
      <c r="T42" s="454">
        <v>8724927</v>
      </c>
      <c r="U42" s="454">
        <v>-1000202</v>
      </c>
      <c r="V42" s="452" t="s">
        <v>51</v>
      </c>
      <c r="W42" s="452" t="s">
        <v>51</v>
      </c>
      <c r="X42" s="450"/>
      <c r="Y42" s="561">
        <f>IFERROR(VLOOKUP(B42,'DSOAT-T1.2025'!$B$11:$AQ$78,54,0),0)</f>
        <v>0</v>
      </c>
      <c r="Z42" s="561">
        <f t="shared" si="0"/>
        <v>-408954</v>
      </c>
      <c r="AA42" s="561">
        <f>IFERROR(VLOOKUP(B42,'DSOAT-T1.2025'!$B$11:$AR$78,55,0),0)</f>
        <v>0</v>
      </c>
      <c r="AB42" s="561">
        <f t="shared" si="1"/>
        <v>-38948</v>
      </c>
      <c r="AC42" s="561">
        <f>IFERROR(VLOOKUP(B42,'DSOAT-T1.2025'!$B$11:$AS$78,56,0),0)</f>
        <v>0</v>
      </c>
      <c r="AD42" s="66">
        <f t="shared" si="2"/>
        <v>0</v>
      </c>
    </row>
    <row r="43" spans="1:31" ht="16.5" hidden="1">
      <c r="A43" s="467" t="s">
        <v>179</v>
      </c>
      <c r="B43" s="468" t="s">
        <v>158</v>
      </c>
      <c r="C43" s="461">
        <v>34</v>
      </c>
      <c r="D43" s="455" t="s">
        <v>146</v>
      </c>
      <c r="E43" s="474">
        <v>431</v>
      </c>
      <c r="F43" s="466">
        <v>0.93</v>
      </c>
      <c r="G43" s="465">
        <v>20.5</v>
      </c>
      <c r="H43" s="462">
        <v>3284013</v>
      </c>
      <c r="I43" s="462">
        <v>8615938</v>
      </c>
      <c r="J43" s="462">
        <v>0</v>
      </c>
      <c r="K43" s="462">
        <v>11899951</v>
      </c>
      <c r="L43" s="462">
        <v>2000000</v>
      </c>
      <c r="M43" s="462">
        <v>408954</v>
      </c>
      <c r="N43" s="462">
        <v>38948</v>
      </c>
      <c r="O43" s="462">
        <v>76750</v>
      </c>
      <c r="P43" s="462">
        <v>9375299</v>
      </c>
      <c r="Q43" s="472">
        <v>11769166</v>
      </c>
      <c r="R43" s="476">
        <v>130785</v>
      </c>
      <c r="S43" s="452" t="s">
        <v>158</v>
      </c>
      <c r="T43" s="454">
        <v>14059604</v>
      </c>
      <c r="U43" s="454">
        <v>2159653</v>
      </c>
      <c r="V43" s="452" t="s">
        <v>158</v>
      </c>
      <c r="W43" s="452" t="s">
        <v>158</v>
      </c>
      <c r="X43" s="450"/>
      <c r="Y43" s="561">
        <f>IFERROR(VLOOKUP(B43,'DSOAT-T1.2025'!$B$11:$AQ$78,54,0),0)</f>
        <v>0</v>
      </c>
      <c r="Z43" s="561">
        <f t="shared" si="0"/>
        <v>-408954</v>
      </c>
      <c r="AA43" s="561">
        <f>IFERROR(VLOOKUP(B43,'DSOAT-T1.2025'!$B$11:$AR$78,55,0),0)</f>
        <v>0</v>
      </c>
      <c r="AB43" s="561">
        <f t="shared" si="1"/>
        <v>-38948</v>
      </c>
      <c r="AC43" s="561">
        <f>IFERROR(VLOOKUP(B43,'DSOAT-T1.2025'!$B$11:$AS$78,56,0),0)</f>
        <v>0</v>
      </c>
      <c r="AD43" s="66">
        <f t="shared" si="2"/>
        <v>-76750</v>
      </c>
    </row>
    <row r="44" spans="1:31" ht="16.5" hidden="1">
      <c r="A44" s="467" t="s">
        <v>179</v>
      </c>
      <c r="B44" s="468" t="s">
        <v>159</v>
      </c>
      <c r="C44" s="461">
        <v>35</v>
      </c>
      <c r="D44" s="455" t="s">
        <v>147</v>
      </c>
      <c r="E44" s="474">
        <v>431</v>
      </c>
      <c r="F44" s="466">
        <v>1.06</v>
      </c>
      <c r="G44" s="465">
        <v>20.5</v>
      </c>
      <c r="H44" s="462">
        <v>3756997</v>
      </c>
      <c r="I44" s="462">
        <v>6772812</v>
      </c>
      <c r="J44" s="462">
        <v>0</v>
      </c>
      <c r="K44" s="462">
        <v>10529809</v>
      </c>
      <c r="L44" s="462">
        <v>2000000</v>
      </c>
      <c r="M44" s="462">
        <v>408954</v>
      </c>
      <c r="N44" s="462">
        <v>38948</v>
      </c>
      <c r="O44" s="462">
        <v>0</v>
      </c>
      <c r="P44" s="462">
        <v>8081907</v>
      </c>
      <c r="Q44" s="472">
        <v>9587173</v>
      </c>
      <c r="R44" s="476">
        <v>942636</v>
      </c>
      <c r="S44" s="452" t="s">
        <v>159</v>
      </c>
      <c r="T44" s="454">
        <v>28925404</v>
      </c>
      <c r="U44" s="454">
        <v>18395595</v>
      </c>
      <c r="V44" s="452" t="s">
        <v>159</v>
      </c>
      <c r="W44" s="452" t="s">
        <v>159</v>
      </c>
      <c r="X44" s="450"/>
      <c r="Y44" s="561">
        <f>IFERROR(VLOOKUP(B44,'DSOAT-T1.2025'!$B$11:$AQ$78,54,0),0)</f>
        <v>0</v>
      </c>
      <c r="Z44" s="561">
        <f t="shared" si="0"/>
        <v>-408954</v>
      </c>
      <c r="AA44" s="561">
        <f>IFERROR(VLOOKUP(B44,'DSOAT-T1.2025'!$B$11:$AR$78,55,0),0)</f>
        <v>0</v>
      </c>
      <c r="AB44" s="561">
        <f t="shared" si="1"/>
        <v>-38948</v>
      </c>
      <c r="AC44" s="561">
        <f>IFERROR(VLOOKUP(B44,'DSOAT-T1.2025'!$B$11:$AS$78,56,0),0)</f>
        <v>0</v>
      </c>
      <c r="AD44" s="66">
        <f t="shared" si="2"/>
        <v>0</v>
      </c>
      <c r="AE44">
        <f>IFERROR(VLOOKUP(B44,'DSOAT-T1.2025'!$B$11:$BH$78,67,0),0)</f>
        <v>0</v>
      </c>
    </row>
    <row r="45" spans="1:31" ht="16.5" hidden="1">
      <c r="A45" s="467" t="s">
        <v>179</v>
      </c>
      <c r="B45" s="468" t="s">
        <v>214</v>
      </c>
      <c r="C45" s="461">
        <v>36</v>
      </c>
      <c r="D45" s="455" t="s">
        <v>215</v>
      </c>
      <c r="E45" s="474">
        <v>524</v>
      </c>
      <c r="F45" s="466">
        <v>1.31</v>
      </c>
      <c r="G45" s="465">
        <v>23.5</v>
      </c>
      <c r="H45" s="462">
        <v>5656266</v>
      </c>
      <c r="I45" s="462">
        <v>6438981</v>
      </c>
      <c r="J45" s="462">
        <v>0</v>
      </c>
      <c r="K45" s="462">
        <v>12095247</v>
      </c>
      <c r="L45" s="462">
        <v>2000000</v>
      </c>
      <c r="M45" s="462">
        <v>408954</v>
      </c>
      <c r="N45" s="462">
        <v>38948</v>
      </c>
      <c r="O45" s="462">
        <v>2624347</v>
      </c>
      <c r="P45" s="462">
        <v>7022998</v>
      </c>
      <c r="Q45" s="472">
        <v>16324812</v>
      </c>
      <c r="R45" s="476">
        <v>-4229565</v>
      </c>
      <c r="S45" s="452" t="s">
        <v>214</v>
      </c>
      <c r="T45" s="454">
        <v>28925404</v>
      </c>
      <c r="U45" s="454">
        <v>16830157</v>
      </c>
      <c r="V45" s="452" t="s">
        <v>214</v>
      </c>
      <c r="W45" s="452" t="s">
        <v>214</v>
      </c>
      <c r="X45" s="450"/>
      <c r="Y45" s="561">
        <f>IFERROR(VLOOKUP(B45,'DSOAT-T1.2025'!$B$11:$AQ$78,54,0),0)</f>
        <v>0</v>
      </c>
      <c r="Z45" s="561">
        <f t="shared" si="0"/>
        <v>-408954</v>
      </c>
      <c r="AA45" s="561">
        <f>IFERROR(VLOOKUP(B45,'DSOAT-T1.2025'!$B$11:$AR$78,55,0),0)</f>
        <v>0</v>
      </c>
      <c r="AB45" s="561">
        <f t="shared" si="1"/>
        <v>-38948</v>
      </c>
      <c r="AC45" s="561">
        <f>IFERROR(VLOOKUP(B45,'DSOAT-T1.2025'!$B$11:$AS$78,56,0),0)</f>
        <v>0</v>
      </c>
      <c r="AD45" s="66">
        <f t="shared" si="2"/>
        <v>-2624347</v>
      </c>
    </row>
    <row r="46" spans="1:31" ht="16.5" hidden="1">
      <c r="A46" s="467" t="s">
        <v>179</v>
      </c>
      <c r="B46" s="468" t="s">
        <v>283</v>
      </c>
      <c r="C46" s="461">
        <v>37</v>
      </c>
      <c r="D46" s="455" t="s">
        <v>281</v>
      </c>
      <c r="E46" s="474">
        <v>355</v>
      </c>
      <c r="F46" s="466">
        <v>1.03</v>
      </c>
      <c r="G46" s="465">
        <v>23.5</v>
      </c>
      <c r="H46" s="462">
        <v>8018449</v>
      </c>
      <c r="I46" s="462">
        <v>940966</v>
      </c>
      <c r="J46" s="462">
        <v>0</v>
      </c>
      <c r="K46" s="462">
        <v>8959415</v>
      </c>
      <c r="L46" s="462">
        <v>2000000</v>
      </c>
      <c r="M46" s="462">
        <v>408954</v>
      </c>
      <c r="N46" s="462">
        <v>38948</v>
      </c>
      <c r="O46" s="462">
        <v>0</v>
      </c>
      <c r="P46" s="462">
        <v>6511513</v>
      </c>
      <c r="Q46" s="472">
        <v>8847782</v>
      </c>
      <c r="R46" s="476">
        <v>111633</v>
      </c>
      <c r="S46" s="452" t="s">
        <v>283</v>
      </c>
      <c r="T46" s="454">
        <v>28925404</v>
      </c>
      <c r="U46" s="454">
        <v>19965989</v>
      </c>
      <c r="V46" s="452" t="s">
        <v>283</v>
      </c>
      <c r="W46" s="452" t="s">
        <v>283</v>
      </c>
      <c r="X46" s="452" t="s">
        <v>900</v>
      </c>
      <c r="Y46" s="561">
        <f>IFERROR(VLOOKUP(B46,'DSOAT-T1.2025'!$B$11:$AQ$78,54,0),0)</f>
        <v>0</v>
      </c>
      <c r="Z46" s="561">
        <f t="shared" si="0"/>
        <v>-408954</v>
      </c>
      <c r="AA46" s="561">
        <f>IFERROR(VLOOKUP(B46,'DSOAT-T1.2025'!$B$11:$AR$78,55,0),0)</f>
        <v>0</v>
      </c>
      <c r="AB46" s="561">
        <f t="shared" si="1"/>
        <v>-38948</v>
      </c>
      <c r="AC46" s="561">
        <f>IFERROR(VLOOKUP(B46,'DSOAT-T1.2025'!$B$11:$AS$78,56,0),0)</f>
        <v>0</v>
      </c>
      <c r="AD46" s="66">
        <f t="shared" si="2"/>
        <v>0</v>
      </c>
    </row>
    <row r="47" spans="1:31" ht="16.5" hidden="1">
      <c r="A47" s="467" t="s">
        <v>180</v>
      </c>
      <c r="B47" s="468" t="s">
        <v>66</v>
      </c>
      <c r="C47" s="461">
        <v>38</v>
      </c>
      <c r="D47" s="455" t="s">
        <v>67</v>
      </c>
      <c r="E47" s="474">
        <v>335</v>
      </c>
      <c r="F47" s="466">
        <v>1.08</v>
      </c>
      <c r="G47" s="465">
        <v>22</v>
      </c>
      <c r="H47" s="462">
        <v>7928990</v>
      </c>
      <c r="I47" s="462">
        <v>161377</v>
      </c>
      <c r="J47" s="462">
        <v>0</v>
      </c>
      <c r="K47" s="462">
        <v>8090367</v>
      </c>
      <c r="L47" s="462">
        <v>2000000</v>
      </c>
      <c r="M47" s="462">
        <v>365138</v>
      </c>
      <c r="N47" s="462">
        <v>34775</v>
      </c>
      <c r="O47" s="462">
        <v>0</v>
      </c>
      <c r="P47" s="462">
        <v>5690454</v>
      </c>
      <c r="Q47" s="472">
        <v>7854358</v>
      </c>
      <c r="R47" s="476">
        <v>236009</v>
      </c>
      <c r="S47" s="452" t="s">
        <v>66</v>
      </c>
      <c r="T47" s="454">
        <v>28925404</v>
      </c>
      <c r="U47" s="454">
        <v>20835037</v>
      </c>
      <c r="V47" s="452" t="s">
        <v>66</v>
      </c>
      <c r="W47" s="452" t="s">
        <v>66</v>
      </c>
      <c r="X47" s="452" t="s">
        <v>900</v>
      </c>
      <c r="Y47" s="561">
        <f>IFERROR(VLOOKUP(B47,'DSOAT-T1.2025'!$B$11:$AQ$78,54,0),0)</f>
        <v>0</v>
      </c>
      <c r="Z47" s="561">
        <f t="shared" si="0"/>
        <v>-365138</v>
      </c>
      <c r="AA47" s="561">
        <f>IFERROR(VLOOKUP(B47,'DSOAT-T1.2025'!$B$11:$AR$78,55,0),0)</f>
        <v>0</v>
      </c>
      <c r="AB47" s="561">
        <f t="shared" si="1"/>
        <v>-34775</v>
      </c>
      <c r="AC47" s="561">
        <f>IFERROR(VLOOKUP(B47,'DSOAT-T1.2025'!$B$11:$AS$78,56,0),0)</f>
        <v>0</v>
      </c>
      <c r="AD47" s="66">
        <f t="shared" si="2"/>
        <v>0</v>
      </c>
    </row>
    <row r="48" spans="1:31" ht="16.5" hidden="1">
      <c r="A48" s="467" t="s">
        <v>180</v>
      </c>
      <c r="B48" s="468" t="s">
        <v>171</v>
      </c>
      <c r="C48" s="461">
        <v>39</v>
      </c>
      <c r="D48" s="455" t="s">
        <v>168</v>
      </c>
      <c r="E48" s="474">
        <v>478</v>
      </c>
      <c r="F48" s="466">
        <v>1.06</v>
      </c>
      <c r="G48" s="465">
        <v>23.5</v>
      </c>
      <c r="H48" s="462">
        <v>4172121</v>
      </c>
      <c r="I48" s="462">
        <v>11012411</v>
      </c>
      <c r="J48" s="462">
        <v>0</v>
      </c>
      <c r="K48" s="462">
        <v>15184532</v>
      </c>
      <c r="L48" s="462">
        <v>2000000</v>
      </c>
      <c r="M48" s="462">
        <v>365138</v>
      </c>
      <c r="N48" s="462">
        <v>34775</v>
      </c>
      <c r="O48" s="462">
        <v>277139</v>
      </c>
      <c r="P48" s="462">
        <v>12507480</v>
      </c>
      <c r="Q48" s="472">
        <v>14387275</v>
      </c>
      <c r="R48" s="476">
        <v>797257</v>
      </c>
      <c r="S48" s="452" t="s">
        <v>171</v>
      </c>
      <c r="T48" s="454">
        <v>18458037</v>
      </c>
      <c r="U48" s="454">
        <v>3273505</v>
      </c>
      <c r="V48" s="452" t="s">
        <v>171</v>
      </c>
      <c r="W48" s="452" t="s">
        <v>171</v>
      </c>
      <c r="X48" s="450"/>
      <c r="Y48" s="561">
        <f>IFERROR(VLOOKUP(B48,'DSOAT-T1.2025'!$B$11:$AQ$78,54,0),0)</f>
        <v>0</v>
      </c>
      <c r="Z48" s="561">
        <f t="shared" si="0"/>
        <v>-365138</v>
      </c>
      <c r="AA48" s="561">
        <f>IFERROR(VLOOKUP(B48,'DSOAT-T1.2025'!$B$11:$AR$78,55,0),0)</f>
        <v>0</v>
      </c>
      <c r="AB48" s="561">
        <f t="shared" si="1"/>
        <v>-34775</v>
      </c>
      <c r="AC48" s="561">
        <f>IFERROR(VLOOKUP(B48,'DSOAT-T1.2025'!$B$11:$AS$78,56,0),0)</f>
        <v>0</v>
      </c>
      <c r="AD48" s="66">
        <f t="shared" si="2"/>
        <v>-277139</v>
      </c>
    </row>
    <row r="49" spans="1:31" ht="16.5" hidden="1">
      <c r="A49" s="467" t="s">
        <v>180</v>
      </c>
      <c r="B49" s="468" t="s">
        <v>64</v>
      </c>
      <c r="C49" s="461">
        <v>40</v>
      </c>
      <c r="D49" s="455" t="s">
        <v>65</v>
      </c>
      <c r="E49" s="474">
        <v>418</v>
      </c>
      <c r="F49" s="466">
        <v>1.04</v>
      </c>
      <c r="G49" s="465">
        <v>23</v>
      </c>
      <c r="H49" s="462">
        <v>3568317</v>
      </c>
      <c r="I49" s="462">
        <v>2719020</v>
      </c>
      <c r="J49" s="462">
        <v>0</v>
      </c>
      <c r="K49" s="462">
        <v>6287337</v>
      </c>
      <c r="L49" s="462">
        <v>2000000</v>
      </c>
      <c r="M49" s="462">
        <v>365138</v>
      </c>
      <c r="N49" s="462">
        <v>34775</v>
      </c>
      <c r="O49" s="462">
        <v>0</v>
      </c>
      <c r="P49" s="462">
        <v>3887424</v>
      </c>
      <c r="Q49" s="472">
        <v>4975657</v>
      </c>
      <c r="R49" s="476">
        <v>1311680</v>
      </c>
      <c r="S49" s="452" t="s">
        <v>64</v>
      </c>
      <c r="T49" s="454">
        <v>6187990</v>
      </c>
      <c r="U49" s="454">
        <v>-99347</v>
      </c>
      <c r="V49" s="452">
        <v>0</v>
      </c>
      <c r="W49" s="452" t="s">
        <v>64</v>
      </c>
      <c r="X49" s="450"/>
      <c r="Y49" s="561">
        <f>IFERROR(VLOOKUP(B49,'DSOAT-T1.2025'!$B$11:$AQ$78,54,0),0)</f>
        <v>0</v>
      </c>
      <c r="Z49" s="561">
        <f t="shared" si="0"/>
        <v>-365138</v>
      </c>
      <c r="AA49" s="561">
        <f>IFERROR(VLOOKUP(B49,'DSOAT-T1.2025'!$B$11:$AR$78,55,0),0)</f>
        <v>0</v>
      </c>
      <c r="AB49" s="561">
        <f t="shared" si="1"/>
        <v>-34775</v>
      </c>
      <c r="AC49" s="561">
        <f>IFERROR(VLOOKUP(B49,'DSOAT-T1.2025'!$B$11:$AS$78,56,0),0)</f>
        <v>0</v>
      </c>
      <c r="AD49" s="66">
        <f t="shared" si="2"/>
        <v>0</v>
      </c>
    </row>
    <row r="50" spans="1:31" ht="16.5" hidden="1">
      <c r="A50" s="467" t="s">
        <v>180</v>
      </c>
      <c r="B50" s="468" t="s">
        <v>160</v>
      </c>
      <c r="C50" s="461">
        <v>41</v>
      </c>
      <c r="D50" s="455" t="s">
        <v>148</v>
      </c>
      <c r="E50" s="474">
        <v>431</v>
      </c>
      <c r="F50" s="466">
        <v>0.67</v>
      </c>
      <c r="G50" s="465">
        <v>20.5</v>
      </c>
      <c r="H50" s="462">
        <v>2372802</v>
      </c>
      <c r="I50" s="462">
        <v>15411869</v>
      </c>
      <c r="J50" s="462">
        <v>0</v>
      </c>
      <c r="K50" s="462">
        <v>17784671</v>
      </c>
      <c r="L50" s="462">
        <v>2000000</v>
      </c>
      <c r="M50" s="462">
        <v>365138</v>
      </c>
      <c r="N50" s="462">
        <v>34775</v>
      </c>
      <c r="O50" s="462">
        <v>470953</v>
      </c>
      <c r="P50" s="462">
        <v>14913805</v>
      </c>
      <c r="Q50" s="472">
        <v>17956674</v>
      </c>
      <c r="R50" s="476">
        <v>-172003</v>
      </c>
      <c r="S50" s="452" t="s">
        <v>160</v>
      </c>
      <c r="T50" s="454">
        <v>24005944</v>
      </c>
      <c r="U50" s="454">
        <v>6221273</v>
      </c>
      <c r="V50" s="452" t="s">
        <v>160</v>
      </c>
      <c r="W50" s="452" t="s">
        <v>160</v>
      </c>
      <c r="X50" s="450"/>
      <c r="Y50" s="561">
        <f>IFERROR(VLOOKUP(B50,'DSOAT-T1.2025'!$B$11:$AQ$78,54,0),0)</f>
        <v>0</v>
      </c>
      <c r="Z50" s="561">
        <f t="shared" si="0"/>
        <v>-365138</v>
      </c>
      <c r="AA50" s="561">
        <f>IFERROR(VLOOKUP(B50,'DSOAT-T1.2025'!$B$11:$AR$78,55,0),0)</f>
        <v>0</v>
      </c>
      <c r="AB50" s="561">
        <f t="shared" si="1"/>
        <v>-34775</v>
      </c>
      <c r="AC50" s="561">
        <f>IFERROR(VLOOKUP(B50,'DSOAT-T1.2025'!$B$11:$AS$78,56,0),0)</f>
        <v>0</v>
      </c>
      <c r="AD50" s="66">
        <f t="shared" si="2"/>
        <v>-470953</v>
      </c>
    </row>
    <row r="51" spans="1:31" ht="16.5" hidden="1">
      <c r="A51" s="467" t="s">
        <v>180</v>
      </c>
      <c r="B51" s="468" t="s">
        <v>284</v>
      </c>
      <c r="C51" s="461">
        <v>42</v>
      </c>
      <c r="D51" s="455" t="s">
        <v>282</v>
      </c>
      <c r="E51" s="474">
        <v>524</v>
      </c>
      <c r="F51" s="466">
        <v>1.05</v>
      </c>
      <c r="G51" s="465">
        <v>23.5</v>
      </c>
      <c r="H51" s="462">
        <v>4483419</v>
      </c>
      <c r="I51" s="462">
        <v>11566666</v>
      </c>
      <c r="J51" s="462">
        <v>0</v>
      </c>
      <c r="K51" s="462">
        <v>16050085</v>
      </c>
      <c r="L51" s="462">
        <v>2000000</v>
      </c>
      <c r="M51" s="462">
        <v>365138</v>
      </c>
      <c r="N51" s="462">
        <v>34775</v>
      </c>
      <c r="O51" s="462">
        <v>466855</v>
      </c>
      <c r="P51" s="462">
        <v>13183317</v>
      </c>
      <c r="Q51" s="472">
        <v>10851734</v>
      </c>
      <c r="R51" s="476">
        <v>5198351</v>
      </c>
      <c r="S51" s="452" t="s">
        <v>284</v>
      </c>
      <c r="T51" s="454">
        <v>24005944</v>
      </c>
      <c r="U51" s="454">
        <v>7955859</v>
      </c>
      <c r="V51" s="452" t="s">
        <v>284</v>
      </c>
      <c r="W51" s="452" t="s">
        <v>284</v>
      </c>
      <c r="X51" s="450"/>
      <c r="Y51" s="561">
        <f>IFERROR(VLOOKUP(B51,'DSOAT-T1.2025'!$B$11:$AQ$78,54,0),0)</f>
        <v>0</v>
      </c>
      <c r="Z51" s="561">
        <f t="shared" si="0"/>
        <v>-365138</v>
      </c>
      <c r="AA51" s="561">
        <f>IFERROR(VLOOKUP(B51,'DSOAT-T1.2025'!$B$11:$AR$78,55,0),0)</f>
        <v>0</v>
      </c>
      <c r="AB51" s="561">
        <f t="shared" si="1"/>
        <v>-34775</v>
      </c>
      <c r="AC51" s="561">
        <f>IFERROR(VLOOKUP(B51,'DSOAT-T1.2025'!$B$11:$AS$78,56,0),0)</f>
        <v>0</v>
      </c>
      <c r="AD51" s="66">
        <f t="shared" si="2"/>
        <v>-466855</v>
      </c>
    </row>
    <row r="52" spans="1:31" ht="16.5" hidden="1">
      <c r="A52" s="467" t="s">
        <v>180</v>
      </c>
      <c r="B52" s="468" t="s">
        <v>290</v>
      </c>
      <c r="C52" s="461">
        <v>43</v>
      </c>
      <c r="D52" s="455" t="s">
        <v>289</v>
      </c>
      <c r="E52" s="474">
        <v>418</v>
      </c>
      <c r="F52" s="466">
        <v>1.26</v>
      </c>
      <c r="G52" s="465">
        <v>26</v>
      </c>
      <c r="H52" s="462">
        <v>4323154</v>
      </c>
      <c r="I52" s="462">
        <v>8100400</v>
      </c>
      <c r="J52" s="462">
        <v>0</v>
      </c>
      <c r="K52" s="462">
        <v>12423554</v>
      </c>
      <c r="L52" s="462">
        <v>2000000</v>
      </c>
      <c r="M52" s="462">
        <v>365138</v>
      </c>
      <c r="N52" s="462">
        <v>34775</v>
      </c>
      <c r="O52" s="462">
        <v>104821</v>
      </c>
      <c r="P52" s="462">
        <v>9918820</v>
      </c>
      <c r="Q52" s="472">
        <v>7673052</v>
      </c>
      <c r="R52" s="476">
        <v>4750502</v>
      </c>
      <c r="S52" s="452" t="s">
        <v>290</v>
      </c>
      <c r="T52" s="454">
        <v>24005944</v>
      </c>
      <c r="U52" s="454">
        <v>11582390</v>
      </c>
      <c r="V52" s="452" t="s">
        <v>290</v>
      </c>
      <c r="W52" s="452" t="s">
        <v>290</v>
      </c>
      <c r="X52" s="450"/>
      <c r="Y52" s="561">
        <f>IFERROR(VLOOKUP(B52,'DSOAT-T1.2025'!$B$11:$AQ$78,54,0),0)</f>
        <v>0</v>
      </c>
      <c r="Z52" s="561">
        <f t="shared" si="0"/>
        <v>-365138</v>
      </c>
      <c r="AA52" s="561">
        <f>IFERROR(VLOOKUP(B52,'DSOAT-T1.2025'!$B$11:$AR$78,55,0),0)</f>
        <v>0</v>
      </c>
      <c r="AB52" s="561">
        <f t="shared" si="1"/>
        <v>-34775</v>
      </c>
      <c r="AC52" s="561">
        <f>IFERROR(VLOOKUP(B52,'DSOAT-T1.2025'!$B$11:$AS$78,56,0),0)</f>
        <v>0</v>
      </c>
      <c r="AD52" s="66">
        <f t="shared" si="2"/>
        <v>-104821</v>
      </c>
    </row>
    <row r="53" spans="1:31" ht="16.5" hidden="1">
      <c r="A53" s="467" t="s">
        <v>181</v>
      </c>
      <c r="B53" s="468" t="s">
        <v>68</v>
      </c>
      <c r="C53" s="461">
        <v>44</v>
      </c>
      <c r="D53" s="455" t="s">
        <v>69</v>
      </c>
      <c r="E53" s="474">
        <v>335</v>
      </c>
      <c r="F53" s="466">
        <v>0</v>
      </c>
      <c r="G53" s="465">
        <v>0</v>
      </c>
      <c r="H53" s="462">
        <v>0</v>
      </c>
      <c r="I53" s="462">
        <v>0</v>
      </c>
      <c r="J53" s="462">
        <v>0</v>
      </c>
      <c r="K53" s="462">
        <v>0</v>
      </c>
      <c r="L53" s="462">
        <v>0</v>
      </c>
      <c r="M53" s="462">
        <v>0</v>
      </c>
      <c r="N53" s="462">
        <v>0</v>
      </c>
      <c r="O53" s="462">
        <v>0</v>
      </c>
      <c r="P53" s="462">
        <v>0</v>
      </c>
      <c r="Q53" s="472">
        <v>0</v>
      </c>
      <c r="R53" s="476">
        <v>0</v>
      </c>
      <c r="S53" s="452" t="s">
        <v>68</v>
      </c>
      <c r="T53" s="454">
        <v>24005944</v>
      </c>
      <c r="U53" s="454">
        <v>24005944</v>
      </c>
      <c r="V53" s="452">
        <v>0</v>
      </c>
      <c r="W53" s="452" t="s">
        <v>68</v>
      </c>
      <c r="X53" s="452" t="s">
        <v>900</v>
      </c>
      <c r="Y53" s="561">
        <f>IFERROR(VLOOKUP(B53,'DSOAT-T1.2025'!$B$11:$AQ$78,54,0),0)</f>
        <v>0</v>
      </c>
      <c r="Z53" s="561">
        <f t="shared" si="0"/>
        <v>0</v>
      </c>
      <c r="AA53" s="561">
        <f>IFERROR(VLOOKUP(B53,'DSOAT-T1.2025'!$B$11:$AR$78,55,0),0)</f>
        <v>0</v>
      </c>
      <c r="AB53" s="561">
        <f t="shared" si="1"/>
        <v>0</v>
      </c>
      <c r="AC53" s="561">
        <f>IFERROR(VLOOKUP(B53,'DSOAT-T1.2025'!$B$11:$AS$78,56,0),0)</f>
        <v>0</v>
      </c>
      <c r="AD53" s="66">
        <f t="shared" si="2"/>
        <v>0</v>
      </c>
    </row>
    <row r="54" spans="1:31" ht="16.5" hidden="1">
      <c r="A54" s="467" t="s">
        <v>181</v>
      </c>
      <c r="B54" s="468" t="s">
        <v>71</v>
      </c>
      <c r="C54" s="461">
        <v>45</v>
      </c>
      <c r="D54" s="455" t="s">
        <v>72</v>
      </c>
      <c r="E54" s="474">
        <v>418</v>
      </c>
      <c r="F54" s="466">
        <v>1.29</v>
      </c>
      <c r="G54" s="465">
        <v>20.5</v>
      </c>
      <c r="H54" s="462">
        <v>4413409</v>
      </c>
      <c r="I54" s="462">
        <v>7474382</v>
      </c>
      <c r="J54" s="462">
        <v>0</v>
      </c>
      <c r="K54" s="462">
        <v>11887791</v>
      </c>
      <c r="L54" s="462">
        <v>2000000</v>
      </c>
      <c r="M54" s="462">
        <v>365138</v>
      </c>
      <c r="N54" s="462">
        <v>34775</v>
      </c>
      <c r="O54" s="462">
        <v>395064</v>
      </c>
      <c r="P54" s="462">
        <v>9092814</v>
      </c>
      <c r="Q54" s="472">
        <v>13801950</v>
      </c>
      <c r="R54" s="476">
        <v>-1914159</v>
      </c>
      <c r="S54" s="452" t="s">
        <v>71</v>
      </c>
      <c r="T54" s="454">
        <v>9363634</v>
      </c>
      <c r="U54" s="454">
        <v>-2524157</v>
      </c>
      <c r="V54" s="452">
        <v>0</v>
      </c>
      <c r="W54" s="452" t="s">
        <v>71</v>
      </c>
      <c r="X54" s="450"/>
      <c r="Y54" s="561">
        <f>IFERROR(VLOOKUP(B54,'DSOAT-T1.2025'!$B$11:$AQ$78,54,0),0)</f>
        <v>0</v>
      </c>
      <c r="Z54" s="561">
        <f t="shared" si="0"/>
        <v>-365138</v>
      </c>
      <c r="AA54" s="561">
        <f>IFERROR(VLOOKUP(B54,'DSOAT-T1.2025'!$B$11:$AR$78,55,0),0)</f>
        <v>0</v>
      </c>
      <c r="AB54" s="561">
        <f t="shared" si="1"/>
        <v>-34775</v>
      </c>
      <c r="AC54" s="561">
        <f>IFERROR(VLOOKUP(B54,'DSOAT-T1.2025'!$B$11:$AS$78,56,0),0)</f>
        <v>0</v>
      </c>
      <c r="AD54" s="66">
        <f t="shared" si="2"/>
        <v>-395064</v>
      </c>
      <c r="AE54">
        <f>IFERROR(VLOOKUP(B54,'DSOAT-T1.2025'!$B$11:$BH$78,67,0),0)</f>
        <v>0</v>
      </c>
    </row>
    <row r="55" spans="1:31" ht="16.5" hidden="1">
      <c r="A55" s="467" t="s">
        <v>181</v>
      </c>
      <c r="B55" s="468" t="s">
        <v>73</v>
      </c>
      <c r="C55" s="461">
        <v>46</v>
      </c>
      <c r="D55" s="455" t="s">
        <v>182</v>
      </c>
      <c r="E55" s="474">
        <v>431</v>
      </c>
      <c r="F55" s="466">
        <v>0.86</v>
      </c>
      <c r="G55" s="465">
        <v>20.5</v>
      </c>
      <c r="H55" s="462">
        <v>3010563</v>
      </c>
      <c r="I55" s="462">
        <v>5535124</v>
      </c>
      <c r="J55" s="462">
        <v>0</v>
      </c>
      <c r="K55" s="462">
        <v>8545687</v>
      </c>
      <c r="L55" s="462">
        <v>2000000</v>
      </c>
      <c r="M55" s="462">
        <v>365138</v>
      </c>
      <c r="N55" s="462">
        <v>34775</v>
      </c>
      <c r="O55" s="462">
        <v>0</v>
      </c>
      <c r="P55" s="462">
        <v>6145774</v>
      </c>
      <c r="Q55" s="472">
        <v>8546618</v>
      </c>
      <c r="R55" s="476">
        <v>-931</v>
      </c>
      <c r="S55" s="452" t="s">
        <v>73</v>
      </c>
      <c r="T55" s="454">
        <v>9654509</v>
      </c>
      <c r="U55" s="454">
        <v>1108822</v>
      </c>
      <c r="V55" s="452">
        <v>0</v>
      </c>
      <c r="W55" s="452" t="s">
        <v>73</v>
      </c>
      <c r="X55" s="450"/>
      <c r="Y55" s="561">
        <f>IFERROR(VLOOKUP(B55,'DSOAT-T1.2025'!$B$11:$AQ$78,54,0),0)</f>
        <v>0</v>
      </c>
      <c r="Z55" s="561">
        <f t="shared" si="0"/>
        <v>-365138</v>
      </c>
      <c r="AA55" s="561">
        <f>IFERROR(VLOOKUP(B55,'DSOAT-T1.2025'!$B$11:$AR$78,55,0),0)</f>
        <v>0</v>
      </c>
      <c r="AB55" s="561">
        <f t="shared" si="1"/>
        <v>-34775</v>
      </c>
      <c r="AC55" s="561">
        <f>IFERROR(VLOOKUP(B55,'DSOAT-T1.2025'!$B$11:$AS$78,56,0),0)</f>
        <v>0</v>
      </c>
      <c r="AD55" s="66">
        <f t="shared" si="2"/>
        <v>0</v>
      </c>
    </row>
    <row r="56" spans="1:31" ht="16.5" hidden="1">
      <c r="A56" s="467" t="s">
        <v>181</v>
      </c>
      <c r="B56" s="468" t="s">
        <v>75</v>
      </c>
      <c r="C56" s="461">
        <v>47</v>
      </c>
      <c r="D56" s="455" t="s">
        <v>76</v>
      </c>
      <c r="E56" s="474">
        <v>418</v>
      </c>
      <c r="F56" s="466">
        <v>1.23</v>
      </c>
      <c r="G56" s="465">
        <v>20.5</v>
      </c>
      <c r="H56" s="462">
        <v>4208134</v>
      </c>
      <c r="I56" s="462">
        <v>2223395</v>
      </c>
      <c r="J56" s="462">
        <v>0</v>
      </c>
      <c r="K56" s="462">
        <v>6431529</v>
      </c>
      <c r="L56" s="462">
        <v>2000000</v>
      </c>
      <c r="M56" s="462">
        <v>365138</v>
      </c>
      <c r="N56" s="462">
        <v>34775</v>
      </c>
      <c r="O56" s="462">
        <v>0</v>
      </c>
      <c r="P56" s="462">
        <v>4031616</v>
      </c>
      <c r="Q56" s="472">
        <v>8286035</v>
      </c>
      <c r="R56" s="476">
        <v>-1854506</v>
      </c>
      <c r="S56" s="452" t="s">
        <v>75</v>
      </c>
      <c r="T56" s="454">
        <v>9075874</v>
      </c>
      <c r="U56" s="454">
        <v>2644345</v>
      </c>
      <c r="V56" s="452" t="s">
        <v>75</v>
      </c>
      <c r="W56" s="452" t="s">
        <v>75</v>
      </c>
      <c r="X56" s="450"/>
      <c r="Y56" s="561">
        <f>IFERROR(VLOOKUP(B56,'DSOAT-T1.2025'!$B$11:$AQ$78,54,0),0)</f>
        <v>0</v>
      </c>
      <c r="Z56" s="561">
        <f t="shared" si="0"/>
        <v>-365138</v>
      </c>
      <c r="AA56" s="561">
        <f>IFERROR(VLOOKUP(B56,'DSOAT-T1.2025'!$B$11:$AR$78,55,0),0)</f>
        <v>0</v>
      </c>
      <c r="AB56" s="561">
        <f t="shared" si="1"/>
        <v>-34775</v>
      </c>
      <c r="AC56" s="561">
        <f>IFERROR(VLOOKUP(B56,'DSOAT-T1.2025'!$B$11:$AS$78,56,0),0)</f>
        <v>0</v>
      </c>
      <c r="AD56" s="66">
        <f t="shared" si="2"/>
        <v>0</v>
      </c>
    </row>
    <row r="57" spans="1:31" ht="16.5" hidden="1">
      <c r="A57" s="467" t="s">
        <v>181</v>
      </c>
      <c r="B57" s="468" t="s">
        <v>162</v>
      </c>
      <c r="C57" s="461">
        <v>48</v>
      </c>
      <c r="D57" s="455" t="s">
        <v>150</v>
      </c>
      <c r="E57" s="474">
        <v>431</v>
      </c>
      <c r="F57" s="466">
        <v>0.8</v>
      </c>
      <c r="G57" s="465">
        <v>20.5</v>
      </c>
      <c r="H57" s="462">
        <v>2818707</v>
      </c>
      <c r="I57" s="462">
        <v>7606737</v>
      </c>
      <c r="J57" s="462">
        <v>0</v>
      </c>
      <c r="K57" s="462">
        <v>10425444</v>
      </c>
      <c r="L57" s="462">
        <v>2000000</v>
      </c>
      <c r="M57" s="462">
        <v>365138</v>
      </c>
      <c r="N57" s="462">
        <v>34775</v>
      </c>
      <c r="O57" s="462">
        <v>16365</v>
      </c>
      <c r="P57" s="462">
        <v>8009166</v>
      </c>
      <c r="Q57" s="472">
        <v>9931495</v>
      </c>
      <c r="R57" s="476">
        <v>493949</v>
      </c>
      <c r="S57" s="452" t="s">
        <v>162</v>
      </c>
      <c r="T57" s="454">
        <v>11229313</v>
      </c>
      <c r="U57" s="454">
        <v>803869</v>
      </c>
      <c r="V57" s="452" t="s">
        <v>162</v>
      </c>
      <c r="W57" s="452" t="s">
        <v>162</v>
      </c>
      <c r="X57" s="450"/>
      <c r="Y57" s="561">
        <f>IFERROR(VLOOKUP(B57,'DSOAT-T1.2025'!$B$11:$AQ$78,54,0),0)</f>
        <v>0</v>
      </c>
      <c r="Z57" s="561">
        <f t="shared" si="0"/>
        <v>-365138</v>
      </c>
      <c r="AA57" s="561">
        <f>IFERROR(VLOOKUP(B57,'DSOAT-T1.2025'!$B$11:$AR$78,55,0),0)</f>
        <v>0</v>
      </c>
      <c r="AB57" s="561">
        <f t="shared" si="1"/>
        <v>-34775</v>
      </c>
      <c r="AC57" s="561">
        <f>IFERROR(VLOOKUP(B57,'DSOAT-T1.2025'!$B$11:$AS$78,56,0),0)</f>
        <v>0</v>
      </c>
      <c r="AD57" s="66">
        <f t="shared" si="2"/>
        <v>-16365</v>
      </c>
    </row>
    <row r="58" spans="1:31" ht="16.5" hidden="1">
      <c r="A58" s="467" t="s">
        <v>181</v>
      </c>
      <c r="B58" s="468" t="s">
        <v>166</v>
      </c>
      <c r="C58" s="461">
        <v>49</v>
      </c>
      <c r="D58" s="455" t="s">
        <v>149</v>
      </c>
      <c r="E58" s="474">
        <v>431</v>
      </c>
      <c r="F58" s="466">
        <v>0.88</v>
      </c>
      <c r="G58" s="465">
        <v>20.5</v>
      </c>
      <c r="H58" s="462">
        <v>3098077</v>
      </c>
      <c r="I58" s="462">
        <v>6839974</v>
      </c>
      <c r="J58" s="462">
        <v>0</v>
      </c>
      <c r="K58" s="462">
        <v>9938051</v>
      </c>
      <c r="L58" s="462">
        <v>2000000</v>
      </c>
      <c r="M58" s="462">
        <v>365138</v>
      </c>
      <c r="N58" s="462">
        <v>34775</v>
      </c>
      <c r="O58" s="462">
        <v>0</v>
      </c>
      <c r="P58" s="462">
        <v>7538138</v>
      </c>
      <c r="Q58" s="472">
        <v>9596489</v>
      </c>
      <c r="R58" s="476">
        <v>341562</v>
      </c>
      <c r="S58" s="452" t="s">
        <v>166</v>
      </c>
      <c r="T58" s="454">
        <v>11956714</v>
      </c>
      <c r="U58" s="454">
        <v>2018663</v>
      </c>
      <c r="V58" s="452" t="s">
        <v>166</v>
      </c>
      <c r="W58" s="452" t="s">
        <v>166</v>
      </c>
      <c r="X58" s="450"/>
      <c r="Y58" s="561">
        <f>IFERROR(VLOOKUP(B58,'DSOAT-T1.2025'!$B$11:$AQ$78,54,0),0)</f>
        <v>0</v>
      </c>
      <c r="Z58" s="561">
        <f t="shared" si="0"/>
        <v>-365138</v>
      </c>
      <c r="AA58" s="561">
        <f>IFERROR(VLOOKUP(B58,'DSOAT-T1.2025'!$B$11:$AR$78,55,0),0)</f>
        <v>0</v>
      </c>
      <c r="AB58" s="561">
        <f t="shared" si="1"/>
        <v>-34775</v>
      </c>
      <c r="AC58" s="561">
        <f>IFERROR(VLOOKUP(B58,'DSOAT-T1.2025'!$B$11:$AS$78,56,0),0)</f>
        <v>0</v>
      </c>
      <c r="AD58" s="66">
        <f t="shared" si="2"/>
        <v>0</v>
      </c>
    </row>
    <row r="59" spans="1:31" ht="16.5" hidden="1">
      <c r="A59" s="467" t="s">
        <v>179</v>
      </c>
      <c r="B59" s="468" t="s">
        <v>165</v>
      </c>
      <c r="C59" s="461">
        <v>50</v>
      </c>
      <c r="D59" s="455" t="s">
        <v>151</v>
      </c>
      <c r="E59" s="474">
        <v>431</v>
      </c>
      <c r="F59" s="466">
        <v>1.41</v>
      </c>
      <c r="G59" s="465">
        <v>20.5</v>
      </c>
      <c r="H59" s="462">
        <v>5007530</v>
      </c>
      <c r="I59" s="462">
        <v>6112881</v>
      </c>
      <c r="J59" s="462">
        <v>0</v>
      </c>
      <c r="K59" s="462">
        <v>11120411</v>
      </c>
      <c r="L59" s="462">
        <v>2000000</v>
      </c>
      <c r="M59" s="462">
        <v>408954</v>
      </c>
      <c r="N59" s="462">
        <v>38948</v>
      </c>
      <c r="O59" s="462">
        <v>245055</v>
      </c>
      <c r="P59" s="462">
        <v>8427454</v>
      </c>
      <c r="Q59" s="472">
        <v>6702052</v>
      </c>
      <c r="R59" s="476">
        <v>4418359</v>
      </c>
      <c r="S59" s="452" t="s">
        <v>165</v>
      </c>
      <c r="T59" s="454">
        <v>16496660</v>
      </c>
      <c r="U59" s="454">
        <v>5376249</v>
      </c>
      <c r="V59" s="452" t="s">
        <v>165</v>
      </c>
      <c r="W59" s="452" t="s">
        <v>165</v>
      </c>
      <c r="X59" s="450"/>
      <c r="Y59" s="561">
        <f>IFERROR(VLOOKUP(B59,'DSOAT-T1.2025'!$B$11:$AQ$78,54,0),0)</f>
        <v>0</v>
      </c>
      <c r="Z59" s="561">
        <f t="shared" si="0"/>
        <v>-408954</v>
      </c>
      <c r="AA59" s="561">
        <f>IFERROR(VLOOKUP(B59,'DSOAT-T1.2025'!$B$11:$AR$78,55,0),0)</f>
        <v>0</v>
      </c>
      <c r="AB59" s="561">
        <f t="shared" si="1"/>
        <v>-38948</v>
      </c>
      <c r="AC59" s="561">
        <f>IFERROR(VLOOKUP(B59,'DSOAT-T1.2025'!$B$11:$AS$78,56,0),0)</f>
        <v>0</v>
      </c>
      <c r="AD59" s="66">
        <f t="shared" si="2"/>
        <v>-245055</v>
      </c>
    </row>
    <row r="60" spans="1:31" ht="16.5" hidden="1">
      <c r="A60" s="467" t="s">
        <v>183</v>
      </c>
      <c r="B60" s="468" t="s">
        <v>84</v>
      </c>
      <c r="C60" s="461">
        <v>51</v>
      </c>
      <c r="D60" s="455" t="s">
        <v>139</v>
      </c>
      <c r="E60" s="474">
        <v>341</v>
      </c>
      <c r="F60" s="466">
        <v>1</v>
      </c>
      <c r="G60" s="465">
        <v>20.5</v>
      </c>
      <c r="H60" s="462">
        <v>7468986</v>
      </c>
      <c r="I60" s="462">
        <v>0</v>
      </c>
      <c r="J60" s="462">
        <v>0</v>
      </c>
      <c r="K60" s="462">
        <v>7468986</v>
      </c>
      <c r="L60" s="462">
        <v>2000000</v>
      </c>
      <c r="M60" s="462">
        <v>467376</v>
      </c>
      <c r="N60" s="462">
        <v>44512</v>
      </c>
      <c r="O60" s="462">
        <v>0</v>
      </c>
      <c r="P60" s="462">
        <v>4957098</v>
      </c>
      <c r="Q60" s="472">
        <v>7536790</v>
      </c>
      <c r="R60" s="476">
        <v>-67804</v>
      </c>
      <c r="S60" s="452" t="s">
        <v>84</v>
      </c>
      <c r="T60" s="454">
        <v>5022351</v>
      </c>
      <c r="U60" s="454">
        <v>-2446635</v>
      </c>
      <c r="V60" s="452" t="s">
        <v>84</v>
      </c>
      <c r="W60" s="452" t="s">
        <v>84</v>
      </c>
      <c r="X60" s="452" t="s">
        <v>900</v>
      </c>
      <c r="Y60" s="561">
        <f>IFERROR(VLOOKUP(B60,'DSOAT-T1.2025'!$B$11:$AQ$78,54,0),0)</f>
        <v>0</v>
      </c>
      <c r="Z60" s="561">
        <f t="shared" si="0"/>
        <v>-467376</v>
      </c>
      <c r="AA60" s="561">
        <f>IFERROR(VLOOKUP(B60,'DSOAT-T1.2025'!$B$11:$AR$78,55,0),0)</f>
        <v>0</v>
      </c>
      <c r="AB60" s="561">
        <f t="shared" si="1"/>
        <v>-44512</v>
      </c>
      <c r="AC60" s="561">
        <f>IFERROR(VLOOKUP(B60,'DSOAT-T1.2025'!$B$11:$AS$78,56,0),0)</f>
        <v>0</v>
      </c>
      <c r="AD60" s="66">
        <f t="shared" si="2"/>
        <v>0</v>
      </c>
    </row>
    <row r="61" spans="1:31" ht="16.5">
      <c r="A61" s="467" t="s">
        <v>186</v>
      </c>
      <c r="B61" s="468" t="s">
        <v>57</v>
      </c>
      <c r="C61" s="461">
        <v>52</v>
      </c>
      <c r="D61" s="455" t="s">
        <v>58</v>
      </c>
      <c r="E61" s="474">
        <v>415</v>
      </c>
      <c r="F61" s="466">
        <v>1</v>
      </c>
      <c r="G61" s="465">
        <v>20.5</v>
      </c>
      <c r="H61" s="462">
        <v>9130000</v>
      </c>
      <c r="I61" s="462">
        <v>0</v>
      </c>
      <c r="J61" s="462">
        <v>0</v>
      </c>
      <c r="K61" s="462">
        <v>9130000</v>
      </c>
      <c r="L61" s="462">
        <v>2000000</v>
      </c>
      <c r="M61" s="462">
        <v>408954</v>
      </c>
      <c r="N61" s="462">
        <v>38948</v>
      </c>
      <c r="O61" s="462">
        <v>0</v>
      </c>
      <c r="P61" s="462">
        <v>6682098</v>
      </c>
      <c r="Q61" s="472">
        <v>9081524</v>
      </c>
      <c r="R61" s="476">
        <v>48476</v>
      </c>
      <c r="S61" s="452" t="s">
        <v>57</v>
      </c>
      <c r="T61" s="454">
        <v>0</v>
      </c>
      <c r="U61" s="454">
        <v>-9130000</v>
      </c>
      <c r="V61" s="452" t="s">
        <v>57</v>
      </c>
      <c r="W61" s="452" t="s">
        <v>57</v>
      </c>
      <c r="X61" s="452" t="s">
        <v>900</v>
      </c>
      <c r="Y61" s="561">
        <f>IFERROR(VLOOKUP(B61,'DSOAT-T1.2025'!$B$11:$AQ$78,54,0),0)</f>
        <v>0</v>
      </c>
      <c r="Z61" s="561">
        <f t="shared" si="0"/>
        <v>-408954</v>
      </c>
      <c r="AA61" s="561">
        <f>IFERROR(VLOOKUP(B61,'DSOAT-T1.2025'!$B$11:$AR$78,55,0),0)</f>
        <v>0</v>
      </c>
      <c r="AB61" s="74">
        <f t="shared" si="1"/>
        <v>-38948</v>
      </c>
      <c r="AC61" s="561">
        <f>IFERROR(VLOOKUP(B61,'DSOAT-T1.2025'!$B$11:$AS$78,56,0),0)</f>
        <v>0</v>
      </c>
      <c r="AD61" s="66">
        <f t="shared" si="2"/>
        <v>0</v>
      </c>
    </row>
    <row r="62" spans="1:31" ht="16.5" hidden="1">
      <c r="A62" s="467" t="s">
        <v>183</v>
      </c>
      <c r="B62" s="468" t="s">
        <v>77</v>
      </c>
      <c r="C62" s="461">
        <v>53</v>
      </c>
      <c r="D62" s="455" t="s">
        <v>78</v>
      </c>
      <c r="E62" s="474">
        <v>524</v>
      </c>
      <c r="F62" s="466">
        <v>1.27</v>
      </c>
      <c r="G62" s="465">
        <v>23</v>
      </c>
      <c r="H62" s="462">
        <v>5483555</v>
      </c>
      <c r="I62" s="462">
        <v>14755567</v>
      </c>
      <c r="J62" s="462">
        <v>0</v>
      </c>
      <c r="K62" s="462">
        <v>20239122</v>
      </c>
      <c r="L62" s="462">
        <v>2000000</v>
      </c>
      <c r="M62" s="462">
        <v>467376</v>
      </c>
      <c r="N62" s="462">
        <v>44512</v>
      </c>
      <c r="O62" s="462">
        <v>2449535</v>
      </c>
      <c r="P62" s="462">
        <v>15277699</v>
      </c>
      <c r="Q62" s="472">
        <v>8805396</v>
      </c>
      <c r="R62" s="476">
        <v>11433726</v>
      </c>
      <c r="S62" s="452" t="s">
        <v>77</v>
      </c>
      <c r="T62" s="454">
        <v>8828967</v>
      </c>
      <c r="U62" s="454">
        <v>-11410155</v>
      </c>
      <c r="V62" s="452" t="s">
        <v>77</v>
      </c>
      <c r="W62" s="452" t="s">
        <v>77</v>
      </c>
      <c r="X62" s="450"/>
      <c r="Y62" s="561">
        <f>IFERROR(VLOOKUP(B62,'DSOAT-T1.2025'!$B$11:$AQ$78,54,0),0)</f>
        <v>0</v>
      </c>
      <c r="Z62" s="561">
        <f t="shared" si="0"/>
        <v>-467376</v>
      </c>
      <c r="AA62" s="561">
        <f>IFERROR(VLOOKUP(B62,'DSOAT-T1.2025'!$B$11:$AR$78,55,0),0)</f>
        <v>0</v>
      </c>
      <c r="AB62" s="561">
        <f t="shared" si="1"/>
        <v>-44512</v>
      </c>
      <c r="AC62" s="561">
        <f>IFERROR(VLOOKUP(B62,'DSOAT-T1.2025'!$B$11:$AS$78,56,0),0)</f>
        <v>0</v>
      </c>
      <c r="AD62" s="66">
        <f t="shared" si="2"/>
        <v>-2449535</v>
      </c>
    </row>
    <row r="63" spans="1:31" ht="16.5" hidden="1">
      <c r="A63" s="467" t="s">
        <v>183</v>
      </c>
      <c r="B63" s="468" t="s">
        <v>80</v>
      </c>
      <c r="C63" s="461">
        <v>54</v>
      </c>
      <c r="D63" s="455" t="s">
        <v>81</v>
      </c>
      <c r="E63" s="474">
        <v>418</v>
      </c>
      <c r="F63" s="466">
        <v>1.32</v>
      </c>
      <c r="G63" s="465">
        <v>25.5</v>
      </c>
      <c r="H63" s="462">
        <v>4526495</v>
      </c>
      <c r="I63" s="462">
        <v>3632136</v>
      </c>
      <c r="J63" s="462">
        <v>0</v>
      </c>
      <c r="K63" s="462">
        <v>8158631</v>
      </c>
      <c r="L63" s="462">
        <v>2000000</v>
      </c>
      <c r="M63" s="462">
        <v>467376</v>
      </c>
      <c r="N63" s="462">
        <v>44512</v>
      </c>
      <c r="O63" s="462">
        <v>0</v>
      </c>
      <c r="P63" s="462">
        <v>5646743</v>
      </c>
      <c r="Q63" s="472">
        <v>7518631</v>
      </c>
      <c r="R63" s="476">
        <v>640000</v>
      </c>
      <c r="S63" s="452" t="s">
        <v>80</v>
      </c>
      <c r="T63" s="454">
        <v>8830256</v>
      </c>
      <c r="U63" s="454">
        <v>671625</v>
      </c>
      <c r="V63" s="452" t="s">
        <v>80</v>
      </c>
      <c r="W63" s="452" t="s">
        <v>80</v>
      </c>
      <c r="X63" s="450"/>
      <c r="Y63" s="561">
        <f>IFERROR(VLOOKUP(B63,'DSOAT-T1.2025'!$B$11:$AQ$78,54,0),0)</f>
        <v>0</v>
      </c>
      <c r="Z63" s="561">
        <f t="shared" si="0"/>
        <v>-467376</v>
      </c>
      <c r="AA63" s="561">
        <f>IFERROR(VLOOKUP(B63,'DSOAT-T1.2025'!$B$11:$AR$78,55,0),0)</f>
        <v>0</v>
      </c>
      <c r="AB63" s="561">
        <f t="shared" si="1"/>
        <v>-44512</v>
      </c>
      <c r="AC63" s="561">
        <f>IFERROR(VLOOKUP(B63,'DSOAT-T1.2025'!$B$11:$AS$78,56,0),0)</f>
        <v>0</v>
      </c>
      <c r="AD63" s="66">
        <f t="shared" si="2"/>
        <v>0</v>
      </c>
    </row>
    <row r="64" spans="1:31" ht="16.5" hidden="1">
      <c r="A64" s="467" t="s">
        <v>183</v>
      </c>
      <c r="B64" s="468" t="s">
        <v>220</v>
      </c>
      <c r="C64" s="461">
        <v>55</v>
      </c>
      <c r="D64" s="455" t="s">
        <v>221</v>
      </c>
      <c r="E64" s="474">
        <v>418</v>
      </c>
      <c r="F64" s="466">
        <v>1.37</v>
      </c>
      <c r="G64" s="465">
        <v>28</v>
      </c>
      <c r="H64" s="462">
        <v>4697953</v>
      </c>
      <c r="I64" s="462">
        <v>2145183</v>
      </c>
      <c r="J64" s="462">
        <v>0</v>
      </c>
      <c r="K64" s="462">
        <v>6843136</v>
      </c>
      <c r="L64" s="462">
        <v>2000000</v>
      </c>
      <c r="M64" s="462">
        <v>467376</v>
      </c>
      <c r="N64" s="462">
        <v>44512</v>
      </c>
      <c r="O64" s="462">
        <v>0</v>
      </c>
      <c r="P64" s="462">
        <v>4331248</v>
      </c>
      <c r="Q64" s="472">
        <v>5658774</v>
      </c>
      <c r="R64" s="476">
        <v>1184362</v>
      </c>
      <c r="S64" s="452" t="s">
        <v>220</v>
      </c>
      <c r="T64" s="454">
        <v>8830256</v>
      </c>
      <c r="U64" s="454">
        <v>1987120</v>
      </c>
      <c r="V64" s="452" t="s">
        <v>220</v>
      </c>
      <c r="W64" s="452" t="s">
        <v>220</v>
      </c>
      <c r="X64" s="450"/>
      <c r="Y64" s="561">
        <f>IFERROR(VLOOKUP(B64,'DSOAT-T1.2025'!$B$11:$AQ$78,54,0),0)</f>
        <v>0</v>
      </c>
      <c r="Z64" s="561">
        <f t="shared" si="0"/>
        <v>-467376</v>
      </c>
      <c r="AA64" s="561">
        <f>IFERROR(VLOOKUP(B64,'DSOAT-T1.2025'!$B$11:$AR$78,55,0),0)</f>
        <v>0</v>
      </c>
      <c r="AB64" s="561">
        <f t="shared" si="1"/>
        <v>-44512</v>
      </c>
      <c r="AC64" s="561">
        <f>IFERROR(VLOOKUP(B64,'DSOAT-T1.2025'!$B$11:$AS$78,56,0),0)</f>
        <v>0</v>
      </c>
      <c r="AD64" s="66">
        <f t="shared" si="2"/>
        <v>0</v>
      </c>
    </row>
    <row r="65" spans="1:31" ht="16.5" hidden="1">
      <c r="A65" s="467" t="s">
        <v>183</v>
      </c>
      <c r="B65" s="467" t="s">
        <v>141</v>
      </c>
      <c r="C65" s="461">
        <v>56</v>
      </c>
      <c r="D65" s="455" t="s">
        <v>187</v>
      </c>
      <c r="E65" s="474">
        <v>478</v>
      </c>
      <c r="F65" s="466">
        <v>1.06</v>
      </c>
      <c r="G65" s="465">
        <v>23.5</v>
      </c>
      <c r="H65" s="462">
        <v>4156670</v>
      </c>
      <c r="I65" s="462">
        <v>5773080</v>
      </c>
      <c r="J65" s="462">
        <v>0</v>
      </c>
      <c r="K65" s="462">
        <v>9929750</v>
      </c>
      <c r="L65" s="462">
        <v>2000000</v>
      </c>
      <c r="M65" s="462">
        <v>467376</v>
      </c>
      <c r="N65" s="462">
        <v>44512</v>
      </c>
      <c r="O65" s="462">
        <v>143219</v>
      </c>
      <c r="P65" s="462">
        <v>7274643</v>
      </c>
      <c r="Q65" s="472">
        <v>9042465</v>
      </c>
      <c r="R65" s="476">
        <v>887285</v>
      </c>
      <c r="S65" s="452" t="s">
        <v>141</v>
      </c>
      <c r="T65" s="454">
        <v>9087627</v>
      </c>
      <c r="U65" s="454">
        <v>-842123</v>
      </c>
      <c r="V65" s="452" t="s">
        <v>141</v>
      </c>
      <c r="W65" s="452" t="s">
        <v>141</v>
      </c>
      <c r="X65" s="450"/>
      <c r="Y65" s="561">
        <f>IFERROR(VLOOKUP(B65,'DSOAT-T1.2025'!$B$11:$AQ$78,54,0),0)</f>
        <v>0</v>
      </c>
      <c r="Z65" s="561">
        <f t="shared" si="0"/>
        <v>-467376</v>
      </c>
      <c r="AA65" s="561">
        <f>IFERROR(VLOOKUP(B65,'DSOAT-T1.2025'!$B$11:$AR$78,55,0),0)</f>
        <v>0</v>
      </c>
      <c r="AB65" s="561">
        <f t="shared" si="1"/>
        <v>-44512</v>
      </c>
      <c r="AC65" s="561">
        <f>IFERROR(VLOOKUP(B65,'DSOAT-T1.2025'!$B$11:$AS$78,56,0),0)</f>
        <v>0</v>
      </c>
      <c r="AD65" s="66">
        <f t="shared" si="2"/>
        <v>-143219</v>
      </c>
    </row>
    <row r="66" spans="1:31" ht="16.5" hidden="1">
      <c r="A66" s="467" t="s">
        <v>183</v>
      </c>
      <c r="B66" s="468" t="s">
        <v>161</v>
      </c>
      <c r="C66" s="461">
        <v>57</v>
      </c>
      <c r="D66" s="455" t="s">
        <v>152</v>
      </c>
      <c r="E66" s="474">
        <v>478</v>
      </c>
      <c r="F66" s="466">
        <v>1.08</v>
      </c>
      <c r="G66" s="465">
        <v>20.5</v>
      </c>
      <c r="H66" s="462">
        <v>4235098</v>
      </c>
      <c r="I66" s="462">
        <v>7340300</v>
      </c>
      <c r="J66" s="462">
        <v>0</v>
      </c>
      <c r="K66" s="462">
        <v>11575398</v>
      </c>
      <c r="L66" s="462">
        <v>2000000</v>
      </c>
      <c r="M66" s="462">
        <v>467376</v>
      </c>
      <c r="N66" s="462">
        <v>44512</v>
      </c>
      <c r="O66" s="462">
        <v>304602</v>
      </c>
      <c r="P66" s="462">
        <v>8758908</v>
      </c>
      <c r="Q66" s="472">
        <v>8680739</v>
      </c>
      <c r="R66" s="476">
        <v>2894659</v>
      </c>
      <c r="S66" s="452" t="s">
        <v>161</v>
      </c>
      <c r="T66" s="454">
        <v>17344084</v>
      </c>
      <c r="U66" s="454">
        <v>5768686</v>
      </c>
      <c r="V66" s="452" t="s">
        <v>161</v>
      </c>
      <c r="W66" s="452" t="s">
        <v>161</v>
      </c>
      <c r="X66" s="450"/>
      <c r="Y66" s="561">
        <f>IFERROR(VLOOKUP(B66,'DSOAT-T1.2025'!$B$11:$AQ$78,54,0),0)</f>
        <v>0</v>
      </c>
      <c r="Z66" s="561">
        <f t="shared" si="0"/>
        <v>-467376</v>
      </c>
      <c r="AA66" s="561">
        <f>IFERROR(VLOOKUP(B66,'DSOAT-T1.2025'!$B$11:$AR$78,55,0),0)</f>
        <v>0</v>
      </c>
      <c r="AB66" s="561">
        <f t="shared" si="1"/>
        <v>-44512</v>
      </c>
      <c r="AC66" s="561">
        <f>IFERROR(VLOOKUP(B66,'DSOAT-T1.2025'!$B$11:$AS$78,56,0),0)</f>
        <v>0</v>
      </c>
      <c r="AD66" s="66">
        <f t="shared" si="2"/>
        <v>-304602</v>
      </c>
    </row>
    <row r="67" spans="1:31" ht="16.5" hidden="1">
      <c r="A67" s="467" t="s">
        <v>183</v>
      </c>
      <c r="B67" s="468" t="s">
        <v>204</v>
      </c>
      <c r="C67" s="461">
        <v>58</v>
      </c>
      <c r="D67" s="455" t="s">
        <v>205</v>
      </c>
      <c r="E67" s="474">
        <v>431</v>
      </c>
      <c r="F67" s="466">
        <v>0.99</v>
      </c>
      <c r="G67" s="465">
        <v>23.5</v>
      </c>
      <c r="H67" s="462">
        <v>3491314</v>
      </c>
      <c r="I67" s="462">
        <v>9397785</v>
      </c>
      <c r="J67" s="462">
        <v>0</v>
      </c>
      <c r="K67" s="462">
        <v>12889099</v>
      </c>
      <c r="L67" s="462">
        <v>2000000</v>
      </c>
      <c r="M67" s="462">
        <v>467376</v>
      </c>
      <c r="N67" s="462">
        <v>44512</v>
      </c>
      <c r="O67" s="462">
        <v>165586</v>
      </c>
      <c r="P67" s="462">
        <v>10211625</v>
      </c>
      <c r="Q67" s="472">
        <v>16129652</v>
      </c>
      <c r="R67" s="476">
        <v>-3240553</v>
      </c>
      <c r="S67" s="452" t="s">
        <v>204</v>
      </c>
      <c r="T67" s="454">
        <v>17344084</v>
      </c>
      <c r="U67" s="454">
        <v>4454985</v>
      </c>
      <c r="V67" s="452" t="s">
        <v>204</v>
      </c>
      <c r="W67" s="452" t="s">
        <v>204</v>
      </c>
      <c r="X67" s="450"/>
      <c r="Y67" s="561">
        <f>IFERROR(VLOOKUP(B67,'DSOAT-T1.2025'!$B$11:$AQ$78,54,0),0)</f>
        <v>0</v>
      </c>
      <c r="Z67" s="561">
        <f t="shared" si="0"/>
        <v>-467376</v>
      </c>
      <c r="AA67" s="561">
        <f>IFERROR(VLOOKUP(B67,'DSOAT-T1.2025'!$B$11:$AR$78,55,0),0)</f>
        <v>0</v>
      </c>
      <c r="AB67" s="561">
        <f t="shared" si="1"/>
        <v>-44512</v>
      </c>
      <c r="AC67" s="561">
        <f>IFERROR(VLOOKUP(B67,'DSOAT-T1.2025'!$B$11:$AS$78,56,0),0)</f>
        <v>0</v>
      </c>
      <c r="AD67" s="66">
        <f t="shared" si="2"/>
        <v>-165586</v>
      </c>
    </row>
    <row r="68" spans="1:31" ht="16.5" hidden="1">
      <c r="A68" s="467" t="s">
        <v>184</v>
      </c>
      <c r="B68" s="468" t="s">
        <v>88</v>
      </c>
      <c r="C68" s="461">
        <v>59</v>
      </c>
      <c r="D68" s="455" t="s">
        <v>89</v>
      </c>
      <c r="E68" s="474">
        <v>524</v>
      </c>
      <c r="F68" s="466">
        <v>1.35</v>
      </c>
      <c r="G68" s="465">
        <v>20.5</v>
      </c>
      <c r="H68" s="462">
        <v>5809947</v>
      </c>
      <c r="I68" s="462">
        <v>4389045</v>
      </c>
      <c r="J68" s="462">
        <v>0</v>
      </c>
      <c r="K68" s="462">
        <v>10198992</v>
      </c>
      <c r="L68" s="462">
        <v>2000000</v>
      </c>
      <c r="M68" s="462">
        <v>365138</v>
      </c>
      <c r="N68" s="462">
        <v>34775</v>
      </c>
      <c r="O68" s="462">
        <v>0</v>
      </c>
      <c r="P68" s="462">
        <v>7799079</v>
      </c>
      <c r="Q68" s="472">
        <v>12950776</v>
      </c>
      <c r="R68" s="476">
        <v>-2751784</v>
      </c>
      <c r="S68" s="452" t="s">
        <v>88</v>
      </c>
      <c r="T68" s="454">
        <v>9975362</v>
      </c>
      <c r="U68" s="454">
        <v>-223630</v>
      </c>
      <c r="V68" s="452" t="s">
        <v>88</v>
      </c>
      <c r="W68" s="452" t="s">
        <v>88</v>
      </c>
      <c r="X68" s="450"/>
      <c r="Y68" s="561">
        <f>IFERROR(VLOOKUP(B68,'DSOAT-T1.2025'!$B$11:$AQ$78,54,0),0)</f>
        <v>0</v>
      </c>
      <c r="Z68" s="561">
        <f t="shared" si="0"/>
        <v>-365138</v>
      </c>
      <c r="AA68" s="561">
        <f>IFERROR(VLOOKUP(B68,'DSOAT-T1.2025'!$B$11:$AR$78,55,0),0)</f>
        <v>0</v>
      </c>
      <c r="AB68" s="561">
        <f t="shared" si="1"/>
        <v>-34775</v>
      </c>
      <c r="AC68" s="561">
        <f>IFERROR(VLOOKUP(B68,'DSOAT-T1.2025'!$B$11:$AS$78,56,0),0)</f>
        <v>0</v>
      </c>
      <c r="AD68" s="66">
        <f t="shared" si="2"/>
        <v>0</v>
      </c>
    </row>
    <row r="69" spans="1:31" ht="16.5" hidden="1">
      <c r="A69" s="467" t="s">
        <v>184</v>
      </c>
      <c r="B69" s="468" t="s">
        <v>82</v>
      </c>
      <c r="C69" s="461">
        <v>60</v>
      </c>
      <c r="D69" s="455" t="s">
        <v>83</v>
      </c>
      <c r="E69" s="474">
        <v>418</v>
      </c>
      <c r="F69" s="466">
        <v>1.27</v>
      </c>
      <c r="G69" s="465">
        <v>24</v>
      </c>
      <c r="H69" s="462">
        <v>4325587</v>
      </c>
      <c r="I69" s="462">
        <v>1830962</v>
      </c>
      <c r="J69" s="462">
        <v>0</v>
      </c>
      <c r="K69" s="462">
        <v>6156549</v>
      </c>
      <c r="L69" s="462">
        <v>2000000</v>
      </c>
      <c r="M69" s="462">
        <v>365138</v>
      </c>
      <c r="N69" s="462">
        <v>34775</v>
      </c>
      <c r="O69" s="462">
        <v>0</v>
      </c>
      <c r="P69" s="462">
        <v>3756636</v>
      </c>
      <c r="Q69" s="472">
        <v>7074346</v>
      </c>
      <c r="R69" s="476">
        <v>-917797</v>
      </c>
      <c r="S69" s="452" t="s">
        <v>82</v>
      </c>
      <c r="T69" s="454">
        <v>9087627</v>
      </c>
      <c r="U69" s="454">
        <v>2931078</v>
      </c>
      <c r="V69" s="452" t="s">
        <v>82</v>
      </c>
      <c r="W69" s="452" t="s">
        <v>82</v>
      </c>
      <c r="X69" s="450"/>
      <c r="Y69" s="561">
        <f>IFERROR(VLOOKUP(B69,'DSOAT-T1.2025'!$B$11:$AQ$78,54,0),0)</f>
        <v>0</v>
      </c>
      <c r="Z69" s="561">
        <f t="shared" si="0"/>
        <v>-365138</v>
      </c>
      <c r="AA69" s="561">
        <f>IFERROR(VLOOKUP(B69,'DSOAT-T1.2025'!$B$11:$AR$78,55,0),0)</f>
        <v>0</v>
      </c>
      <c r="AB69" s="561">
        <f t="shared" si="1"/>
        <v>-34775</v>
      </c>
      <c r="AC69" s="561">
        <f>IFERROR(VLOOKUP(B69,'DSOAT-T1.2025'!$B$11:$AS$78,56,0),0)</f>
        <v>0</v>
      </c>
      <c r="AD69" s="66">
        <f t="shared" si="2"/>
        <v>0</v>
      </c>
    </row>
    <row r="70" spans="1:31" ht="16.5" hidden="1">
      <c r="A70" s="467" t="s">
        <v>185</v>
      </c>
      <c r="B70" s="468" t="s">
        <v>85</v>
      </c>
      <c r="C70" s="461">
        <v>61</v>
      </c>
      <c r="D70" s="455" t="s">
        <v>86</v>
      </c>
      <c r="E70" s="474">
        <v>418</v>
      </c>
      <c r="F70" s="466">
        <v>1.1100000000000001</v>
      </c>
      <c r="G70" s="465">
        <v>20.5</v>
      </c>
      <c r="H70" s="462">
        <v>3808469</v>
      </c>
      <c r="I70" s="462">
        <v>3533066</v>
      </c>
      <c r="J70" s="462">
        <v>0</v>
      </c>
      <c r="K70" s="462">
        <v>7341535</v>
      </c>
      <c r="L70" s="462">
        <v>2000000</v>
      </c>
      <c r="M70" s="462">
        <v>408954</v>
      </c>
      <c r="N70" s="462">
        <v>38948</v>
      </c>
      <c r="O70" s="462">
        <v>0</v>
      </c>
      <c r="P70" s="462">
        <v>4893633</v>
      </c>
      <c r="Q70" s="472">
        <v>7024002</v>
      </c>
      <c r="R70" s="476">
        <v>317533</v>
      </c>
      <c r="S70" s="452" t="s">
        <v>85</v>
      </c>
      <c r="T70" s="454">
        <v>7949728</v>
      </c>
      <c r="U70" s="454">
        <v>608193</v>
      </c>
      <c r="V70" s="452" t="s">
        <v>85</v>
      </c>
      <c r="W70" s="452" t="s">
        <v>85</v>
      </c>
      <c r="X70" s="450"/>
      <c r="Y70" s="561">
        <f>IFERROR(VLOOKUP(B70,'DSOAT-T1.2025'!$B$11:$AQ$78,54,0),0)</f>
        <v>0</v>
      </c>
      <c r="Z70" s="561">
        <f t="shared" si="0"/>
        <v>-408954</v>
      </c>
      <c r="AA70" s="561">
        <f>IFERROR(VLOOKUP(B70,'DSOAT-T1.2025'!$B$11:$AR$78,55,0),0)</f>
        <v>0</v>
      </c>
      <c r="AB70" s="561">
        <f t="shared" si="1"/>
        <v>-38948</v>
      </c>
      <c r="AC70" s="561">
        <f>IFERROR(VLOOKUP(B70,'DSOAT-T1.2025'!$B$11:$AS$78,56,0),0)</f>
        <v>0</v>
      </c>
      <c r="AD70" s="66">
        <f t="shared" si="2"/>
        <v>0</v>
      </c>
    </row>
    <row r="71" spans="1:31" ht="16.5" hidden="1">
      <c r="A71" s="467" t="s">
        <v>184</v>
      </c>
      <c r="B71" s="468" t="s">
        <v>90</v>
      </c>
      <c r="C71" s="461">
        <v>62</v>
      </c>
      <c r="D71" s="455" t="s">
        <v>91</v>
      </c>
      <c r="E71" s="474">
        <v>418</v>
      </c>
      <c r="F71" s="466">
        <v>1.43</v>
      </c>
      <c r="G71" s="465">
        <v>24</v>
      </c>
      <c r="H71" s="462">
        <v>4870543</v>
      </c>
      <c r="I71" s="462">
        <v>4985209</v>
      </c>
      <c r="J71" s="462">
        <v>0</v>
      </c>
      <c r="K71" s="462">
        <v>9855752</v>
      </c>
      <c r="L71" s="462">
        <v>2000000</v>
      </c>
      <c r="M71" s="462">
        <v>365138</v>
      </c>
      <c r="N71" s="462">
        <v>34775</v>
      </c>
      <c r="O71" s="462">
        <v>66281</v>
      </c>
      <c r="P71" s="462">
        <v>7389558</v>
      </c>
      <c r="Q71" s="472">
        <v>11700277</v>
      </c>
      <c r="R71" s="476">
        <v>-1844525</v>
      </c>
      <c r="S71" s="452" t="s">
        <v>90</v>
      </c>
      <c r="T71" s="454">
        <v>14462279</v>
      </c>
      <c r="U71" s="454">
        <v>4606527</v>
      </c>
      <c r="V71" s="452" t="s">
        <v>90</v>
      </c>
      <c r="W71" s="452" t="s">
        <v>90</v>
      </c>
      <c r="X71" s="450"/>
      <c r="Y71" s="561">
        <f>IFERROR(VLOOKUP(B71,'DSOAT-T1.2025'!$B$11:$AQ$78,54,0),0)</f>
        <v>0</v>
      </c>
      <c r="Z71" s="561">
        <f t="shared" si="0"/>
        <v>-365138</v>
      </c>
      <c r="AA71" s="561">
        <f>IFERROR(VLOOKUP(B71,'DSOAT-T1.2025'!$B$11:$AR$78,55,0),0)</f>
        <v>0</v>
      </c>
      <c r="AB71" s="561">
        <f t="shared" si="1"/>
        <v>-34775</v>
      </c>
      <c r="AC71" s="561">
        <f>IFERROR(VLOOKUP(B71,'DSOAT-T1.2025'!$B$11:$AS$78,56,0),0)</f>
        <v>0</v>
      </c>
      <c r="AD71" s="66">
        <f t="shared" si="2"/>
        <v>-66281</v>
      </c>
      <c r="AE71">
        <f>IFERROR(VLOOKUP(B71,'DSOAT-T1.2025'!$B$11:$BH$78,67,0),0)</f>
        <v>0</v>
      </c>
    </row>
    <row r="72" spans="1:31" ht="16.5" hidden="1">
      <c r="A72" s="467" t="s">
        <v>185</v>
      </c>
      <c r="B72" s="468" t="s">
        <v>93</v>
      </c>
      <c r="C72" s="461">
        <v>63</v>
      </c>
      <c r="D72" s="455" t="s">
        <v>94</v>
      </c>
      <c r="E72" s="474">
        <v>524</v>
      </c>
      <c r="F72" s="466">
        <v>1.17</v>
      </c>
      <c r="G72" s="465">
        <v>20.5</v>
      </c>
      <c r="H72" s="462">
        <v>5051779</v>
      </c>
      <c r="I72" s="462">
        <v>3357196</v>
      </c>
      <c r="J72" s="462">
        <v>0</v>
      </c>
      <c r="K72" s="462">
        <v>8408975</v>
      </c>
      <c r="L72" s="462">
        <v>2000000</v>
      </c>
      <c r="M72" s="462">
        <v>408954</v>
      </c>
      <c r="N72" s="462">
        <v>38948</v>
      </c>
      <c r="O72" s="462">
        <v>72621</v>
      </c>
      <c r="P72" s="462">
        <v>5888452</v>
      </c>
      <c r="Q72" s="472">
        <v>10557010</v>
      </c>
      <c r="R72" s="476">
        <v>-2148035</v>
      </c>
      <c r="S72" s="452" t="s">
        <v>93</v>
      </c>
      <c r="T72" s="454">
        <v>11289420</v>
      </c>
      <c r="U72" s="454">
        <v>2880445</v>
      </c>
      <c r="V72" s="452" t="s">
        <v>93</v>
      </c>
      <c r="W72" s="452" t="s">
        <v>93</v>
      </c>
      <c r="X72" s="450"/>
      <c r="Y72" s="561">
        <f>IFERROR(VLOOKUP(B72,'DSOAT-T1.2025'!$B$11:$AQ$78,54,0),0)</f>
        <v>0</v>
      </c>
      <c r="Z72" s="561">
        <f t="shared" si="0"/>
        <v>-408954</v>
      </c>
      <c r="AA72" s="561">
        <f>IFERROR(VLOOKUP(B72,'DSOAT-T1.2025'!$B$11:$AR$78,55,0),0)</f>
        <v>0</v>
      </c>
      <c r="AB72" s="561">
        <f t="shared" si="1"/>
        <v>-38948</v>
      </c>
      <c r="AC72" s="561">
        <f>IFERROR(VLOOKUP(B72,'DSOAT-T1.2025'!$B$11:$AS$78,56,0),0)</f>
        <v>0</v>
      </c>
      <c r="AD72" s="66">
        <f t="shared" si="2"/>
        <v>-72621</v>
      </c>
    </row>
    <row r="73" spans="1:31" ht="16.5" hidden="1">
      <c r="A73" s="467" t="s">
        <v>185</v>
      </c>
      <c r="B73" s="468" t="s">
        <v>164</v>
      </c>
      <c r="C73" s="461">
        <v>64</v>
      </c>
      <c r="D73" s="455" t="s">
        <v>153</v>
      </c>
      <c r="E73" s="474">
        <v>431</v>
      </c>
      <c r="F73" s="466">
        <v>0.28000000000000003</v>
      </c>
      <c r="G73" s="465">
        <v>20.5</v>
      </c>
      <c r="H73" s="462">
        <v>988835</v>
      </c>
      <c r="I73" s="462">
        <v>5001716</v>
      </c>
      <c r="J73" s="462">
        <v>0</v>
      </c>
      <c r="K73" s="462">
        <v>5990551</v>
      </c>
      <c r="L73" s="462">
        <v>2000000</v>
      </c>
      <c r="M73" s="462">
        <v>408954</v>
      </c>
      <c r="N73" s="462">
        <v>38948</v>
      </c>
      <c r="O73" s="462">
        <v>0</v>
      </c>
      <c r="P73" s="462">
        <v>3542649</v>
      </c>
      <c r="Q73" s="472">
        <v>7661590</v>
      </c>
      <c r="R73" s="476">
        <v>-1671039</v>
      </c>
      <c r="S73" s="452" t="s">
        <v>164</v>
      </c>
      <c r="T73" s="454">
        <v>14018006</v>
      </c>
      <c r="U73" s="454">
        <v>8027455</v>
      </c>
      <c r="V73" s="452" t="s">
        <v>164</v>
      </c>
      <c r="W73" s="452" t="s">
        <v>164</v>
      </c>
      <c r="X73" s="450"/>
      <c r="Y73" s="561">
        <f>IFERROR(VLOOKUP(B73,'DSOAT-T1.2025'!$B$11:$AQ$78,54,0),0)</f>
        <v>0</v>
      </c>
      <c r="Z73" s="561">
        <f t="shared" si="0"/>
        <v>-408954</v>
      </c>
      <c r="AA73" s="561">
        <f>IFERROR(VLOOKUP(B73,'DSOAT-T1.2025'!$B$11:$AR$78,55,0),0)</f>
        <v>0</v>
      </c>
      <c r="AB73" s="561">
        <f t="shared" si="1"/>
        <v>-38948</v>
      </c>
      <c r="AC73" s="561">
        <f>IFERROR(VLOOKUP(B73,'DSOAT-T1.2025'!$B$11:$AS$78,56,0),0)</f>
        <v>0</v>
      </c>
      <c r="AD73" s="66">
        <f t="shared" si="2"/>
        <v>0</v>
      </c>
    </row>
    <row r="74" spans="1:31" ht="16.5" hidden="1">
      <c r="A74" s="467" t="s">
        <v>185</v>
      </c>
      <c r="B74" s="468" t="s">
        <v>901</v>
      </c>
      <c r="C74" s="461">
        <v>65</v>
      </c>
      <c r="D74" s="455" t="s">
        <v>644</v>
      </c>
      <c r="E74" s="474">
        <v>355</v>
      </c>
      <c r="F74" s="466">
        <v>1.1100000000000001</v>
      </c>
      <c r="G74" s="465">
        <v>20.5</v>
      </c>
      <c r="H74" s="462">
        <v>3234465</v>
      </c>
      <c r="I74" s="462">
        <v>2474188</v>
      </c>
      <c r="J74" s="462">
        <v>0</v>
      </c>
      <c r="K74" s="462">
        <v>5708653</v>
      </c>
      <c r="L74" s="462">
        <v>2000000</v>
      </c>
      <c r="M74" s="462">
        <v>408954</v>
      </c>
      <c r="N74" s="462">
        <v>38948</v>
      </c>
      <c r="O74" s="462">
        <v>0</v>
      </c>
      <c r="P74" s="462">
        <v>3260751</v>
      </c>
      <c r="Q74" s="472">
        <v>0</v>
      </c>
      <c r="R74" s="476">
        <v>5708653</v>
      </c>
      <c r="S74" s="452">
        <v>0</v>
      </c>
      <c r="T74" s="454">
        <v>7452989</v>
      </c>
      <c r="U74" s="454">
        <v>1744336</v>
      </c>
      <c r="V74" s="452">
        <v>0</v>
      </c>
      <c r="W74" s="452" t="s">
        <v>901</v>
      </c>
      <c r="X74" s="450"/>
      <c r="Y74" s="561">
        <f>IFERROR(VLOOKUP(B74,'DSOAT-T1.2025'!$B$11:$AQ$78,54,0),0)</f>
        <v>0</v>
      </c>
      <c r="Z74" s="561">
        <f t="shared" si="0"/>
        <v>-408954</v>
      </c>
      <c r="AA74" s="561">
        <f>IFERROR(VLOOKUP(B74,'DSOAT-T1.2025'!$B$11:$AR$78,55,0),0)</f>
        <v>0</v>
      </c>
      <c r="AB74" s="561">
        <f t="shared" si="1"/>
        <v>-38948</v>
      </c>
      <c r="AC74" s="561">
        <f>IFERROR(VLOOKUP(B74,'DSOAT-T1.2025'!$B$11:$AS$78,56,0),0)</f>
        <v>0</v>
      </c>
      <c r="AD74" s="66">
        <f t="shared" si="2"/>
        <v>0</v>
      </c>
    </row>
    <row r="75" spans="1:31" ht="16.5" hidden="1">
      <c r="A75" s="467" t="s">
        <v>185</v>
      </c>
      <c r="B75" s="468" t="s">
        <v>206</v>
      </c>
      <c r="C75" s="461">
        <v>66</v>
      </c>
      <c r="D75" s="455" t="s">
        <v>207</v>
      </c>
      <c r="E75" s="474">
        <v>431</v>
      </c>
      <c r="F75" s="466">
        <v>0.14000000000000001</v>
      </c>
      <c r="G75" s="465">
        <v>23.5</v>
      </c>
      <c r="H75" s="462">
        <v>494914</v>
      </c>
      <c r="I75" s="462">
        <v>4644739</v>
      </c>
      <c r="J75" s="462">
        <v>0</v>
      </c>
      <c r="K75" s="462">
        <v>5139653</v>
      </c>
      <c r="L75" s="462">
        <v>2000000</v>
      </c>
      <c r="M75" s="462">
        <v>408954</v>
      </c>
      <c r="N75" s="462">
        <v>38948</v>
      </c>
      <c r="O75" s="462">
        <v>0</v>
      </c>
      <c r="P75" s="462">
        <v>2691751</v>
      </c>
      <c r="Q75" s="472">
        <v>8645160</v>
      </c>
      <c r="R75" s="476">
        <v>-3505507</v>
      </c>
      <c r="S75" s="452" t="s">
        <v>206</v>
      </c>
      <c r="T75" s="454">
        <v>7452989</v>
      </c>
      <c r="U75" s="454">
        <v>2313336</v>
      </c>
      <c r="V75" s="452" t="s">
        <v>206</v>
      </c>
      <c r="W75" s="452" t="s">
        <v>206</v>
      </c>
      <c r="X75" s="450"/>
      <c r="Y75" s="561">
        <f>IFERROR(VLOOKUP(B75,'DSOAT-T1.2025'!$B$11:$AQ$78,54,0),0)</f>
        <v>0</v>
      </c>
      <c r="Z75" s="561">
        <f t="shared" ref="Z75:Z84" si="3">Y75-M75</f>
        <v>-408954</v>
      </c>
      <c r="AA75" s="561">
        <f>IFERROR(VLOOKUP(B75,'DSOAT-T1.2025'!$B$11:$AR$78,55,0),0)</f>
        <v>0</v>
      </c>
      <c r="AB75" s="561">
        <f t="shared" ref="AB75:AB84" si="4">AA75-N75</f>
        <v>-38948</v>
      </c>
      <c r="AC75" s="561">
        <f>IFERROR(VLOOKUP(B75,'DSOAT-T1.2025'!$B$11:$AS$78,56,0),0)</f>
        <v>0</v>
      </c>
      <c r="AD75" s="66">
        <f t="shared" ref="AD75:AD84" si="5">AC75-O75</f>
        <v>0</v>
      </c>
    </row>
    <row r="76" spans="1:31" ht="16.5" hidden="1">
      <c r="A76" s="467" t="s">
        <v>186</v>
      </c>
      <c r="B76" s="468" t="s">
        <v>287</v>
      </c>
      <c r="C76" s="461">
        <v>67</v>
      </c>
      <c r="D76" s="455" t="s">
        <v>288</v>
      </c>
      <c r="E76" s="474">
        <v>394</v>
      </c>
      <c r="F76" s="466">
        <v>1.06</v>
      </c>
      <c r="G76" s="465">
        <v>23.5</v>
      </c>
      <c r="H76" s="462">
        <v>9188080</v>
      </c>
      <c r="I76" s="462">
        <v>0</v>
      </c>
      <c r="J76" s="462">
        <v>0</v>
      </c>
      <c r="K76" s="462">
        <v>9188080</v>
      </c>
      <c r="L76" s="462">
        <v>2000000</v>
      </c>
      <c r="M76" s="462">
        <v>0</v>
      </c>
      <c r="N76" s="462">
        <v>38948</v>
      </c>
      <c r="O76" s="462">
        <v>0</v>
      </c>
      <c r="P76" s="462">
        <v>7149132</v>
      </c>
      <c r="Q76" s="472">
        <v>9188080</v>
      </c>
      <c r="R76" s="476">
        <v>0</v>
      </c>
      <c r="S76" s="452" t="s">
        <v>287</v>
      </c>
      <c r="T76" s="454">
        <v>7452989</v>
      </c>
      <c r="U76" s="454">
        <v>-1735091</v>
      </c>
      <c r="V76" s="452" t="s">
        <v>287</v>
      </c>
      <c r="W76" s="452" t="s">
        <v>287</v>
      </c>
      <c r="X76" s="452" t="s">
        <v>900</v>
      </c>
      <c r="Y76" s="561">
        <f>IFERROR(VLOOKUP(B76,'DSOAT-T1.2025'!$B$11:$AQ$78,54,0),0)</f>
        <v>0</v>
      </c>
      <c r="Z76" s="561">
        <f t="shared" si="3"/>
        <v>0</v>
      </c>
      <c r="AA76" s="561">
        <f>IFERROR(VLOOKUP(B76,'DSOAT-T1.2025'!$B$11:$AR$78,55,0),0)</f>
        <v>0</v>
      </c>
      <c r="AB76" s="561">
        <f t="shared" si="4"/>
        <v>-38948</v>
      </c>
      <c r="AC76" s="561">
        <f>IFERROR(VLOOKUP(B76,'DSOAT-T1.2025'!$B$11:$AS$78,56,0),0)</f>
        <v>0</v>
      </c>
      <c r="AD76" s="66">
        <f t="shared" si="5"/>
        <v>0</v>
      </c>
    </row>
    <row r="77" spans="1:31" ht="16.5" hidden="1">
      <c r="A77" s="467" t="s">
        <v>186</v>
      </c>
      <c r="B77" s="468" t="s">
        <v>101</v>
      </c>
      <c r="C77" s="461">
        <v>68</v>
      </c>
      <c r="D77" s="455" t="s">
        <v>102</v>
      </c>
      <c r="E77" s="474">
        <v>355</v>
      </c>
      <c r="F77" s="466">
        <v>1.04</v>
      </c>
      <c r="G77" s="465">
        <v>20.5</v>
      </c>
      <c r="H77" s="462">
        <v>8122400</v>
      </c>
      <c r="I77" s="462">
        <v>0</v>
      </c>
      <c r="J77" s="462">
        <v>0</v>
      </c>
      <c r="K77" s="462">
        <v>8122400</v>
      </c>
      <c r="L77" s="462">
        <v>2000000</v>
      </c>
      <c r="M77" s="462">
        <v>408954</v>
      </c>
      <c r="N77" s="462">
        <v>38948</v>
      </c>
      <c r="O77" s="462">
        <v>0</v>
      </c>
      <c r="P77" s="462">
        <v>5674498</v>
      </c>
      <c r="Q77" s="472">
        <v>8200500</v>
      </c>
      <c r="R77" s="476">
        <v>-78100</v>
      </c>
      <c r="S77" s="452" t="s">
        <v>101</v>
      </c>
      <c r="T77" s="454">
        <v>8010000</v>
      </c>
      <c r="U77" s="454">
        <v>-112400</v>
      </c>
      <c r="V77" s="452" t="s">
        <v>101</v>
      </c>
      <c r="W77" s="452" t="s">
        <v>101</v>
      </c>
      <c r="X77" s="450"/>
      <c r="Y77" s="561">
        <f>IFERROR(VLOOKUP(B77,'DSOAT-T1.2025'!$B$11:$AQ$78,54,0),0)</f>
        <v>0</v>
      </c>
      <c r="Z77" s="561">
        <f t="shared" si="3"/>
        <v>-408954</v>
      </c>
      <c r="AA77" s="561">
        <f>IFERROR(VLOOKUP(B77,'DSOAT-T1.2025'!$B$11:$AR$78,55,0),0)</f>
        <v>0</v>
      </c>
      <c r="AB77" s="561">
        <f t="shared" si="4"/>
        <v>-38948</v>
      </c>
      <c r="AC77" s="561">
        <f>IFERROR(VLOOKUP(B77,'DSOAT-T1.2025'!$B$11:$AS$78,56,0),0)</f>
        <v>0</v>
      </c>
      <c r="AD77" s="66">
        <f t="shared" si="5"/>
        <v>0</v>
      </c>
    </row>
    <row r="78" spans="1:31" ht="16.5" hidden="1">
      <c r="A78" s="467" t="s">
        <v>186</v>
      </c>
      <c r="B78" s="468" t="s">
        <v>95</v>
      </c>
      <c r="C78" s="461">
        <v>69</v>
      </c>
      <c r="D78" s="455" t="s">
        <v>96</v>
      </c>
      <c r="E78" s="474">
        <v>431</v>
      </c>
      <c r="F78" s="466">
        <v>1.1200000000000001</v>
      </c>
      <c r="G78" s="465">
        <v>20.5</v>
      </c>
      <c r="H78" s="462">
        <v>3977215</v>
      </c>
      <c r="I78" s="462">
        <v>5556979</v>
      </c>
      <c r="J78" s="462">
        <v>0</v>
      </c>
      <c r="K78" s="462">
        <v>9534194</v>
      </c>
      <c r="L78" s="462">
        <v>2000000</v>
      </c>
      <c r="M78" s="462">
        <v>408954</v>
      </c>
      <c r="N78" s="462">
        <v>38948</v>
      </c>
      <c r="O78" s="462">
        <v>0</v>
      </c>
      <c r="P78" s="462">
        <v>7086292</v>
      </c>
      <c r="Q78" s="472">
        <v>10284318</v>
      </c>
      <c r="R78" s="476">
        <v>-750124</v>
      </c>
      <c r="S78" s="452" t="s">
        <v>95</v>
      </c>
      <c r="T78" s="454">
        <v>10866560</v>
      </c>
      <c r="U78" s="454">
        <v>1332366</v>
      </c>
      <c r="V78" s="452" t="s">
        <v>95</v>
      </c>
      <c r="W78" s="452" t="s">
        <v>95</v>
      </c>
      <c r="X78" s="450"/>
      <c r="Y78" s="561">
        <f>IFERROR(VLOOKUP(B78,'DSOAT-T1.2025'!$B$11:$AQ$78,54,0),0)</f>
        <v>0</v>
      </c>
      <c r="Z78" s="561">
        <f t="shared" si="3"/>
        <v>-408954</v>
      </c>
      <c r="AA78" s="561">
        <f>IFERROR(VLOOKUP(B78,'DSOAT-T1.2025'!$B$11:$AR$78,55,0),0)</f>
        <v>0</v>
      </c>
      <c r="AB78" s="561">
        <f t="shared" si="4"/>
        <v>-38948</v>
      </c>
      <c r="AC78" s="561">
        <f>IFERROR(VLOOKUP(B78,'DSOAT-T1.2025'!$B$11:$AS$78,56,0),0)</f>
        <v>0</v>
      </c>
      <c r="AD78" s="66">
        <f t="shared" si="5"/>
        <v>0</v>
      </c>
    </row>
    <row r="79" spans="1:31" ht="16.5" hidden="1">
      <c r="A79" s="467" t="s">
        <v>186</v>
      </c>
      <c r="B79" s="468" t="s">
        <v>97</v>
      </c>
      <c r="C79" s="461">
        <v>70</v>
      </c>
      <c r="D79" s="455" t="s">
        <v>98</v>
      </c>
      <c r="E79" s="474">
        <v>418</v>
      </c>
      <c r="F79" s="466">
        <v>1.1399999999999999</v>
      </c>
      <c r="G79" s="465">
        <v>20.5</v>
      </c>
      <c r="H79" s="462">
        <v>3926525</v>
      </c>
      <c r="I79" s="462">
        <v>3487860</v>
      </c>
      <c r="J79" s="462">
        <v>0</v>
      </c>
      <c r="K79" s="462">
        <v>7414385</v>
      </c>
      <c r="L79" s="462">
        <v>2000000</v>
      </c>
      <c r="M79" s="462">
        <v>408954</v>
      </c>
      <c r="N79" s="462">
        <v>38948</v>
      </c>
      <c r="O79" s="462">
        <v>0</v>
      </c>
      <c r="P79" s="462">
        <v>4966483</v>
      </c>
      <c r="Q79" s="472">
        <v>7890179</v>
      </c>
      <c r="R79" s="476">
        <v>-475794</v>
      </c>
      <c r="S79" s="452" t="s">
        <v>97</v>
      </c>
      <c r="T79" s="454">
        <v>13611560</v>
      </c>
      <c r="U79" s="454">
        <v>6197175</v>
      </c>
      <c r="V79" s="452" t="s">
        <v>97</v>
      </c>
      <c r="W79" s="452" t="s">
        <v>97</v>
      </c>
      <c r="X79" s="450"/>
      <c r="Y79" s="561">
        <f>IFERROR(VLOOKUP(B79,'DSOAT-T1.2025'!$B$11:$AQ$78,54,0),0)</f>
        <v>0</v>
      </c>
      <c r="Z79" s="561">
        <f t="shared" si="3"/>
        <v>-408954</v>
      </c>
      <c r="AA79" s="561">
        <f>IFERROR(VLOOKUP(B79,'DSOAT-T1.2025'!$B$11:$AR$78,55,0),0)</f>
        <v>0</v>
      </c>
      <c r="AB79" s="561">
        <f t="shared" si="4"/>
        <v>-38948</v>
      </c>
      <c r="AC79" s="561">
        <f>IFERROR(VLOOKUP(B79,'DSOAT-T1.2025'!$B$11:$AS$78,56,0),0)</f>
        <v>0</v>
      </c>
      <c r="AD79" s="66">
        <f t="shared" si="5"/>
        <v>0</v>
      </c>
    </row>
    <row r="80" spans="1:31" ht="16.5">
      <c r="A80" s="467" t="s">
        <v>186</v>
      </c>
      <c r="B80" s="468" t="s">
        <v>99</v>
      </c>
      <c r="C80" s="461">
        <v>71</v>
      </c>
      <c r="D80" s="455" t="s">
        <v>100</v>
      </c>
      <c r="E80" s="474">
        <v>431</v>
      </c>
      <c r="F80" s="466">
        <v>0.82</v>
      </c>
      <c r="G80" s="479">
        <v>20.5</v>
      </c>
      <c r="H80" s="462">
        <v>2912181</v>
      </c>
      <c r="I80" s="462">
        <v>1066006</v>
      </c>
      <c r="J80" s="462">
        <v>0</v>
      </c>
      <c r="K80" s="462">
        <v>3978187</v>
      </c>
      <c r="L80" s="462">
        <v>2000000</v>
      </c>
      <c r="M80" s="462">
        <v>0</v>
      </c>
      <c r="N80" s="462">
        <v>0</v>
      </c>
      <c r="O80" s="462">
        <v>0</v>
      </c>
      <c r="P80" s="462">
        <v>1978187</v>
      </c>
      <c r="Q80" s="472">
        <v>-176709</v>
      </c>
      <c r="R80" s="476">
        <v>4154896</v>
      </c>
      <c r="S80" s="452" t="s">
        <v>99</v>
      </c>
      <c r="T80" s="454">
        <v>9002050</v>
      </c>
      <c r="U80" s="454">
        <v>5023863</v>
      </c>
      <c r="V80" s="452" t="s">
        <v>99</v>
      </c>
      <c r="W80" s="452" t="s">
        <v>99</v>
      </c>
      <c r="X80" s="450"/>
      <c r="Y80" s="561">
        <f>IFERROR(VLOOKUP(B80,'DSOAT-T1.2025'!$B$11:$AQ$78,54,0),0)</f>
        <v>0</v>
      </c>
      <c r="Z80" s="561">
        <f t="shared" si="3"/>
        <v>0</v>
      </c>
      <c r="AA80" s="561">
        <f>IFERROR(VLOOKUP(B80,'DSOAT-T1.2025'!$B$11:$AR$78,55,0),0)</f>
        <v>0</v>
      </c>
      <c r="AB80" s="74">
        <f t="shared" si="4"/>
        <v>0</v>
      </c>
      <c r="AC80" s="561">
        <f>IFERROR(VLOOKUP(B80,'DSOAT-T1.2025'!$B$11:$AS$78,56,0),0)</f>
        <v>0</v>
      </c>
      <c r="AD80" s="66">
        <f t="shared" si="5"/>
        <v>0</v>
      </c>
    </row>
    <row r="81" spans="1:31" ht="16.5" hidden="1">
      <c r="A81" s="467" t="s">
        <v>186</v>
      </c>
      <c r="B81" s="468" t="s">
        <v>105</v>
      </c>
      <c r="C81" s="461">
        <v>72</v>
      </c>
      <c r="D81" s="455" t="s">
        <v>106</v>
      </c>
      <c r="E81" s="474">
        <v>431</v>
      </c>
      <c r="F81" s="466">
        <v>1.22</v>
      </c>
      <c r="G81" s="465">
        <v>20.5</v>
      </c>
      <c r="H81" s="462">
        <v>4246102</v>
      </c>
      <c r="I81" s="462">
        <v>5404626</v>
      </c>
      <c r="J81" s="462">
        <v>0</v>
      </c>
      <c r="K81" s="462">
        <v>9650728</v>
      </c>
      <c r="L81" s="462">
        <v>2000000</v>
      </c>
      <c r="M81" s="462">
        <v>408954</v>
      </c>
      <c r="N81" s="462">
        <v>38948</v>
      </c>
      <c r="O81" s="462">
        <v>0</v>
      </c>
      <c r="P81" s="462">
        <v>7202826</v>
      </c>
      <c r="Q81" s="472">
        <v>13200266</v>
      </c>
      <c r="R81" s="476">
        <v>-3549538</v>
      </c>
      <c r="S81" s="452" t="s">
        <v>105</v>
      </c>
      <c r="T81" s="454">
        <v>10262440</v>
      </c>
      <c r="U81" s="454">
        <v>611712</v>
      </c>
      <c r="V81" s="452" t="s">
        <v>105</v>
      </c>
      <c r="W81" s="452" t="s">
        <v>105</v>
      </c>
      <c r="Y81" s="561">
        <f>IFERROR(VLOOKUP(B81,'DSOAT-T1.2025'!$B$11:$AQ$78,54,0),0)</f>
        <v>0</v>
      </c>
      <c r="Z81" s="561">
        <f t="shared" si="3"/>
        <v>-408954</v>
      </c>
      <c r="AA81" s="561">
        <f>IFERROR(VLOOKUP(B81,'DSOAT-T1.2025'!$B$11:$AR$78,55,0),0)</f>
        <v>0</v>
      </c>
      <c r="AB81" s="561">
        <f t="shared" si="4"/>
        <v>-38948</v>
      </c>
      <c r="AC81" s="561">
        <f>IFERROR(VLOOKUP(B81,'DSOAT-T1.2025'!$B$11:$AS$78,56,0),0)</f>
        <v>0</v>
      </c>
      <c r="AD81" s="66">
        <f t="shared" si="5"/>
        <v>0</v>
      </c>
    </row>
    <row r="82" spans="1:31" ht="16.5">
      <c r="A82" s="467" t="s">
        <v>186</v>
      </c>
      <c r="B82" s="469" t="s">
        <v>18</v>
      </c>
      <c r="C82" s="461">
        <v>73</v>
      </c>
      <c r="D82" s="455" t="s">
        <v>19</v>
      </c>
      <c r="E82" s="474">
        <v>418</v>
      </c>
      <c r="F82" s="466">
        <v>1</v>
      </c>
      <c r="G82" s="465">
        <v>7.5</v>
      </c>
      <c r="H82" s="462">
        <v>1260117</v>
      </c>
      <c r="I82" s="462">
        <v>345746</v>
      </c>
      <c r="J82" s="462">
        <v>0</v>
      </c>
      <c r="K82" s="462">
        <v>1605863</v>
      </c>
      <c r="L82" s="462">
        <v>2000000</v>
      </c>
      <c r="M82" s="462">
        <v>408954</v>
      </c>
      <c r="N82" s="462">
        <v>38948</v>
      </c>
      <c r="O82" s="462">
        <v>0</v>
      </c>
      <c r="P82" s="462">
        <v>-842039</v>
      </c>
      <c r="Q82" s="472">
        <v>6913407</v>
      </c>
      <c r="R82" s="476">
        <v>-5307544</v>
      </c>
      <c r="S82" s="452" t="s">
        <v>18</v>
      </c>
      <c r="T82" s="454">
        <v>7512480</v>
      </c>
      <c r="U82" s="454">
        <v>5906617</v>
      </c>
      <c r="V82" s="452" t="s">
        <v>18</v>
      </c>
      <c r="W82" s="452" t="s">
        <v>18</v>
      </c>
      <c r="Y82" s="561">
        <f>IFERROR(VLOOKUP(B82,'DSOAT-T1.2025'!$B$11:$AQ$78,54,0),0)</f>
        <v>0</v>
      </c>
      <c r="Z82" s="561">
        <f t="shared" si="3"/>
        <v>-408954</v>
      </c>
      <c r="AA82" s="561">
        <f>IFERROR(VLOOKUP(B82,'DSOAT-T1.2025'!$B$11:$AR$78,55,0),0)</f>
        <v>0</v>
      </c>
      <c r="AB82" s="74">
        <f t="shared" si="4"/>
        <v>-38948</v>
      </c>
      <c r="AC82" s="561">
        <f>IFERROR(VLOOKUP(B82,'DSOAT-T1.2025'!$B$11:$AS$78,56,0),0)</f>
        <v>0</v>
      </c>
      <c r="AD82" s="66">
        <f t="shared" si="5"/>
        <v>0</v>
      </c>
    </row>
    <row r="83" spans="1:31" ht="16.5" hidden="1">
      <c r="A83" s="467" t="s">
        <v>186</v>
      </c>
      <c r="B83" s="473" t="s">
        <v>209</v>
      </c>
      <c r="C83" s="461">
        <v>74</v>
      </c>
      <c r="D83" s="455" t="s">
        <v>210</v>
      </c>
      <c r="E83" s="474">
        <v>431</v>
      </c>
      <c r="F83" s="466">
        <v>1.06</v>
      </c>
      <c r="G83" s="465">
        <v>23.5</v>
      </c>
      <c r="H83" s="462">
        <v>3764150</v>
      </c>
      <c r="I83" s="462">
        <v>10782420</v>
      </c>
      <c r="J83" s="462">
        <v>0</v>
      </c>
      <c r="K83" s="462">
        <v>14546570</v>
      </c>
      <c r="L83" s="462">
        <v>2000000</v>
      </c>
      <c r="M83" s="462">
        <v>408954</v>
      </c>
      <c r="N83" s="462">
        <v>38948</v>
      </c>
      <c r="O83" s="462">
        <v>242931</v>
      </c>
      <c r="P83" s="462">
        <v>11855737</v>
      </c>
      <c r="Q83" s="472">
        <v>15402636</v>
      </c>
      <c r="R83" s="476">
        <v>-856066</v>
      </c>
      <c r="S83" s="452" t="s">
        <v>209</v>
      </c>
      <c r="T83" s="454">
        <v>7512480</v>
      </c>
      <c r="U83" s="454">
        <v>-7034090</v>
      </c>
      <c r="V83" s="452" t="s">
        <v>209</v>
      </c>
      <c r="W83" s="452" t="s">
        <v>209</v>
      </c>
      <c r="Y83" s="561">
        <f>IFERROR(VLOOKUP(B83,'DSOAT-T1.2025'!$B$11:$AQ$78,54,0),0)</f>
        <v>0</v>
      </c>
      <c r="Z83" s="561">
        <f t="shared" si="3"/>
        <v>-408954</v>
      </c>
      <c r="AA83" s="561">
        <f>IFERROR(VLOOKUP(B83,'DSOAT-T1.2025'!$B$11:$AR$78,55,0),0)</f>
        <v>0</v>
      </c>
      <c r="AB83" s="561">
        <f t="shared" si="4"/>
        <v>-38948</v>
      </c>
      <c r="AC83" s="561">
        <f>IFERROR(VLOOKUP(B83,'DSOAT-T1.2025'!$B$11:$AS$78,56,0),0)</f>
        <v>0</v>
      </c>
      <c r="AD83" s="66">
        <f t="shared" si="5"/>
        <v>-242931</v>
      </c>
    </row>
    <row r="84" spans="1:31" ht="16.5" hidden="1">
      <c r="A84" s="467" t="s">
        <v>186</v>
      </c>
      <c r="B84" s="473" t="s">
        <v>163</v>
      </c>
      <c r="C84" s="461">
        <v>75</v>
      </c>
      <c r="D84" s="455" t="s">
        <v>154</v>
      </c>
      <c r="E84" s="474">
        <v>478</v>
      </c>
      <c r="F84" s="466">
        <v>1.1200000000000001</v>
      </c>
      <c r="G84" s="465">
        <v>23.5</v>
      </c>
      <c r="H84" s="462">
        <v>4411366</v>
      </c>
      <c r="I84" s="462">
        <v>6390870</v>
      </c>
      <c r="J84" s="462">
        <v>0</v>
      </c>
      <c r="K84" s="462">
        <v>10802236</v>
      </c>
      <c r="L84" s="462">
        <v>2000000</v>
      </c>
      <c r="M84" s="462">
        <v>408954</v>
      </c>
      <c r="N84" s="462">
        <v>38948</v>
      </c>
      <c r="O84" s="462">
        <v>189214</v>
      </c>
      <c r="P84" s="462">
        <v>8165120</v>
      </c>
      <c r="Q84" s="472">
        <v>11869583</v>
      </c>
      <c r="R84" s="476">
        <v>-1067347</v>
      </c>
      <c r="S84" s="452" t="s">
        <v>163</v>
      </c>
      <c r="T84" s="454">
        <v>12343820</v>
      </c>
      <c r="U84" s="454">
        <v>1541584</v>
      </c>
      <c r="V84" s="452" t="s">
        <v>163</v>
      </c>
      <c r="W84" s="452" t="s">
        <v>163</v>
      </c>
      <c r="Y84" s="561">
        <f>IFERROR(VLOOKUP(B84,'DSOAT-T1.2025'!$B$11:$AQ$78,54,0),0)</f>
        <v>0</v>
      </c>
      <c r="Z84" s="561">
        <f t="shared" si="3"/>
        <v>-408954</v>
      </c>
      <c r="AA84" s="561">
        <f>IFERROR(VLOOKUP(B84,'DSOAT-T1.2025'!$B$11:$AR$78,55,0),0)</f>
        <v>0</v>
      </c>
      <c r="AB84" s="561">
        <f t="shared" si="4"/>
        <v>-38948</v>
      </c>
      <c r="AC84" s="561">
        <f>IFERROR(VLOOKUP(B84,'DSOAT-T1.2025'!$B$11:$AS$78,56,0),0)</f>
        <v>0</v>
      </c>
      <c r="AD84" s="66">
        <f t="shared" si="5"/>
        <v>-189214</v>
      </c>
    </row>
    <row r="85" spans="1:31" ht="16.5">
      <c r="A85" s="467"/>
      <c r="B85" s="453"/>
      <c r="C85" s="1565" t="s">
        <v>132</v>
      </c>
      <c r="D85" s="1566"/>
      <c r="E85" s="463"/>
      <c r="F85" s="463"/>
      <c r="G85" s="463"/>
      <c r="H85" s="464">
        <v>400613014</v>
      </c>
      <c r="I85" s="464">
        <v>321455705</v>
      </c>
      <c r="J85" s="464">
        <v>0</v>
      </c>
      <c r="K85" s="464">
        <v>722068719</v>
      </c>
      <c r="L85" s="464">
        <v>146000000</v>
      </c>
      <c r="M85" s="464">
        <v>30072732</v>
      </c>
      <c r="N85" s="464">
        <v>2947529</v>
      </c>
      <c r="O85" s="464">
        <v>9703870</v>
      </c>
      <c r="P85" s="464">
        <v>533344588</v>
      </c>
      <c r="Q85" s="464">
        <v>695906011</v>
      </c>
      <c r="R85" s="477">
        <v>26162708</v>
      </c>
      <c r="S85" s="450"/>
      <c r="T85" s="450"/>
      <c r="U85" s="450"/>
      <c r="V85" s="450"/>
      <c r="W85" s="450"/>
      <c r="Y85" s="64">
        <f>SUM(Y10:Y84)</f>
        <v>0</v>
      </c>
      <c r="Z85" s="64">
        <f t="shared" ref="Z85:AA85" si="6">SUM(Z10:Z84)</f>
        <v>-30072732</v>
      </c>
      <c r="AA85" s="64">
        <f t="shared" si="6"/>
        <v>0</v>
      </c>
      <c r="AB85" s="64">
        <f t="shared" ref="AB85" si="7">SUM(AB10:AB84)</f>
        <v>-2947529</v>
      </c>
      <c r="AC85" s="64">
        <f t="shared" ref="AC85:AD85" si="8">SUM(AC10:AC84)</f>
        <v>0</v>
      </c>
      <c r="AD85" s="64">
        <f t="shared" si="8"/>
        <v>-9703870</v>
      </c>
      <c r="AE85">
        <f>IFERROR(VLOOKUP(B85,'DSOAT-T1.2025'!$B$11:$BH$78,67,0),0)</f>
        <v>0</v>
      </c>
    </row>
    <row r="86" spans="1:31" ht="16.5">
      <c r="A86" s="467"/>
      <c r="B86" s="450"/>
      <c r="C86" s="450"/>
      <c r="D86" s="450"/>
      <c r="E86" s="450"/>
      <c r="F86" s="450"/>
      <c r="G86" s="450"/>
      <c r="H86" s="450"/>
      <c r="I86" s="450"/>
      <c r="J86" s="450"/>
      <c r="K86" s="450"/>
      <c r="L86" s="450"/>
      <c r="M86" s="450"/>
      <c r="N86" s="450"/>
      <c r="O86" s="450"/>
      <c r="P86" s="450"/>
      <c r="Q86" s="450"/>
      <c r="R86" s="450"/>
      <c r="S86" s="450"/>
      <c r="T86" s="450"/>
      <c r="U86" s="450"/>
      <c r="V86" s="450"/>
      <c r="W86" s="450"/>
    </row>
    <row r="87" spans="1:31" ht="16.5">
      <c r="A87" s="467"/>
      <c r="B87" s="450"/>
      <c r="C87" s="450"/>
      <c r="D87" s="1560" t="s">
        <v>134</v>
      </c>
      <c r="E87" s="1560"/>
      <c r="F87" s="450"/>
      <c r="G87" s="450"/>
      <c r="H87" s="450"/>
      <c r="I87" s="1560" t="s">
        <v>135</v>
      </c>
      <c r="J87" s="1560"/>
      <c r="K87" s="1560"/>
      <c r="L87" s="450"/>
      <c r="M87" s="450"/>
      <c r="N87" s="450"/>
      <c r="O87" s="1560" t="s">
        <v>133</v>
      </c>
      <c r="P87" s="1560"/>
      <c r="Q87" s="470"/>
      <c r="R87" s="450"/>
      <c r="S87" s="450"/>
      <c r="T87" s="450"/>
      <c r="U87" s="450"/>
      <c r="V87" s="450"/>
      <c r="W87" s="450"/>
    </row>
    <row r="88" spans="1:31" ht="16.5">
      <c r="A88" s="467"/>
      <c r="B88" s="450"/>
      <c r="C88" s="450"/>
      <c r="D88" s="450"/>
      <c r="E88" s="450"/>
      <c r="F88" s="450"/>
      <c r="G88" s="450"/>
      <c r="H88" s="450"/>
      <c r="I88" s="450"/>
      <c r="J88" s="450"/>
      <c r="K88" s="450"/>
      <c r="L88" s="450"/>
      <c r="M88" s="450"/>
      <c r="N88" s="450"/>
      <c r="O88" s="450"/>
      <c r="P88" s="450"/>
      <c r="Q88" s="450"/>
      <c r="R88" s="450"/>
      <c r="S88" s="450"/>
      <c r="T88" s="450"/>
      <c r="U88" s="450"/>
      <c r="V88" s="450"/>
      <c r="W88" s="450"/>
      <c r="Z88" s="561">
        <f>Z85-Z82</f>
        <v>-29663778</v>
      </c>
    </row>
    <row r="89" spans="1:31" ht="16.5">
      <c r="A89" s="467"/>
      <c r="B89" s="450"/>
      <c r="C89" s="450"/>
      <c r="D89" s="450"/>
      <c r="E89" s="450"/>
      <c r="F89" s="450"/>
      <c r="G89" s="450"/>
      <c r="H89" s="450"/>
      <c r="I89" s="450"/>
      <c r="J89" s="450"/>
      <c r="K89" s="450"/>
      <c r="L89" s="450"/>
      <c r="M89" s="450"/>
      <c r="N89" s="450"/>
      <c r="O89" s="450"/>
      <c r="P89" s="450"/>
      <c r="Q89" s="450"/>
      <c r="R89" s="450"/>
      <c r="S89" s="450"/>
      <c r="T89" s="450"/>
      <c r="U89" s="450"/>
      <c r="V89" s="450"/>
      <c r="W89" s="450"/>
    </row>
    <row r="90" spans="1:31" ht="16.5">
      <c r="A90" s="467"/>
      <c r="B90" s="450"/>
      <c r="C90" s="450"/>
      <c r="D90" s="450"/>
      <c r="E90" s="450"/>
      <c r="F90" s="450"/>
      <c r="G90" s="450"/>
      <c r="H90" s="450"/>
      <c r="I90" s="450"/>
      <c r="J90" s="450"/>
      <c r="K90" s="450"/>
      <c r="L90" s="450"/>
      <c r="M90" s="450"/>
      <c r="N90" s="450"/>
      <c r="O90" s="450"/>
      <c r="P90" s="450"/>
      <c r="Q90" s="450"/>
      <c r="R90" s="450"/>
      <c r="S90" s="450"/>
      <c r="T90" s="450"/>
      <c r="U90" s="450"/>
      <c r="V90" s="450"/>
      <c r="W90" s="450"/>
    </row>
    <row r="91" spans="1:31" ht="16.5">
      <c r="A91" s="467"/>
      <c r="B91" s="450"/>
      <c r="C91" s="450"/>
      <c r="D91" s="450"/>
      <c r="E91" s="450"/>
      <c r="F91" s="450"/>
      <c r="G91" s="450"/>
      <c r="H91" s="450"/>
      <c r="I91" s="450"/>
      <c r="J91" s="450"/>
      <c r="K91" s="450"/>
      <c r="L91" s="450"/>
      <c r="M91" s="450"/>
      <c r="N91" s="450"/>
      <c r="O91" s="450"/>
      <c r="P91" s="450"/>
      <c r="Q91" s="450"/>
      <c r="R91" s="450"/>
      <c r="S91" s="450"/>
      <c r="T91" s="450"/>
      <c r="U91" s="450"/>
      <c r="V91" s="450"/>
      <c r="W91" s="450"/>
    </row>
    <row r="92" spans="1:31" ht="16.5">
      <c r="A92" s="467"/>
      <c r="B92" s="450"/>
      <c r="C92" s="450"/>
      <c r="D92" s="450"/>
      <c r="E92" s="450"/>
      <c r="F92" s="450"/>
      <c r="G92" s="450"/>
      <c r="H92" s="450"/>
      <c r="I92" s="450"/>
      <c r="J92" s="450"/>
      <c r="K92" s="450"/>
      <c r="L92" s="450"/>
      <c r="M92" s="450"/>
      <c r="N92" s="450"/>
      <c r="O92" s="450"/>
      <c r="P92" s="450"/>
      <c r="Q92" s="450"/>
      <c r="R92" s="450"/>
      <c r="S92" s="450"/>
      <c r="T92" s="450"/>
      <c r="U92" s="450"/>
      <c r="V92" s="450"/>
      <c r="W92" s="450"/>
    </row>
    <row r="93" spans="1:31" ht="16.5">
      <c r="A93" s="467"/>
      <c r="B93" s="450"/>
      <c r="C93" s="450"/>
      <c r="D93" s="1561" t="s">
        <v>136</v>
      </c>
      <c r="E93" s="1561"/>
      <c r="F93" s="450"/>
      <c r="G93" s="450"/>
      <c r="H93" s="450"/>
      <c r="I93" s="1561" t="s">
        <v>137</v>
      </c>
      <c r="J93" s="1561"/>
      <c r="K93" s="1561"/>
      <c r="L93" s="450"/>
      <c r="M93" s="450"/>
      <c r="N93" s="450"/>
      <c r="O93" s="450"/>
      <c r="P93" s="450"/>
      <c r="Q93" s="450"/>
      <c r="R93" s="450"/>
      <c r="S93" s="450"/>
      <c r="T93" s="450"/>
      <c r="U93" s="450"/>
      <c r="V93" s="450"/>
      <c r="W93" s="450"/>
    </row>
    <row r="97" spans="1:4" hidden="1"/>
    <row r="98" spans="1:4" ht="16.5" hidden="1">
      <c r="A98" s="452">
        <v>400000</v>
      </c>
      <c r="B98" s="452">
        <v>10</v>
      </c>
      <c r="C98" s="450"/>
      <c r="D98" s="454">
        <v>4000000</v>
      </c>
    </row>
    <row r="99" spans="1:4" ht="16.5" hidden="1">
      <c r="A99" s="450"/>
      <c r="B99" s="452">
        <v>1.1111111111111112</v>
      </c>
      <c r="C99" s="450"/>
      <c r="D99" s="454">
        <v>4444444.444444445</v>
      </c>
    </row>
    <row r="100" spans="1:4" ht="16.5" hidden="1">
      <c r="A100" s="450"/>
      <c r="B100" s="452">
        <v>1.1333333333333333</v>
      </c>
      <c r="C100" s="450"/>
      <c r="D100" s="454">
        <v>4533333.333333333</v>
      </c>
    </row>
    <row r="101" spans="1:4" ht="16.5" hidden="1">
      <c r="A101" s="450"/>
      <c r="B101" s="452">
        <v>1.1666666666666667</v>
      </c>
      <c r="C101" s="450"/>
      <c r="D101" s="454">
        <v>4666666.666666667</v>
      </c>
    </row>
    <row r="102" spans="1:4" ht="16.5" hidden="1">
      <c r="A102" s="450"/>
      <c r="B102" s="452">
        <v>1.2222222222222223</v>
      </c>
      <c r="C102" s="450"/>
      <c r="D102" s="454">
        <v>4888888.888888889</v>
      </c>
    </row>
    <row r="103" spans="1:4" hidden="1"/>
  </sheetData>
  <autoFilter ref="A9:AE85">
    <filterColumn colId="27">
      <filters>
        <filter val="(38,948)"/>
        <filter val="(44,512)"/>
        <filter val="38,948"/>
        <filter val="5,564"/>
      </filters>
    </filterColumn>
  </autoFilter>
  <mergeCells count="14">
    <mergeCell ref="I87:K87"/>
    <mergeCell ref="I93:K93"/>
    <mergeCell ref="O87:P87"/>
    <mergeCell ref="I1:O1"/>
    <mergeCell ref="I2:O2"/>
    <mergeCell ref="E6:M6"/>
    <mergeCell ref="E7:M7"/>
    <mergeCell ref="C1:E1"/>
    <mergeCell ref="C2:E2"/>
    <mergeCell ref="C3:E3"/>
    <mergeCell ref="C4:E4"/>
    <mergeCell ref="C85:D85"/>
    <mergeCell ref="D87:E87"/>
    <mergeCell ref="D93:E93"/>
  </mergeCells>
  <pageMargins left="0.2" right="0.28999999999999998" top="0.75" bottom="0.75" header="0.3" footer="0.3"/>
  <pageSetup paperSize="9" orientation="landscape"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selection activeCell="D29" sqref="D29"/>
    </sheetView>
  </sheetViews>
  <sheetFormatPr defaultColWidth="9.140625" defaultRowHeight="15"/>
  <cols>
    <col min="2" max="3" width="12.5703125" customWidth="1"/>
    <col min="4" max="4" width="44" customWidth="1"/>
    <col min="7" max="7" width="10.28515625" customWidth="1"/>
    <col min="9" max="9" width="10.7109375" customWidth="1"/>
    <col min="14" max="14" width="11.5703125" style="561" bestFit="1" customWidth="1"/>
  </cols>
  <sheetData>
    <row r="1" spans="1:15">
      <c r="A1" s="213" t="s">
        <v>225</v>
      </c>
      <c r="B1" s="206"/>
      <c r="C1" s="206"/>
      <c r="D1" s="206"/>
      <c r="E1" s="206"/>
      <c r="F1" s="206"/>
      <c r="G1" s="206"/>
      <c r="H1" s="206"/>
      <c r="I1" s="206"/>
      <c r="J1" s="206"/>
      <c r="K1" s="206"/>
      <c r="L1" s="206"/>
      <c r="M1" t="s">
        <v>23</v>
      </c>
      <c r="N1" s="561">
        <f>SUMIFS($G:$G,$C:$C,M1)</f>
        <v>405000</v>
      </c>
    </row>
    <row r="2" spans="1:15">
      <c r="A2" s="213" t="s">
        <v>225</v>
      </c>
      <c r="B2" s="206"/>
      <c r="C2" s="206"/>
      <c r="D2" s="206"/>
      <c r="E2" s="206"/>
      <c r="F2" s="206"/>
      <c r="G2" s="206"/>
      <c r="H2" s="206"/>
      <c r="I2" s="206"/>
      <c r="J2" s="206"/>
      <c r="K2" s="206"/>
      <c r="L2" s="206"/>
      <c r="M2" t="s">
        <v>42</v>
      </c>
      <c r="N2" s="561">
        <f t="shared" ref="N2:N8" si="0">SUMIFS($G:$G,$C:$C,M2)</f>
        <v>14086280</v>
      </c>
    </row>
    <row r="3" spans="1:15">
      <c r="M3" t="s">
        <v>63</v>
      </c>
      <c r="N3" s="561">
        <f t="shared" si="0"/>
        <v>2232800</v>
      </c>
    </row>
    <row r="4" spans="1:15" ht="18.75">
      <c r="A4" s="214" t="s">
        <v>254</v>
      </c>
      <c r="B4" s="206"/>
      <c r="C4" s="206"/>
      <c r="D4" s="206"/>
      <c r="E4" s="206"/>
      <c r="F4" s="206"/>
      <c r="G4" s="206"/>
      <c r="H4" s="206"/>
      <c r="I4" s="206"/>
      <c r="J4" s="206"/>
      <c r="K4" s="206"/>
      <c r="L4" s="206"/>
      <c r="M4" t="s">
        <v>70</v>
      </c>
      <c r="N4" s="561">
        <f t="shared" si="0"/>
        <v>0</v>
      </c>
    </row>
    <row r="5" spans="1:15">
      <c r="A5" s="213" t="s">
        <v>517</v>
      </c>
      <c r="B5" s="206"/>
      <c r="C5" s="206"/>
      <c r="D5" s="206"/>
      <c r="E5" s="206"/>
      <c r="F5" s="206"/>
      <c r="G5" s="206"/>
      <c r="H5" s="206"/>
      <c r="I5" s="206"/>
      <c r="J5" s="206"/>
      <c r="K5" s="206"/>
      <c r="L5" s="206"/>
      <c r="M5" t="s">
        <v>79</v>
      </c>
      <c r="N5" s="561">
        <f t="shared" si="0"/>
        <v>5200800</v>
      </c>
    </row>
    <row r="6" spans="1:15">
      <c r="M6" t="s">
        <v>87</v>
      </c>
      <c r="N6" s="561">
        <f t="shared" si="0"/>
        <v>0</v>
      </c>
    </row>
    <row r="7" spans="1:15">
      <c r="A7" s="215" t="s">
        <v>226</v>
      </c>
      <c r="B7" s="216"/>
      <c r="C7" s="559"/>
      <c r="D7" s="217" t="s">
        <v>227</v>
      </c>
      <c r="E7" s="215" t="s">
        <v>255</v>
      </c>
      <c r="F7" s="216"/>
      <c r="G7" s="215" t="s">
        <v>228</v>
      </c>
      <c r="H7" s="216"/>
      <c r="I7" s="215" t="s">
        <v>229</v>
      </c>
      <c r="J7" s="216"/>
      <c r="K7" s="215" t="s">
        <v>230</v>
      </c>
      <c r="L7" s="216"/>
      <c r="M7" t="s">
        <v>92</v>
      </c>
      <c r="N7" s="561">
        <f t="shared" si="0"/>
        <v>491600</v>
      </c>
    </row>
    <row r="8" spans="1:15">
      <c r="A8" s="211" t="s">
        <v>231</v>
      </c>
      <c r="B8" s="211" t="s">
        <v>232</v>
      </c>
      <c r="C8" s="558"/>
      <c r="D8" s="218"/>
      <c r="E8" s="211" t="s">
        <v>233</v>
      </c>
      <c r="F8" s="211" t="s">
        <v>234</v>
      </c>
      <c r="G8" s="211" t="s">
        <v>233</v>
      </c>
      <c r="H8" s="211" t="s">
        <v>234</v>
      </c>
      <c r="I8" s="211" t="s">
        <v>233</v>
      </c>
      <c r="J8" s="211" t="s">
        <v>234</v>
      </c>
      <c r="K8" s="211" t="s">
        <v>233</v>
      </c>
      <c r="L8" s="211" t="s">
        <v>234</v>
      </c>
      <c r="M8" t="s">
        <v>20</v>
      </c>
      <c r="N8" s="561">
        <f t="shared" si="0"/>
        <v>0</v>
      </c>
      <c r="O8" s="66">
        <f>N11</f>
        <v>839383</v>
      </c>
    </row>
    <row r="9" spans="1:15">
      <c r="A9" s="215" t="s">
        <v>235</v>
      </c>
      <c r="B9" s="219"/>
      <c r="C9" s="219"/>
      <c r="D9" s="219"/>
      <c r="E9" s="219"/>
      <c r="F9" s="219"/>
      <c r="G9" s="219"/>
      <c r="H9" s="219"/>
      <c r="I9" s="219"/>
      <c r="J9" s="219"/>
      <c r="K9" s="219"/>
      <c r="L9" s="216"/>
      <c r="N9" s="561">
        <f>SUM(N1:N8)</f>
        <v>22416480</v>
      </c>
    </row>
    <row r="10" spans="1:15">
      <c r="A10" s="212" t="s">
        <v>518</v>
      </c>
      <c r="B10" s="212" t="s">
        <v>519</v>
      </c>
      <c r="C10" s="659" t="s">
        <v>79</v>
      </c>
      <c r="D10" s="212" t="s">
        <v>520</v>
      </c>
      <c r="E10" s="210">
        <v>0</v>
      </c>
      <c r="F10" s="210">
        <v>0</v>
      </c>
      <c r="G10" s="210">
        <v>3446800</v>
      </c>
      <c r="H10" s="210">
        <v>0</v>
      </c>
      <c r="I10" s="210">
        <v>3446800</v>
      </c>
      <c r="J10" s="210">
        <v>0</v>
      </c>
      <c r="K10" s="210">
        <v>0</v>
      </c>
      <c r="L10" s="210">
        <v>0</v>
      </c>
      <c r="N10" s="561">
        <v>23255863</v>
      </c>
    </row>
    <row r="11" spans="1:15">
      <c r="A11" s="212" t="s">
        <v>521</v>
      </c>
      <c r="B11" s="212" t="s">
        <v>522</v>
      </c>
      <c r="C11" s="659" t="s">
        <v>42</v>
      </c>
      <c r="D11" s="212" t="s">
        <v>523</v>
      </c>
      <c r="E11" s="210">
        <v>0</v>
      </c>
      <c r="F11" s="210">
        <v>0</v>
      </c>
      <c r="G11" s="210">
        <v>14086280</v>
      </c>
      <c r="H11" s="210">
        <v>0</v>
      </c>
      <c r="I11" s="210">
        <v>14086280</v>
      </c>
      <c r="J11" s="210">
        <v>0</v>
      </c>
      <c r="K11" s="210">
        <v>0</v>
      </c>
      <c r="L11" s="210">
        <v>0</v>
      </c>
      <c r="N11" s="74">
        <f>N10-N9</f>
        <v>839383</v>
      </c>
    </row>
    <row r="12" spans="1:15">
      <c r="A12" s="212" t="s">
        <v>521</v>
      </c>
      <c r="B12" s="212" t="s">
        <v>524</v>
      </c>
      <c r="C12" s="659" t="s">
        <v>92</v>
      </c>
      <c r="D12" s="212" t="s">
        <v>525</v>
      </c>
      <c r="E12" s="210">
        <v>0</v>
      </c>
      <c r="F12" s="210">
        <v>0</v>
      </c>
      <c r="G12" s="210">
        <v>491600</v>
      </c>
      <c r="H12" s="210">
        <v>0</v>
      </c>
      <c r="I12" s="210">
        <v>491600</v>
      </c>
      <c r="J12" s="210">
        <v>0</v>
      </c>
      <c r="K12" s="210">
        <v>0</v>
      </c>
      <c r="L12" s="210">
        <v>0</v>
      </c>
    </row>
    <row r="13" spans="1:15">
      <c r="A13" s="212" t="s">
        <v>521</v>
      </c>
      <c r="B13" s="212" t="s">
        <v>526</v>
      </c>
      <c r="C13" s="659" t="s">
        <v>63</v>
      </c>
      <c r="D13" s="212" t="s">
        <v>527</v>
      </c>
      <c r="E13" s="210">
        <v>0</v>
      </c>
      <c r="F13" s="210">
        <v>0</v>
      </c>
      <c r="G13" s="210">
        <v>2232800</v>
      </c>
      <c r="H13" s="210">
        <v>0</v>
      </c>
      <c r="I13" s="210">
        <v>2232800</v>
      </c>
      <c r="J13" s="210">
        <v>0</v>
      </c>
      <c r="K13" s="210">
        <v>0</v>
      </c>
      <c r="L13" s="210">
        <v>0</v>
      </c>
    </row>
    <row r="14" spans="1:15">
      <c r="A14" s="212" t="s">
        <v>521</v>
      </c>
      <c r="B14" s="212" t="s">
        <v>528</v>
      </c>
      <c r="C14" s="659" t="s">
        <v>23</v>
      </c>
      <c r="D14" s="212" t="s">
        <v>529</v>
      </c>
      <c r="E14" s="210">
        <v>0</v>
      </c>
      <c r="F14" s="210">
        <v>0</v>
      </c>
      <c r="G14" s="210">
        <v>405000</v>
      </c>
      <c r="H14" s="210">
        <v>0</v>
      </c>
      <c r="I14" s="210">
        <v>405000</v>
      </c>
      <c r="J14" s="210">
        <v>0</v>
      </c>
      <c r="K14" s="210">
        <v>0</v>
      </c>
      <c r="L14" s="210">
        <v>0</v>
      </c>
    </row>
    <row r="15" spans="1:15">
      <c r="A15" s="212" t="s">
        <v>521</v>
      </c>
      <c r="B15" s="212" t="s">
        <v>530</v>
      </c>
      <c r="C15" s="659" t="s">
        <v>79</v>
      </c>
      <c r="D15" s="212" t="s">
        <v>531</v>
      </c>
      <c r="E15" s="210">
        <v>0</v>
      </c>
      <c r="F15" s="210">
        <v>0</v>
      </c>
      <c r="G15" s="210">
        <v>1754000</v>
      </c>
      <c r="H15" s="210">
        <v>0</v>
      </c>
      <c r="I15" s="210">
        <v>1754000</v>
      </c>
      <c r="J15" s="210">
        <v>0</v>
      </c>
      <c r="K15" s="210">
        <v>0</v>
      </c>
      <c r="L15" s="210">
        <v>0</v>
      </c>
    </row>
    <row r="16" spans="1:15">
      <c r="A16" s="215" t="s">
        <v>462</v>
      </c>
      <c r="B16" s="219"/>
      <c r="C16" s="219"/>
      <c r="D16" s="216"/>
      <c r="E16" s="210">
        <v>0</v>
      </c>
      <c r="F16" s="210">
        <v>0</v>
      </c>
      <c r="G16" s="210">
        <v>22416480</v>
      </c>
      <c r="H16" s="210">
        <v>0</v>
      </c>
      <c r="I16" s="210">
        <v>22416480</v>
      </c>
      <c r="J16" s="210">
        <v>0</v>
      </c>
      <c r="K16" s="210">
        <v>0</v>
      </c>
      <c r="L16" s="210">
        <v>0</v>
      </c>
    </row>
    <row r="17" spans="1:14">
      <c r="A17" s="215" t="s">
        <v>257</v>
      </c>
      <c r="B17" s="219"/>
      <c r="C17" s="219"/>
      <c r="D17" s="216"/>
      <c r="E17" s="210">
        <v>0</v>
      </c>
      <c r="F17" s="210">
        <v>0</v>
      </c>
      <c r="G17" s="210">
        <v>22416480</v>
      </c>
      <c r="H17" s="210">
        <v>0</v>
      </c>
      <c r="I17" s="210">
        <v>22416480</v>
      </c>
      <c r="J17" s="210">
        <v>0</v>
      </c>
      <c r="K17" s="210">
        <v>0</v>
      </c>
      <c r="L17" s="210">
        <v>0</v>
      </c>
    </row>
    <row r="18" spans="1:14" s="229" customFormat="1">
      <c r="A18" s="225" t="s">
        <v>258</v>
      </c>
      <c r="B18" s="226"/>
      <c r="C18" s="226"/>
      <c r="D18" s="227"/>
      <c r="E18" s="228">
        <v>0</v>
      </c>
      <c r="F18" s="228">
        <v>0</v>
      </c>
      <c r="G18" s="228">
        <v>22416480</v>
      </c>
      <c r="H18" s="228">
        <v>0</v>
      </c>
      <c r="I18" s="228">
        <v>22416480</v>
      </c>
      <c r="J18" s="228">
        <v>0</v>
      </c>
      <c r="K18" s="228">
        <v>0</v>
      </c>
      <c r="L18" s="228">
        <v>0</v>
      </c>
      <c r="N18" s="231"/>
    </row>
    <row r="19" spans="1:14">
      <c r="A19" s="207"/>
      <c r="B19" s="208"/>
      <c r="C19" s="208"/>
      <c r="D19" s="209"/>
      <c r="E19" s="182"/>
      <c r="F19" s="182"/>
      <c r="G19" s="182"/>
      <c r="H19" s="182"/>
      <c r="I19" s="182"/>
      <c r="J19" s="182"/>
      <c r="K19" s="182"/>
      <c r="L19" s="182"/>
    </row>
    <row r="20" spans="1:14">
      <c r="A20" s="206"/>
      <c r="B20" s="206"/>
      <c r="C20" s="206"/>
      <c r="D20" s="206"/>
      <c r="E20" s="206"/>
      <c r="F20" s="206"/>
      <c r="G20" s="206"/>
      <c r="H20" s="206"/>
      <c r="I20" s="206"/>
      <c r="J20" s="206"/>
      <c r="K20" s="660" t="s">
        <v>532</v>
      </c>
      <c r="L20" s="661"/>
    </row>
    <row r="21" spans="1:14">
      <c r="A21" s="206"/>
      <c r="B21" s="206"/>
      <c r="C21" s="206"/>
      <c r="D21" s="213" t="s">
        <v>248</v>
      </c>
      <c r="E21" s="206"/>
      <c r="F21" s="206"/>
      <c r="G21" s="206"/>
      <c r="H21" s="206"/>
      <c r="I21" s="206"/>
      <c r="J21" s="206"/>
      <c r="K21" s="213" t="s">
        <v>249</v>
      </c>
      <c r="L21" s="206"/>
    </row>
    <row r="22" spans="1:14">
      <c r="A22" s="206"/>
      <c r="B22" s="206"/>
      <c r="C22" s="206"/>
      <c r="D22" s="213" t="s">
        <v>250</v>
      </c>
      <c r="E22" s="206"/>
      <c r="F22" s="206"/>
      <c r="G22" s="206"/>
      <c r="H22" s="206"/>
      <c r="I22" s="206"/>
      <c r="J22" s="206"/>
      <c r="K22" s="213" t="s">
        <v>251</v>
      </c>
      <c r="L22" s="206"/>
    </row>
    <row r="23" spans="1:14">
      <c r="K23" s="204"/>
      <c r="L23" s="204"/>
    </row>
    <row r="24" spans="1:14">
      <c r="D24" s="557"/>
      <c r="E24" s="557"/>
      <c r="K24" s="557"/>
      <c r="L24" s="557"/>
    </row>
    <row r="25" spans="1:14">
      <c r="D25" s="557"/>
      <c r="E25" s="557"/>
      <c r="K25" s="557"/>
      <c r="L25" s="557"/>
    </row>
    <row r="26" spans="1:14">
      <c r="G26" s="183"/>
    </row>
    <row r="27" spans="1:14">
      <c r="A27" s="206"/>
      <c r="B27" s="206"/>
      <c r="C27" s="206"/>
      <c r="D27" s="213" t="s">
        <v>252</v>
      </c>
      <c r="E27" s="206"/>
      <c r="F27" s="206"/>
      <c r="G27" s="206"/>
      <c r="H27" s="206"/>
      <c r="I27" s="206"/>
      <c r="J27" s="206"/>
      <c r="K27" s="213" t="s">
        <v>253</v>
      </c>
      <c r="L27" s="206"/>
    </row>
    <row r="29" spans="1:14">
      <c r="G29" s="67">
        <f>G26-G27</f>
        <v>0</v>
      </c>
    </row>
    <row r="30" spans="1:14">
      <c r="D30" s="662" t="s">
        <v>252</v>
      </c>
      <c r="K30" s="662" t="s">
        <v>253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R89"/>
  <sheetViews>
    <sheetView topLeftCell="A29" workbookViewId="0">
      <selection activeCell="G23" sqref="G23"/>
    </sheetView>
  </sheetViews>
  <sheetFormatPr defaultRowHeight="15"/>
  <cols>
    <col min="1" max="1" width="9.140625" customWidth="1"/>
    <col min="2" max="2" width="11.85546875" customWidth="1"/>
    <col min="3" max="3" width="4.5703125" customWidth="1"/>
    <col min="4" max="4" width="76.5703125" customWidth="1"/>
    <col min="5" max="6" width="0" hidden="1" customWidth="1"/>
    <col min="7" max="7" width="11.85546875" customWidth="1"/>
    <col min="8" max="8" width="11.5703125" hidden="1" customWidth="1"/>
    <col min="9" max="9" width="0" hidden="1" customWidth="1"/>
    <col min="10" max="10" width="13.42578125" hidden="1" customWidth="1"/>
    <col min="11" max="11" width="10.5703125" hidden="1" customWidth="1"/>
    <col min="12" max="12" width="11.7109375" customWidth="1"/>
    <col min="13" max="13" width="12.28515625" customWidth="1"/>
    <col min="14" max="14" width="12.140625" customWidth="1"/>
    <col min="15" max="15" width="11" customWidth="1"/>
    <col min="16" max="16" width="0" hidden="1" customWidth="1"/>
    <col min="17" max="17" width="10.5703125" bestFit="1" customWidth="1"/>
    <col min="18" max="22" width="0" hidden="1" customWidth="1"/>
    <col min="23" max="24" width="10.5703125" bestFit="1" customWidth="1"/>
    <col min="25" max="26" width="0" hidden="1" customWidth="1"/>
    <col min="28" max="28" width="10.7109375" hidden="1" customWidth="1"/>
    <col min="29" max="29" width="11.85546875" customWidth="1"/>
    <col min="30" max="30" width="1" customWidth="1"/>
    <col min="31" max="31" width="11.5703125" bestFit="1" customWidth="1"/>
    <col min="33" max="33" width="14.28515625" bestFit="1" customWidth="1"/>
  </cols>
  <sheetData>
    <row r="1" spans="1:44">
      <c r="A1" s="213" t="s">
        <v>225</v>
      </c>
      <c r="B1" s="206"/>
      <c r="C1" s="206"/>
      <c r="D1" s="206"/>
      <c r="E1" s="206"/>
      <c r="F1" s="206"/>
      <c r="G1" s="206"/>
      <c r="H1" s="206"/>
      <c r="I1" s="206"/>
      <c r="J1" s="206"/>
      <c r="K1" s="206"/>
      <c r="L1" s="206"/>
      <c r="AF1" t="s">
        <v>23</v>
      </c>
      <c r="AG1" s="561">
        <f>SUMIFS($M:$M,$C:$C,AF1)</f>
        <v>405000</v>
      </c>
      <c r="AH1" s="561">
        <f t="shared" ref="AH1:AR1" si="0">SUMIFS($M:$M,$C:$C,AG1)</f>
        <v>0</v>
      </c>
      <c r="AI1" s="561">
        <f t="shared" si="0"/>
        <v>0</v>
      </c>
      <c r="AJ1" s="561">
        <f t="shared" si="0"/>
        <v>0</v>
      </c>
      <c r="AK1" s="561">
        <f t="shared" si="0"/>
        <v>0</v>
      </c>
      <c r="AL1" s="561">
        <f t="shared" si="0"/>
        <v>0</v>
      </c>
      <c r="AM1" s="561">
        <f t="shared" si="0"/>
        <v>0</v>
      </c>
      <c r="AN1" s="561">
        <f t="shared" si="0"/>
        <v>0</v>
      </c>
      <c r="AO1" s="561">
        <f t="shared" si="0"/>
        <v>0</v>
      </c>
      <c r="AP1" s="561">
        <f t="shared" si="0"/>
        <v>0</v>
      </c>
      <c r="AQ1" s="561">
        <f t="shared" si="0"/>
        <v>0</v>
      </c>
      <c r="AR1" s="561">
        <f t="shared" si="0"/>
        <v>0</v>
      </c>
    </row>
    <row r="2" spans="1:44">
      <c r="A2" s="213" t="s">
        <v>225</v>
      </c>
      <c r="B2" s="206"/>
      <c r="C2" s="206"/>
      <c r="D2" s="206"/>
      <c r="E2" s="206"/>
      <c r="F2" s="206"/>
      <c r="G2" s="206"/>
      <c r="H2" s="206"/>
      <c r="I2" s="206"/>
      <c r="J2" s="206"/>
      <c r="K2" s="206"/>
      <c r="L2" s="206"/>
      <c r="AF2" t="s">
        <v>42</v>
      </c>
      <c r="AG2" s="561">
        <f t="shared" ref="AG2:AG8" si="1">SUMIFS($M:$M,$C:$C,AF2)</f>
        <v>14086280</v>
      </c>
      <c r="AH2" s="561">
        <f t="shared" ref="AH2:AR8" si="2">SUMIFS($M:$M,$C:$C,AG2)</f>
        <v>0</v>
      </c>
      <c r="AI2" s="561">
        <f t="shared" si="2"/>
        <v>0</v>
      </c>
      <c r="AJ2" s="561">
        <f t="shared" si="2"/>
        <v>0</v>
      </c>
      <c r="AK2" s="561">
        <f t="shared" si="2"/>
        <v>0</v>
      </c>
      <c r="AL2" s="561">
        <f t="shared" si="2"/>
        <v>0</v>
      </c>
      <c r="AM2" s="561">
        <f t="shared" si="2"/>
        <v>0</v>
      </c>
      <c r="AN2" s="561">
        <f t="shared" si="2"/>
        <v>0</v>
      </c>
      <c r="AO2" s="561">
        <f t="shared" si="2"/>
        <v>0</v>
      </c>
      <c r="AP2" s="561">
        <f t="shared" si="2"/>
        <v>0</v>
      </c>
      <c r="AQ2" s="561">
        <f t="shared" si="2"/>
        <v>0</v>
      </c>
      <c r="AR2" s="561">
        <f t="shared" si="2"/>
        <v>0</v>
      </c>
    </row>
    <row r="3" spans="1:44">
      <c r="AF3" t="s">
        <v>63</v>
      </c>
      <c r="AG3" s="561">
        <f t="shared" si="1"/>
        <v>2232800</v>
      </c>
      <c r="AH3" s="561">
        <f t="shared" si="2"/>
        <v>0</v>
      </c>
      <c r="AI3" s="561">
        <f t="shared" si="2"/>
        <v>0</v>
      </c>
      <c r="AJ3" s="561">
        <f t="shared" si="2"/>
        <v>0</v>
      </c>
      <c r="AK3" s="561">
        <f t="shared" si="2"/>
        <v>0</v>
      </c>
      <c r="AL3" s="561">
        <f t="shared" si="2"/>
        <v>0</v>
      </c>
      <c r="AM3" s="561">
        <f t="shared" si="2"/>
        <v>0</v>
      </c>
      <c r="AN3" s="561">
        <f t="shared" si="2"/>
        <v>0</v>
      </c>
      <c r="AO3" s="561">
        <f t="shared" si="2"/>
        <v>0</v>
      </c>
      <c r="AP3" s="561">
        <f t="shared" si="2"/>
        <v>0</v>
      </c>
      <c r="AQ3" s="561">
        <f t="shared" si="2"/>
        <v>0</v>
      </c>
      <c r="AR3" s="561">
        <f t="shared" si="2"/>
        <v>0</v>
      </c>
    </row>
    <row r="4" spans="1:44" ht="18.75">
      <c r="A4" s="214" t="s">
        <v>254</v>
      </c>
      <c r="B4" s="206"/>
      <c r="C4" s="206"/>
      <c r="D4" s="206"/>
      <c r="E4" s="206"/>
      <c r="F4" s="206"/>
      <c r="G4" s="206"/>
      <c r="H4" s="206"/>
      <c r="I4" s="206"/>
      <c r="J4" s="206"/>
      <c r="K4" s="206"/>
      <c r="L4" s="206"/>
      <c r="AF4" t="s">
        <v>70</v>
      </c>
      <c r="AG4" s="561">
        <f t="shared" si="1"/>
        <v>0</v>
      </c>
      <c r="AH4" s="561">
        <f t="shared" si="2"/>
        <v>0</v>
      </c>
      <c r="AI4" s="561">
        <f t="shared" si="2"/>
        <v>0</v>
      </c>
      <c r="AJ4" s="561">
        <f t="shared" si="2"/>
        <v>0</v>
      </c>
      <c r="AK4" s="561">
        <f t="shared" si="2"/>
        <v>0</v>
      </c>
      <c r="AL4" s="561">
        <f t="shared" si="2"/>
        <v>0</v>
      </c>
      <c r="AM4" s="561">
        <f t="shared" si="2"/>
        <v>0</v>
      </c>
      <c r="AN4" s="561">
        <f t="shared" si="2"/>
        <v>0</v>
      </c>
      <c r="AO4" s="561">
        <f t="shared" si="2"/>
        <v>0</v>
      </c>
      <c r="AP4" s="561">
        <f t="shared" si="2"/>
        <v>0</v>
      </c>
      <c r="AQ4" s="561">
        <f t="shared" si="2"/>
        <v>0</v>
      </c>
      <c r="AR4" s="561">
        <f t="shared" si="2"/>
        <v>0</v>
      </c>
    </row>
    <row r="5" spans="1:44">
      <c r="A5" s="213" t="s">
        <v>517</v>
      </c>
      <c r="B5" s="206"/>
      <c r="C5" s="206"/>
      <c r="D5" s="206"/>
      <c r="E5" s="206"/>
      <c r="F5" s="206"/>
      <c r="G5" s="206"/>
      <c r="H5" s="206"/>
      <c r="I5" s="206"/>
      <c r="J5" s="206"/>
      <c r="K5" s="206"/>
      <c r="L5" s="206"/>
      <c r="AF5" t="s">
        <v>79</v>
      </c>
      <c r="AG5" s="561">
        <f t="shared" si="1"/>
        <v>5200800</v>
      </c>
      <c r="AH5" s="561">
        <f t="shared" si="2"/>
        <v>0</v>
      </c>
      <c r="AI5" s="561">
        <f t="shared" si="2"/>
        <v>0</v>
      </c>
      <c r="AJ5" s="561">
        <f t="shared" si="2"/>
        <v>0</v>
      </c>
      <c r="AK5" s="561">
        <f t="shared" si="2"/>
        <v>0</v>
      </c>
      <c r="AL5" s="561">
        <f t="shared" si="2"/>
        <v>0</v>
      </c>
      <c r="AM5" s="561">
        <f t="shared" si="2"/>
        <v>0</v>
      </c>
      <c r="AN5" s="561">
        <f t="shared" si="2"/>
        <v>0</v>
      </c>
      <c r="AO5" s="561">
        <f t="shared" si="2"/>
        <v>0</v>
      </c>
      <c r="AP5" s="561">
        <f t="shared" si="2"/>
        <v>0</v>
      </c>
      <c r="AQ5" s="561">
        <f t="shared" si="2"/>
        <v>0</v>
      </c>
      <c r="AR5" s="561">
        <f t="shared" si="2"/>
        <v>0</v>
      </c>
    </row>
    <row r="6" spans="1:44">
      <c r="AF6" t="s">
        <v>87</v>
      </c>
      <c r="AG6" s="561">
        <f t="shared" si="1"/>
        <v>0</v>
      </c>
      <c r="AH6" s="561">
        <f t="shared" si="2"/>
        <v>0</v>
      </c>
      <c r="AI6" s="561">
        <f t="shared" si="2"/>
        <v>0</v>
      </c>
      <c r="AJ6" s="561">
        <f t="shared" si="2"/>
        <v>0</v>
      </c>
      <c r="AK6" s="561">
        <f t="shared" si="2"/>
        <v>0</v>
      </c>
      <c r="AL6" s="561">
        <f t="shared" si="2"/>
        <v>0</v>
      </c>
      <c r="AM6" s="561">
        <f t="shared" si="2"/>
        <v>0</v>
      </c>
      <c r="AN6" s="561">
        <f t="shared" si="2"/>
        <v>0</v>
      </c>
      <c r="AO6" s="561">
        <f t="shared" si="2"/>
        <v>0</v>
      </c>
      <c r="AP6" s="561">
        <f t="shared" si="2"/>
        <v>0</v>
      </c>
      <c r="AQ6" s="561">
        <f t="shared" si="2"/>
        <v>0</v>
      </c>
      <c r="AR6" s="561">
        <f t="shared" si="2"/>
        <v>0</v>
      </c>
    </row>
    <row r="7" spans="1:44">
      <c r="A7" s="215" t="s">
        <v>226</v>
      </c>
      <c r="B7" s="216"/>
      <c r="C7" s="578"/>
      <c r="D7" s="217" t="s">
        <v>227</v>
      </c>
      <c r="E7" s="215" t="s">
        <v>255</v>
      </c>
      <c r="F7" s="216"/>
      <c r="G7" s="215" t="s">
        <v>228</v>
      </c>
      <c r="H7" s="216"/>
      <c r="I7" s="215" t="s">
        <v>229</v>
      </c>
      <c r="J7" s="216"/>
      <c r="K7" s="215" t="s">
        <v>230</v>
      </c>
      <c r="L7" s="216"/>
      <c r="AF7" t="s">
        <v>92</v>
      </c>
      <c r="AG7" s="561">
        <f t="shared" si="1"/>
        <v>491600</v>
      </c>
      <c r="AH7" s="561">
        <f t="shared" si="2"/>
        <v>0</v>
      </c>
      <c r="AI7" s="561">
        <f t="shared" si="2"/>
        <v>0</v>
      </c>
      <c r="AJ7" s="561">
        <f t="shared" si="2"/>
        <v>0</v>
      </c>
      <c r="AK7" s="561">
        <f t="shared" si="2"/>
        <v>0</v>
      </c>
      <c r="AL7" s="561">
        <f t="shared" si="2"/>
        <v>0</v>
      </c>
      <c r="AM7" s="561">
        <f t="shared" si="2"/>
        <v>0</v>
      </c>
      <c r="AN7" s="561">
        <f t="shared" si="2"/>
        <v>0</v>
      </c>
      <c r="AO7" s="561">
        <f t="shared" si="2"/>
        <v>0</v>
      </c>
      <c r="AP7" s="561">
        <f t="shared" si="2"/>
        <v>0</v>
      </c>
      <c r="AQ7" s="561">
        <f t="shared" si="2"/>
        <v>0</v>
      </c>
      <c r="AR7" s="561">
        <f t="shared" si="2"/>
        <v>0</v>
      </c>
    </row>
    <row r="8" spans="1:44">
      <c r="A8" s="211" t="s">
        <v>231</v>
      </c>
      <c r="B8" s="211" t="s">
        <v>232</v>
      </c>
      <c r="C8" s="218"/>
      <c r="D8" s="218"/>
      <c r="E8" s="211" t="s">
        <v>233</v>
      </c>
      <c r="F8" s="211" t="s">
        <v>234</v>
      </c>
      <c r="G8" s="211" t="s">
        <v>233</v>
      </c>
      <c r="H8" s="211" t="s">
        <v>234</v>
      </c>
      <c r="I8" s="211" t="s">
        <v>233</v>
      </c>
      <c r="J8" s="211" t="s">
        <v>234</v>
      </c>
      <c r="K8" s="211" t="s">
        <v>233</v>
      </c>
      <c r="L8" s="211" t="s">
        <v>234</v>
      </c>
      <c r="AF8" t="s">
        <v>20</v>
      </c>
      <c r="AG8" s="561">
        <f t="shared" si="1"/>
        <v>0</v>
      </c>
      <c r="AH8" s="561">
        <f t="shared" si="2"/>
        <v>0</v>
      </c>
      <c r="AI8" s="561">
        <f t="shared" si="2"/>
        <v>0</v>
      </c>
      <c r="AJ8" s="561">
        <f t="shared" si="2"/>
        <v>0</v>
      </c>
      <c r="AK8" s="561">
        <f t="shared" si="2"/>
        <v>0</v>
      </c>
      <c r="AL8" s="561">
        <f t="shared" si="2"/>
        <v>0</v>
      </c>
      <c r="AM8" s="561">
        <f t="shared" si="2"/>
        <v>0</v>
      </c>
      <c r="AN8" s="561">
        <f t="shared" si="2"/>
        <v>0</v>
      </c>
      <c r="AO8" s="561">
        <f t="shared" si="2"/>
        <v>0</v>
      </c>
      <c r="AP8" s="561">
        <f t="shared" si="2"/>
        <v>0</v>
      </c>
      <c r="AQ8" s="561">
        <f t="shared" si="2"/>
        <v>0</v>
      </c>
      <c r="AR8" s="561">
        <f t="shared" si="2"/>
        <v>0</v>
      </c>
    </row>
    <row r="9" spans="1:44">
      <c r="A9" s="215" t="s">
        <v>235</v>
      </c>
      <c r="B9" s="219"/>
      <c r="C9" s="219"/>
      <c r="D9" s="219"/>
      <c r="E9" s="219"/>
      <c r="F9" s="219"/>
      <c r="G9" s="219"/>
      <c r="H9" s="219"/>
      <c r="I9" s="219"/>
      <c r="J9" s="219"/>
      <c r="K9" s="219"/>
      <c r="L9" s="216"/>
      <c r="M9" s="223" t="s">
        <v>236</v>
      </c>
      <c r="N9" s="223" t="s">
        <v>237</v>
      </c>
      <c r="O9" s="223" t="s">
        <v>238</v>
      </c>
      <c r="P9" s="223" t="s">
        <v>239</v>
      </c>
      <c r="Q9" s="223" t="s">
        <v>240</v>
      </c>
      <c r="R9" s="223" t="s">
        <v>483</v>
      </c>
      <c r="S9" s="223" t="s">
        <v>482</v>
      </c>
      <c r="T9" s="223" t="s">
        <v>243</v>
      </c>
      <c r="U9" s="223" t="s">
        <v>244</v>
      </c>
      <c r="V9" s="223" t="s">
        <v>484</v>
      </c>
      <c r="W9" s="223" t="s">
        <v>245</v>
      </c>
      <c r="X9" s="223" t="s">
        <v>246</v>
      </c>
      <c r="Y9" s="223" t="s">
        <v>478</v>
      </c>
      <c r="Z9" s="223" t="s">
        <v>479</v>
      </c>
      <c r="AA9" s="223" t="s">
        <v>480</v>
      </c>
      <c r="AB9" s="223" t="s">
        <v>247</v>
      </c>
      <c r="AC9" s="223" t="s">
        <v>266</v>
      </c>
      <c r="AD9" s="223" t="s">
        <v>481</v>
      </c>
      <c r="AE9" s="223" t="s">
        <v>12</v>
      </c>
      <c r="AG9" s="64">
        <f>SUBTOTAL(9,AG1:AG8)</f>
        <v>22416480</v>
      </c>
      <c r="AH9" s="64">
        <f t="shared" ref="AH9:AR9" si="3">SUBTOTAL(9,AH1:AH8)</f>
        <v>0</v>
      </c>
      <c r="AI9" s="64">
        <f t="shared" si="3"/>
        <v>0</v>
      </c>
      <c r="AJ9" s="64">
        <f t="shared" si="3"/>
        <v>0</v>
      </c>
      <c r="AK9" s="64">
        <f t="shared" si="3"/>
        <v>0</v>
      </c>
      <c r="AL9" s="64">
        <f t="shared" si="3"/>
        <v>0</v>
      </c>
      <c r="AM9" s="64">
        <f t="shared" si="3"/>
        <v>0</v>
      </c>
      <c r="AN9" s="64">
        <f t="shared" si="3"/>
        <v>0</v>
      </c>
      <c r="AO9" s="64">
        <f t="shared" si="3"/>
        <v>0</v>
      </c>
      <c r="AP9" s="64">
        <f t="shared" si="3"/>
        <v>0</v>
      </c>
      <c r="AQ9" s="64">
        <f t="shared" si="3"/>
        <v>0</v>
      </c>
      <c r="AR9" s="64">
        <f t="shared" si="3"/>
        <v>0</v>
      </c>
    </row>
    <row r="10" spans="1:44" hidden="1">
      <c r="A10" s="212" t="s">
        <v>439</v>
      </c>
      <c r="B10" s="212" t="s">
        <v>463</v>
      </c>
      <c r="C10" s="212"/>
      <c r="D10" s="212" t="s">
        <v>464</v>
      </c>
      <c r="E10" s="210">
        <v>700000</v>
      </c>
      <c r="F10" s="210">
        <v>0</v>
      </c>
      <c r="G10" s="210">
        <v>0</v>
      </c>
      <c r="H10" s="210">
        <v>0</v>
      </c>
      <c r="I10" s="210">
        <v>700000</v>
      </c>
      <c r="J10" s="210">
        <v>0</v>
      </c>
      <c r="K10" s="210">
        <v>0</v>
      </c>
      <c r="L10" s="210">
        <v>0</v>
      </c>
    </row>
    <row r="11" spans="1:44" hidden="1">
      <c r="A11" s="212" t="s">
        <v>439</v>
      </c>
      <c r="B11" s="212" t="s">
        <v>465</v>
      </c>
      <c r="C11" s="212"/>
      <c r="D11" s="212" t="s">
        <v>466</v>
      </c>
      <c r="E11" s="210">
        <v>8400000</v>
      </c>
      <c r="F11" s="210">
        <v>0</v>
      </c>
      <c r="G11" s="210">
        <v>0</v>
      </c>
      <c r="H11" s="210">
        <v>0</v>
      </c>
      <c r="I11" s="210">
        <v>8400000</v>
      </c>
      <c r="J11" s="210">
        <v>0</v>
      </c>
      <c r="K11" s="210">
        <v>0</v>
      </c>
      <c r="L11" s="210">
        <v>0</v>
      </c>
    </row>
    <row r="12" spans="1:44" hidden="1">
      <c r="A12" s="212" t="s">
        <v>439</v>
      </c>
      <c r="B12" s="212" t="s">
        <v>440</v>
      </c>
      <c r="C12" s="212"/>
      <c r="D12" s="212" t="s">
        <v>441</v>
      </c>
      <c r="E12" s="210">
        <v>105000</v>
      </c>
      <c r="F12" s="210">
        <v>0</v>
      </c>
      <c r="G12" s="210">
        <v>0</v>
      </c>
      <c r="H12" s="210">
        <v>0</v>
      </c>
      <c r="I12" s="210">
        <v>105000</v>
      </c>
      <c r="J12" s="210">
        <v>0</v>
      </c>
      <c r="K12" s="210">
        <v>0</v>
      </c>
      <c r="L12" s="210">
        <v>0</v>
      </c>
    </row>
    <row r="13" spans="1:44" hidden="1">
      <c r="A13" s="212" t="s">
        <v>442</v>
      </c>
      <c r="B13" s="212" t="s">
        <v>443</v>
      </c>
      <c r="C13" s="212"/>
      <c r="D13" s="212" t="s">
        <v>444</v>
      </c>
      <c r="E13" s="210">
        <v>1701255</v>
      </c>
      <c r="F13" s="210">
        <v>0</v>
      </c>
      <c r="G13" s="210">
        <v>0</v>
      </c>
      <c r="H13" s="210">
        <v>0</v>
      </c>
      <c r="I13" s="210">
        <v>1701255</v>
      </c>
      <c r="J13" s="210">
        <v>0</v>
      </c>
      <c r="K13" s="210">
        <v>0</v>
      </c>
      <c r="L13" s="210">
        <v>0</v>
      </c>
    </row>
    <row r="14" spans="1:44" hidden="1">
      <c r="A14" s="212" t="s">
        <v>442</v>
      </c>
      <c r="B14" s="212" t="s">
        <v>467</v>
      </c>
      <c r="C14" s="212"/>
      <c r="D14" s="212" t="s">
        <v>468</v>
      </c>
      <c r="E14" s="210">
        <v>43111411</v>
      </c>
      <c r="F14" s="210">
        <v>0</v>
      </c>
      <c r="G14" s="210">
        <v>0</v>
      </c>
      <c r="H14" s="210">
        <v>0</v>
      </c>
      <c r="I14" s="210">
        <v>43111411</v>
      </c>
      <c r="J14" s="210">
        <v>0</v>
      </c>
      <c r="K14" s="210">
        <v>0</v>
      </c>
      <c r="L14" s="210">
        <v>0</v>
      </c>
    </row>
    <row r="15" spans="1:44" hidden="1">
      <c r="A15" s="212" t="s">
        <v>445</v>
      </c>
      <c r="B15" s="212" t="s">
        <v>469</v>
      </c>
      <c r="C15" s="212"/>
      <c r="D15" s="212" t="s">
        <v>470</v>
      </c>
      <c r="E15" s="210">
        <v>6729000</v>
      </c>
      <c r="F15" s="210">
        <v>0</v>
      </c>
      <c r="G15" s="210">
        <v>0</v>
      </c>
      <c r="H15" s="210">
        <v>0</v>
      </c>
      <c r="I15" s="210">
        <v>6729000</v>
      </c>
      <c r="J15" s="210">
        <v>0</v>
      </c>
      <c r="K15" s="210">
        <v>0</v>
      </c>
      <c r="L15" s="210">
        <v>0</v>
      </c>
    </row>
    <row r="16" spans="1:44" hidden="1">
      <c r="A16" s="212" t="s">
        <v>445</v>
      </c>
      <c r="B16" s="212" t="s">
        <v>471</v>
      </c>
      <c r="C16" s="212"/>
      <c r="D16" s="212" t="s">
        <v>472</v>
      </c>
      <c r="E16" s="210">
        <v>590000</v>
      </c>
      <c r="F16" s="210">
        <v>0</v>
      </c>
      <c r="G16" s="210">
        <v>0</v>
      </c>
      <c r="H16" s="210">
        <v>0</v>
      </c>
      <c r="I16" s="210">
        <v>590000</v>
      </c>
      <c r="J16" s="210">
        <v>0</v>
      </c>
      <c r="K16" s="210">
        <v>0</v>
      </c>
      <c r="L16" s="210">
        <v>0</v>
      </c>
    </row>
    <row r="17" spans="1:31" hidden="1">
      <c r="A17" s="212" t="s">
        <v>445</v>
      </c>
      <c r="B17" s="212" t="s">
        <v>446</v>
      </c>
      <c r="C17" s="212"/>
      <c r="D17" s="212" t="s">
        <v>447</v>
      </c>
      <c r="E17" s="210">
        <v>2504400</v>
      </c>
      <c r="F17" s="210">
        <v>0</v>
      </c>
      <c r="G17" s="210">
        <v>0</v>
      </c>
      <c r="H17" s="210">
        <v>0</v>
      </c>
      <c r="I17" s="210">
        <v>2504400</v>
      </c>
      <c r="J17" s="210">
        <v>0</v>
      </c>
      <c r="K17" s="210">
        <v>0</v>
      </c>
      <c r="L17" s="210">
        <v>0</v>
      </c>
    </row>
    <row r="18" spans="1:31" hidden="1">
      <c r="A18" s="212" t="s">
        <v>448</v>
      </c>
      <c r="B18" s="212" t="s">
        <v>449</v>
      </c>
      <c r="C18" s="212"/>
      <c r="D18" s="212" t="s">
        <v>450</v>
      </c>
      <c r="E18" s="210">
        <v>243200</v>
      </c>
      <c r="F18" s="210">
        <v>0</v>
      </c>
      <c r="G18" s="210">
        <v>0</v>
      </c>
      <c r="H18" s="210">
        <v>0</v>
      </c>
      <c r="I18" s="210">
        <v>243200</v>
      </c>
      <c r="J18" s="210">
        <v>0</v>
      </c>
      <c r="K18" s="210">
        <v>0</v>
      </c>
      <c r="L18" s="210">
        <v>0</v>
      </c>
    </row>
    <row r="19" spans="1:31" hidden="1">
      <c r="A19" s="212" t="s">
        <v>448</v>
      </c>
      <c r="B19" s="212" t="s">
        <v>451</v>
      </c>
      <c r="C19" s="212"/>
      <c r="D19" s="212" t="s">
        <v>452</v>
      </c>
      <c r="E19" s="210">
        <v>110000</v>
      </c>
      <c r="F19" s="210">
        <v>0</v>
      </c>
      <c r="G19" s="210">
        <v>0</v>
      </c>
      <c r="H19" s="210">
        <v>0</v>
      </c>
      <c r="I19" s="210">
        <v>110000</v>
      </c>
      <c r="J19" s="210">
        <v>0</v>
      </c>
      <c r="K19" s="210">
        <v>0</v>
      </c>
      <c r="L19" s="210">
        <v>0</v>
      </c>
    </row>
    <row r="20" spans="1:31" hidden="1">
      <c r="A20" s="212" t="s">
        <v>448</v>
      </c>
      <c r="B20" s="212" t="s">
        <v>453</v>
      </c>
      <c r="C20" s="212"/>
      <c r="D20" s="212" t="s">
        <v>454</v>
      </c>
      <c r="E20" s="210">
        <v>1000000</v>
      </c>
      <c r="F20" s="210">
        <v>0</v>
      </c>
      <c r="G20" s="210">
        <v>0</v>
      </c>
      <c r="H20" s="210">
        <v>0</v>
      </c>
      <c r="I20" s="210">
        <v>1000000</v>
      </c>
      <c r="J20" s="210">
        <v>0</v>
      </c>
      <c r="K20" s="210">
        <v>0</v>
      </c>
      <c r="L20" s="210">
        <v>0</v>
      </c>
    </row>
    <row r="21" spans="1:31" hidden="1">
      <c r="A21" s="212" t="s">
        <v>448</v>
      </c>
      <c r="B21" s="212" t="s">
        <v>473</v>
      </c>
      <c r="C21" s="212"/>
      <c r="D21" s="212" t="s">
        <v>474</v>
      </c>
      <c r="E21" s="210">
        <v>4390451</v>
      </c>
      <c r="F21" s="210">
        <v>0</v>
      </c>
      <c r="G21" s="210">
        <v>0</v>
      </c>
      <c r="H21" s="210">
        <v>0</v>
      </c>
      <c r="I21" s="210">
        <v>4390451</v>
      </c>
      <c r="J21" s="210">
        <v>0</v>
      </c>
      <c r="K21" s="210">
        <v>0</v>
      </c>
      <c r="L21" s="210">
        <v>0</v>
      </c>
    </row>
    <row r="22" spans="1:31" hidden="1">
      <c r="A22" s="212" t="s">
        <v>455</v>
      </c>
      <c r="B22" s="212" t="s">
        <v>456</v>
      </c>
      <c r="C22" s="212"/>
      <c r="D22" s="212" t="s">
        <v>457</v>
      </c>
      <c r="E22" s="210">
        <v>1031030</v>
      </c>
      <c r="F22" s="210">
        <v>0</v>
      </c>
      <c r="G22" s="210">
        <v>0</v>
      </c>
      <c r="H22" s="210">
        <v>0</v>
      </c>
      <c r="I22" s="210">
        <v>1031030</v>
      </c>
      <c r="J22" s="210">
        <v>0</v>
      </c>
      <c r="K22" s="210">
        <v>0</v>
      </c>
      <c r="L22" s="210">
        <v>0</v>
      </c>
    </row>
    <row r="23" spans="1:31" hidden="1">
      <c r="A23" s="212" t="s">
        <v>455</v>
      </c>
      <c r="B23" s="212" t="s">
        <v>458</v>
      </c>
      <c r="C23" s="212"/>
      <c r="D23" s="212" t="s">
        <v>459</v>
      </c>
      <c r="E23" s="210">
        <v>3332600</v>
      </c>
      <c r="F23" s="210">
        <v>0</v>
      </c>
      <c r="G23" s="210">
        <v>0</v>
      </c>
      <c r="H23" s="210">
        <v>0</v>
      </c>
      <c r="I23" s="210">
        <v>3332600</v>
      </c>
      <c r="J23" s="210">
        <v>0</v>
      </c>
      <c r="K23" s="210">
        <v>0</v>
      </c>
      <c r="L23" s="210">
        <v>0</v>
      </c>
    </row>
    <row r="24" spans="1:31" hidden="1">
      <c r="A24" s="212" t="s">
        <v>455</v>
      </c>
      <c r="B24" s="212" t="s">
        <v>460</v>
      </c>
      <c r="C24" s="212"/>
      <c r="D24" s="212" t="s">
        <v>461</v>
      </c>
      <c r="E24" s="210">
        <v>3707010</v>
      </c>
      <c r="F24" s="210">
        <v>0</v>
      </c>
      <c r="G24" s="210">
        <v>0</v>
      </c>
      <c r="H24" s="210">
        <v>0</v>
      </c>
      <c r="I24" s="210">
        <v>3707010</v>
      </c>
      <c r="J24" s="210">
        <v>0</v>
      </c>
      <c r="K24" s="210">
        <v>0</v>
      </c>
      <c r="L24" s="210">
        <v>0</v>
      </c>
    </row>
    <row r="25" spans="1:31" hidden="1">
      <c r="A25" s="212" t="s">
        <v>475</v>
      </c>
      <c r="B25" s="212" t="s">
        <v>476</v>
      </c>
      <c r="C25" s="212"/>
      <c r="D25" s="212" t="s">
        <v>477</v>
      </c>
      <c r="E25" s="210">
        <v>1200000</v>
      </c>
      <c r="F25" s="210">
        <v>0</v>
      </c>
      <c r="G25" s="210">
        <v>0</v>
      </c>
      <c r="H25" s="210">
        <v>0</v>
      </c>
      <c r="I25" s="210">
        <v>1200000</v>
      </c>
      <c r="J25" s="210">
        <v>0</v>
      </c>
      <c r="K25" s="210">
        <v>0</v>
      </c>
      <c r="L25" s="210">
        <v>0</v>
      </c>
    </row>
    <row r="26" spans="1:31" s="573" customFormat="1" ht="27.75" customHeight="1">
      <c r="A26" s="569" t="s">
        <v>533</v>
      </c>
      <c r="B26" s="569" t="s">
        <v>534</v>
      </c>
      <c r="C26" s="569"/>
      <c r="D26" s="570" t="s">
        <v>535</v>
      </c>
      <c r="E26" s="210">
        <v>0</v>
      </c>
      <c r="F26" s="210">
        <v>0</v>
      </c>
      <c r="G26" s="571">
        <v>3840000</v>
      </c>
      <c r="H26" s="210">
        <v>0</v>
      </c>
      <c r="I26" s="210">
        <v>0</v>
      </c>
      <c r="J26" s="210">
        <v>0</v>
      </c>
      <c r="K26" s="571">
        <v>3840000</v>
      </c>
      <c r="L26" s="571">
        <v>0</v>
      </c>
      <c r="M26" s="572"/>
      <c r="N26" s="572"/>
      <c r="O26" s="572"/>
      <c r="P26" s="572"/>
      <c r="Q26" s="572"/>
      <c r="R26" s="572"/>
      <c r="S26" s="572"/>
      <c r="T26" s="572"/>
      <c r="U26" s="572"/>
      <c r="V26" s="572"/>
      <c r="W26" s="572"/>
      <c r="X26" s="572"/>
      <c r="Y26" s="572"/>
      <c r="Z26" s="572"/>
      <c r="AA26" s="572"/>
      <c r="AB26" s="572"/>
      <c r="AC26" s="572"/>
      <c r="AD26" s="572"/>
      <c r="AE26" s="572"/>
    </row>
    <row r="27" spans="1:31" s="573" customFormat="1" ht="27.75" customHeight="1">
      <c r="A27" s="569" t="s">
        <v>533</v>
      </c>
      <c r="B27" s="569" t="s">
        <v>536</v>
      </c>
      <c r="C27" s="569"/>
      <c r="D27" s="570" t="s">
        <v>537</v>
      </c>
      <c r="E27" s="210">
        <v>0</v>
      </c>
      <c r="F27" s="210">
        <v>0</v>
      </c>
      <c r="G27" s="571">
        <v>450000</v>
      </c>
      <c r="H27" s="210">
        <v>0</v>
      </c>
      <c r="I27" s="210">
        <v>0</v>
      </c>
      <c r="J27" s="210">
        <v>0</v>
      </c>
      <c r="K27" s="571">
        <v>450000</v>
      </c>
      <c r="L27" s="571">
        <v>0</v>
      </c>
      <c r="M27" s="572"/>
      <c r="N27" s="572"/>
      <c r="O27" s="572"/>
      <c r="P27" s="572"/>
      <c r="Q27" s="572"/>
      <c r="R27" s="572"/>
      <c r="S27" s="572"/>
      <c r="T27" s="572"/>
      <c r="U27" s="572"/>
      <c r="V27" s="572"/>
      <c r="W27" s="572"/>
      <c r="X27" s="572"/>
      <c r="Y27" s="572"/>
      <c r="Z27" s="572"/>
      <c r="AA27" s="572"/>
      <c r="AB27" s="572"/>
      <c r="AC27" s="572"/>
      <c r="AD27" s="572"/>
      <c r="AE27" s="572"/>
    </row>
    <row r="28" spans="1:31" s="573" customFormat="1" ht="27.75" customHeight="1">
      <c r="A28" s="569" t="s">
        <v>533</v>
      </c>
      <c r="B28" s="569" t="s">
        <v>538</v>
      </c>
      <c r="C28" s="569"/>
      <c r="D28" s="570" t="s">
        <v>539</v>
      </c>
      <c r="E28" s="210">
        <v>0</v>
      </c>
      <c r="F28" s="210">
        <v>0</v>
      </c>
      <c r="G28" s="571">
        <v>260000</v>
      </c>
      <c r="H28" s="210">
        <v>0</v>
      </c>
      <c r="I28" s="210">
        <v>0</v>
      </c>
      <c r="J28" s="210">
        <v>0</v>
      </c>
      <c r="K28" s="571">
        <v>260000</v>
      </c>
      <c r="L28" s="571">
        <v>0</v>
      </c>
      <c r="M28" s="572"/>
      <c r="N28" s="572"/>
      <c r="O28" s="572"/>
      <c r="P28" s="572"/>
      <c r="Q28" s="572"/>
      <c r="R28" s="572"/>
      <c r="S28" s="572"/>
      <c r="T28" s="572"/>
      <c r="U28" s="572"/>
      <c r="V28" s="572"/>
      <c r="W28" s="572"/>
      <c r="X28" s="572"/>
      <c r="Y28" s="572"/>
      <c r="Z28" s="572"/>
      <c r="AA28" s="572"/>
      <c r="AB28" s="572"/>
      <c r="AC28" s="572"/>
      <c r="AD28" s="572"/>
      <c r="AE28" s="572"/>
    </row>
    <row r="29" spans="1:31" s="573" customFormat="1" ht="27.75" customHeight="1">
      <c r="A29" s="569" t="s">
        <v>540</v>
      </c>
      <c r="B29" s="655" t="s">
        <v>541</v>
      </c>
      <c r="C29" s="655"/>
      <c r="D29" s="656" t="s">
        <v>542</v>
      </c>
      <c r="E29" s="210">
        <v>0</v>
      </c>
      <c r="F29" s="210">
        <v>0</v>
      </c>
      <c r="G29" s="657">
        <v>1140000</v>
      </c>
      <c r="H29" s="210">
        <v>0</v>
      </c>
      <c r="I29" s="210">
        <v>0</v>
      </c>
      <c r="J29" s="210">
        <v>0</v>
      </c>
      <c r="K29" s="571">
        <v>1140000</v>
      </c>
      <c r="L29" s="657">
        <v>0</v>
      </c>
      <c r="M29" s="572"/>
      <c r="N29" s="572"/>
      <c r="O29" s="572"/>
      <c r="P29" s="572"/>
      <c r="Q29" s="572"/>
      <c r="R29" s="572"/>
      <c r="S29" s="572"/>
      <c r="T29" s="572"/>
      <c r="U29" s="572"/>
      <c r="V29" s="572"/>
      <c r="W29" s="572"/>
      <c r="X29" s="572"/>
      <c r="Y29" s="572"/>
      <c r="Z29" s="572"/>
      <c r="AA29" s="572"/>
      <c r="AB29" s="572"/>
      <c r="AC29" s="572"/>
      <c r="AD29" s="572"/>
      <c r="AE29" s="572"/>
    </row>
    <row r="30" spans="1:31" s="573" customFormat="1" ht="27.75" customHeight="1">
      <c r="A30" s="569" t="s">
        <v>543</v>
      </c>
      <c r="B30" s="655" t="s">
        <v>544</v>
      </c>
      <c r="C30" s="655"/>
      <c r="D30" s="656" t="s">
        <v>545</v>
      </c>
      <c r="E30" s="210">
        <v>0</v>
      </c>
      <c r="F30" s="210">
        <v>0</v>
      </c>
      <c r="G30" s="657">
        <v>560000</v>
      </c>
      <c r="H30" s="210">
        <v>0</v>
      </c>
      <c r="I30" s="210">
        <v>0</v>
      </c>
      <c r="J30" s="210">
        <v>0</v>
      </c>
      <c r="K30" s="571">
        <v>560000</v>
      </c>
      <c r="L30" s="657">
        <v>0</v>
      </c>
      <c r="M30" s="572"/>
      <c r="N30" s="572"/>
      <c r="O30" s="572"/>
      <c r="P30" s="572"/>
      <c r="Q30" s="572"/>
      <c r="R30" s="572"/>
      <c r="S30" s="572"/>
      <c r="T30" s="572"/>
      <c r="U30" s="572"/>
      <c r="V30" s="572"/>
      <c r="W30" s="572"/>
      <c r="X30" s="572"/>
      <c r="Y30" s="572"/>
      <c r="Z30" s="572"/>
      <c r="AA30" s="572"/>
      <c r="AB30" s="572"/>
      <c r="AC30" s="572"/>
      <c r="AD30" s="572"/>
      <c r="AE30" s="572"/>
    </row>
    <row r="31" spans="1:31" s="573" customFormat="1" ht="27.75" customHeight="1">
      <c r="A31" s="569" t="s">
        <v>543</v>
      </c>
      <c r="B31" s="655" t="s">
        <v>546</v>
      </c>
      <c r="C31" s="655"/>
      <c r="D31" s="656" t="s">
        <v>547</v>
      </c>
      <c r="E31" s="210">
        <v>0</v>
      </c>
      <c r="F31" s="210">
        <v>0</v>
      </c>
      <c r="G31" s="657">
        <v>18236000</v>
      </c>
      <c r="H31" s="210">
        <v>0</v>
      </c>
      <c r="I31" s="210">
        <v>0</v>
      </c>
      <c r="J31" s="210">
        <v>0</v>
      </c>
      <c r="K31" s="571">
        <v>18236000</v>
      </c>
      <c r="L31" s="657">
        <v>0</v>
      </c>
      <c r="M31" s="572"/>
      <c r="N31" s="572"/>
      <c r="O31" s="572"/>
      <c r="P31" s="572"/>
      <c r="Q31" s="572"/>
      <c r="R31" s="572"/>
      <c r="S31" s="572"/>
      <c r="T31" s="572"/>
      <c r="U31" s="572"/>
      <c r="V31" s="572"/>
      <c r="W31" s="572"/>
      <c r="X31" s="572"/>
      <c r="Y31" s="572"/>
      <c r="Z31" s="572"/>
      <c r="AA31" s="572"/>
      <c r="AB31" s="572"/>
      <c r="AC31" s="572"/>
      <c r="AD31" s="572"/>
      <c r="AE31" s="572"/>
    </row>
    <row r="32" spans="1:31" s="573" customFormat="1" ht="27.75" customHeight="1">
      <c r="A32" s="569" t="s">
        <v>543</v>
      </c>
      <c r="B32" s="655" t="s">
        <v>548</v>
      </c>
      <c r="C32" s="655"/>
      <c r="D32" s="656" t="s">
        <v>549</v>
      </c>
      <c r="E32" s="210">
        <v>0</v>
      </c>
      <c r="F32" s="210">
        <v>0</v>
      </c>
      <c r="G32" s="657">
        <v>1415000</v>
      </c>
      <c r="H32" s="210">
        <v>0</v>
      </c>
      <c r="I32" s="210">
        <v>0</v>
      </c>
      <c r="J32" s="210">
        <v>0</v>
      </c>
      <c r="K32" s="571">
        <v>1415000</v>
      </c>
      <c r="L32" s="657">
        <v>0</v>
      </c>
      <c r="M32" s="572"/>
      <c r="N32" s="572"/>
      <c r="O32" s="572"/>
      <c r="P32" s="572"/>
      <c r="Q32" s="572"/>
      <c r="R32" s="572"/>
      <c r="S32" s="572"/>
      <c r="T32" s="572"/>
      <c r="U32" s="572"/>
      <c r="V32" s="572"/>
      <c r="W32" s="572"/>
      <c r="X32" s="572"/>
      <c r="Y32" s="572"/>
      <c r="Z32" s="572"/>
      <c r="AA32" s="572"/>
      <c r="AB32" s="572"/>
      <c r="AC32" s="572"/>
      <c r="AD32" s="572"/>
      <c r="AE32" s="572"/>
    </row>
    <row r="33" spans="1:31" s="573" customFormat="1" ht="27.75" customHeight="1">
      <c r="A33" s="569" t="s">
        <v>550</v>
      </c>
      <c r="B33" s="655" t="s">
        <v>551</v>
      </c>
      <c r="C33" s="655"/>
      <c r="D33" s="656" t="s">
        <v>552</v>
      </c>
      <c r="E33" s="210">
        <v>0</v>
      </c>
      <c r="F33" s="210">
        <v>0</v>
      </c>
      <c r="G33" s="657">
        <v>5132000</v>
      </c>
      <c r="H33" s="210">
        <v>0</v>
      </c>
      <c r="I33" s="210">
        <v>0</v>
      </c>
      <c r="J33" s="210">
        <v>0</v>
      </c>
      <c r="K33" s="571">
        <v>5132000</v>
      </c>
      <c r="L33" s="657">
        <v>0</v>
      </c>
      <c r="M33" s="572"/>
      <c r="N33" s="572"/>
      <c r="O33" s="572"/>
      <c r="P33" s="572"/>
      <c r="Q33" s="572"/>
      <c r="R33" s="572"/>
      <c r="S33" s="572"/>
      <c r="T33" s="572"/>
      <c r="U33" s="572"/>
      <c r="V33" s="572"/>
      <c r="W33" s="572"/>
      <c r="X33" s="572"/>
      <c r="Y33" s="572"/>
      <c r="Z33" s="572"/>
      <c r="AA33" s="572"/>
      <c r="AB33" s="572"/>
      <c r="AC33" s="572"/>
      <c r="AD33" s="572"/>
      <c r="AE33" s="572"/>
    </row>
    <row r="34" spans="1:31" hidden="1">
      <c r="A34" s="212" t="s">
        <v>550</v>
      </c>
      <c r="B34" s="212" t="s">
        <v>553</v>
      </c>
      <c r="C34" s="212"/>
      <c r="D34" s="212" t="s">
        <v>554</v>
      </c>
      <c r="E34" s="210">
        <v>0</v>
      </c>
      <c r="F34" s="210">
        <v>0</v>
      </c>
      <c r="G34" s="210">
        <v>0</v>
      </c>
      <c r="H34" s="210">
        <v>9063903</v>
      </c>
      <c r="I34" s="210">
        <v>0</v>
      </c>
      <c r="J34" s="210">
        <v>9063903</v>
      </c>
      <c r="K34" s="210">
        <v>0</v>
      </c>
      <c r="L34" s="210">
        <v>0</v>
      </c>
    </row>
    <row r="35" spans="1:31" hidden="1">
      <c r="A35" s="212" t="s">
        <v>518</v>
      </c>
      <c r="B35" s="212" t="s">
        <v>555</v>
      </c>
      <c r="C35" s="212"/>
      <c r="D35" s="212" t="s">
        <v>556</v>
      </c>
      <c r="E35" s="210">
        <v>0</v>
      </c>
      <c r="F35" s="210">
        <v>0</v>
      </c>
      <c r="G35" s="210">
        <v>0</v>
      </c>
      <c r="H35" s="210">
        <v>812194</v>
      </c>
      <c r="I35" s="210">
        <v>0</v>
      </c>
      <c r="J35" s="210">
        <v>812194</v>
      </c>
      <c r="K35" s="210">
        <v>0</v>
      </c>
      <c r="L35" s="210">
        <v>0</v>
      </c>
    </row>
    <row r="36" spans="1:31" hidden="1">
      <c r="A36" s="212" t="s">
        <v>518</v>
      </c>
      <c r="B36" s="212" t="s">
        <v>557</v>
      </c>
      <c r="C36" s="212"/>
      <c r="D36" s="212" t="s">
        <v>558</v>
      </c>
      <c r="E36" s="210">
        <v>0</v>
      </c>
      <c r="F36" s="210">
        <v>0</v>
      </c>
      <c r="G36" s="210">
        <v>0</v>
      </c>
      <c r="H36" s="210">
        <v>2500000</v>
      </c>
      <c r="I36" s="210">
        <v>0</v>
      </c>
      <c r="J36" s="210">
        <v>2500000</v>
      </c>
      <c r="K36" s="210">
        <v>0</v>
      </c>
      <c r="L36" s="210">
        <v>0</v>
      </c>
    </row>
    <row r="37" spans="1:31" hidden="1">
      <c r="A37" s="212" t="s">
        <v>518</v>
      </c>
      <c r="B37" s="212" t="s">
        <v>559</v>
      </c>
      <c r="C37" s="212"/>
      <c r="D37" s="212" t="s">
        <v>560</v>
      </c>
      <c r="E37" s="210">
        <v>0</v>
      </c>
      <c r="F37" s="210">
        <v>0</v>
      </c>
      <c r="G37" s="210">
        <v>0</v>
      </c>
      <c r="H37" s="210">
        <v>813994</v>
      </c>
      <c r="I37" s="210">
        <v>0</v>
      </c>
      <c r="J37" s="210">
        <v>813994</v>
      </c>
      <c r="K37" s="210">
        <v>0</v>
      </c>
      <c r="L37" s="210">
        <v>0</v>
      </c>
    </row>
    <row r="38" spans="1:31" s="68" customFormat="1" ht="27.75" hidden="1" customHeight="1">
      <c r="A38" s="221" t="s">
        <v>518</v>
      </c>
      <c r="B38" s="575" t="s">
        <v>519</v>
      </c>
      <c r="C38" s="575" t="s">
        <v>79</v>
      </c>
      <c r="D38" s="654" t="s">
        <v>520</v>
      </c>
      <c r="E38" s="222">
        <v>0</v>
      </c>
      <c r="F38" s="222">
        <v>0</v>
      </c>
      <c r="G38" s="658">
        <v>6593327</v>
      </c>
      <c r="H38" s="222">
        <v>0</v>
      </c>
      <c r="I38" s="222">
        <v>0</v>
      </c>
      <c r="J38" s="222">
        <v>0</v>
      </c>
      <c r="K38" s="222">
        <v>6593327</v>
      </c>
      <c r="L38" s="658">
        <v>0</v>
      </c>
      <c r="M38" s="562">
        <f>2838800+308000+300000</f>
        <v>3446800</v>
      </c>
      <c r="N38" s="562">
        <v>2118927</v>
      </c>
      <c r="O38" s="562">
        <v>2970000</v>
      </c>
      <c r="P38" s="562"/>
      <c r="Q38" s="562">
        <f>244000+90000</f>
        <v>334000</v>
      </c>
      <c r="R38" s="562"/>
      <c r="S38" s="562"/>
      <c r="T38" s="562"/>
      <c r="U38" s="562"/>
      <c r="V38" s="562"/>
      <c r="W38" s="562"/>
      <c r="X38" s="562"/>
      <c r="Y38" s="562"/>
      <c r="Z38" s="562"/>
      <c r="AA38" s="562"/>
      <c r="AB38" s="562"/>
      <c r="AC38" s="562">
        <v>1170400</v>
      </c>
      <c r="AD38" s="562"/>
      <c r="AE38" s="574">
        <f>SUM(M38:AD38)</f>
        <v>10040127</v>
      </c>
    </row>
    <row r="39" spans="1:31" hidden="1">
      <c r="A39" s="212" t="s">
        <v>518</v>
      </c>
      <c r="B39" s="212" t="s">
        <v>561</v>
      </c>
      <c r="C39" s="212"/>
      <c r="D39" s="212" t="s">
        <v>562</v>
      </c>
      <c r="E39" s="210">
        <v>0</v>
      </c>
      <c r="F39" s="210">
        <v>0</v>
      </c>
      <c r="G39" s="210">
        <v>0</v>
      </c>
      <c r="H39" s="210">
        <v>31880</v>
      </c>
      <c r="I39" s="210">
        <v>0</v>
      </c>
      <c r="J39" s="210">
        <v>31880</v>
      </c>
      <c r="K39" s="210">
        <v>0</v>
      </c>
      <c r="L39" s="210">
        <v>0</v>
      </c>
    </row>
    <row r="40" spans="1:31" hidden="1">
      <c r="A40" s="212" t="s">
        <v>518</v>
      </c>
      <c r="B40" s="212" t="s">
        <v>563</v>
      </c>
      <c r="C40" s="212"/>
      <c r="D40" s="212" t="s">
        <v>564</v>
      </c>
      <c r="E40" s="210">
        <v>0</v>
      </c>
      <c r="F40" s="210">
        <v>0</v>
      </c>
      <c r="G40" s="210">
        <v>0</v>
      </c>
      <c r="H40" s="210">
        <v>755845352</v>
      </c>
      <c r="I40" s="210">
        <v>0</v>
      </c>
      <c r="J40" s="210">
        <v>755845352</v>
      </c>
      <c r="K40" s="210">
        <v>0</v>
      </c>
      <c r="L40" s="210">
        <v>0</v>
      </c>
    </row>
    <row r="41" spans="1:31" hidden="1">
      <c r="A41" s="212" t="s">
        <v>518</v>
      </c>
      <c r="B41" s="212" t="s">
        <v>565</v>
      </c>
      <c r="C41" s="212"/>
      <c r="D41" s="212" t="s">
        <v>566</v>
      </c>
      <c r="E41" s="210">
        <v>0</v>
      </c>
      <c r="F41" s="210">
        <v>0</v>
      </c>
      <c r="G41" s="210">
        <v>0</v>
      </c>
      <c r="H41" s="210">
        <v>60000</v>
      </c>
      <c r="I41" s="210">
        <v>0</v>
      </c>
      <c r="J41" s="210">
        <v>60000</v>
      </c>
      <c r="K41" s="210">
        <v>0</v>
      </c>
      <c r="L41" s="210">
        <v>0</v>
      </c>
    </row>
    <row r="42" spans="1:31" hidden="1">
      <c r="A42" s="212" t="s">
        <v>518</v>
      </c>
      <c r="B42" s="212" t="s">
        <v>567</v>
      </c>
      <c r="C42" s="212"/>
      <c r="D42" s="212" t="s">
        <v>568</v>
      </c>
      <c r="E42" s="210">
        <v>0</v>
      </c>
      <c r="F42" s="210">
        <v>0</v>
      </c>
      <c r="G42" s="210">
        <v>0</v>
      </c>
      <c r="H42" s="210">
        <v>819939</v>
      </c>
      <c r="I42" s="210">
        <v>0</v>
      </c>
      <c r="J42" s="210">
        <v>819939</v>
      </c>
      <c r="K42" s="210">
        <v>0</v>
      </c>
      <c r="L42" s="210">
        <v>0</v>
      </c>
    </row>
    <row r="43" spans="1:31" hidden="1">
      <c r="A43" s="212" t="s">
        <v>518</v>
      </c>
      <c r="B43" s="212" t="s">
        <v>569</v>
      </c>
      <c r="C43" s="212"/>
      <c r="D43" s="212" t="s">
        <v>570</v>
      </c>
      <c r="E43" s="210">
        <v>0</v>
      </c>
      <c r="F43" s="210">
        <v>0</v>
      </c>
      <c r="G43" s="210">
        <v>0</v>
      </c>
      <c r="H43" s="210">
        <v>16800</v>
      </c>
      <c r="I43" s="210">
        <v>0</v>
      </c>
      <c r="J43" s="210">
        <v>16800</v>
      </c>
      <c r="K43" s="210">
        <v>0</v>
      </c>
      <c r="L43" s="210">
        <v>0</v>
      </c>
    </row>
    <row r="44" spans="1:31" hidden="1">
      <c r="A44" s="212" t="s">
        <v>518</v>
      </c>
      <c r="B44" s="212" t="s">
        <v>571</v>
      </c>
      <c r="C44" s="212"/>
      <c r="D44" s="212" t="s">
        <v>572</v>
      </c>
      <c r="E44" s="210">
        <v>0</v>
      </c>
      <c r="F44" s="210">
        <v>0</v>
      </c>
      <c r="G44" s="210">
        <v>0</v>
      </c>
      <c r="H44" s="210">
        <v>4125023</v>
      </c>
      <c r="I44" s="210">
        <v>0</v>
      </c>
      <c r="J44" s="210">
        <v>4125023</v>
      </c>
      <c r="K44" s="210">
        <v>0</v>
      </c>
      <c r="L44" s="210">
        <v>0</v>
      </c>
    </row>
    <row r="45" spans="1:31" hidden="1">
      <c r="A45" s="212" t="s">
        <v>518</v>
      </c>
      <c r="B45" s="212" t="s">
        <v>573</v>
      </c>
      <c r="C45" s="212"/>
      <c r="D45" s="212" t="s">
        <v>574</v>
      </c>
      <c r="E45" s="210">
        <v>0</v>
      </c>
      <c r="F45" s="210">
        <v>0</v>
      </c>
      <c r="G45" s="210">
        <v>0</v>
      </c>
      <c r="H45" s="210">
        <v>25014</v>
      </c>
      <c r="I45" s="210">
        <v>0</v>
      </c>
      <c r="J45" s="210">
        <v>25014</v>
      </c>
      <c r="K45" s="210">
        <v>0</v>
      </c>
      <c r="L45" s="210">
        <v>0</v>
      </c>
    </row>
    <row r="46" spans="1:31" hidden="1">
      <c r="A46" s="212" t="s">
        <v>575</v>
      </c>
      <c r="B46" s="212" t="s">
        <v>576</v>
      </c>
      <c r="C46" s="212"/>
      <c r="D46" s="212" t="s">
        <v>577</v>
      </c>
      <c r="E46" s="210">
        <v>0</v>
      </c>
      <c r="F46" s="210">
        <v>0</v>
      </c>
      <c r="G46" s="210">
        <v>0</v>
      </c>
      <c r="H46" s="210">
        <v>659880</v>
      </c>
      <c r="I46" s="210">
        <v>0</v>
      </c>
      <c r="J46" s="210">
        <v>659880</v>
      </c>
      <c r="K46" s="210">
        <v>0</v>
      </c>
      <c r="L46" s="210">
        <v>0</v>
      </c>
    </row>
    <row r="47" spans="1:31" hidden="1">
      <c r="A47" s="212" t="s">
        <v>575</v>
      </c>
      <c r="B47" s="212" t="s">
        <v>578</v>
      </c>
      <c r="C47" s="212"/>
      <c r="D47" s="212" t="s">
        <v>579</v>
      </c>
      <c r="E47" s="210">
        <v>0</v>
      </c>
      <c r="F47" s="210">
        <v>0</v>
      </c>
      <c r="G47" s="210">
        <v>0</v>
      </c>
      <c r="H47" s="210">
        <v>1890814</v>
      </c>
      <c r="I47" s="210">
        <v>0</v>
      </c>
      <c r="J47" s="210">
        <v>1890814</v>
      </c>
      <c r="K47" s="210">
        <v>0</v>
      </c>
      <c r="L47" s="210">
        <v>0</v>
      </c>
    </row>
    <row r="48" spans="1:31" hidden="1">
      <c r="A48" s="212" t="s">
        <v>575</v>
      </c>
      <c r="B48" s="212" t="s">
        <v>580</v>
      </c>
      <c r="C48" s="212"/>
      <c r="D48" s="212" t="s">
        <v>581</v>
      </c>
      <c r="E48" s="210">
        <v>0</v>
      </c>
      <c r="F48" s="210">
        <v>0</v>
      </c>
      <c r="G48" s="210">
        <v>0</v>
      </c>
      <c r="H48" s="210">
        <v>1385375</v>
      </c>
      <c r="I48" s="210">
        <v>0</v>
      </c>
      <c r="J48" s="210">
        <v>1385375</v>
      </c>
      <c r="K48" s="210">
        <v>0</v>
      </c>
      <c r="L48" s="210">
        <v>0</v>
      </c>
    </row>
    <row r="49" spans="1:31" s="573" customFormat="1" ht="27.75" customHeight="1">
      <c r="A49" s="569" t="s">
        <v>575</v>
      </c>
      <c r="B49" s="655" t="s">
        <v>582</v>
      </c>
      <c r="C49" s="655"/>
      <c r="D49" s="656" t="s">
        <v>583</v>
      </c>
      <c r="E49" s="210">
        <v>0</v>
      </c>
      <c r="F49" s="210">
        <v>0</v>
      </c>
      <c r="G49" s="657">
        <v>460000</v>
      </c>
      <c r="H49" s="210">
        <v>0</v>
      </c>
      <c r="I49" s="210">
        <v>0</v>
      </c>
      <c r="J49" s="210">
        <v>0</v>
      </c>
      <c r="K49" s="571">
        <v>460000</v>
      </c>
      <c r="L49" s="657">
        <v>0</v>
      </c>
      <c r="M49" s="572"/>
      <c r="N49" s="572"/>
      <c r="O49" s="572"/>
      <c r="P49" s="572"/>
      <c r="Q49" s="572"/>
      <c r="R49" s="572"/>
      <c r="S49" s="572"/>
      <c r="T49" s="572"/>
      <c r="U49" s="572"/>
      <c r="V49" s="572"/>
      <c r="W49" s="572"/>
      <c r="X49" s="572"/>
      <c r="Y49" s="572"/>
      <c r="Z49" s="572"/>
      <c r="AA49" s="572"/>
      <c r="AB49" s="572"/>
      <c r="AC49" s="572"/>
      <c r="AD49" s="572"/>
      <c r="AE49" s="572"/>
    </row>
    <row r="50" spans="1:31" s="573" customFormat="1" ht="27.75" customHeight="1">
      <c r="A50" s="569" t="s">
        <v>575</v>
      </c>
      <c r="B50" s="569" t="s">
        <v>584</v>
      </c>
      <c r="C50" s="569"/>
      <c r="D50" s="570" t="s">
        <v>585</v>
      </c>
      <c r="E50" s="210">
        <v>0</v>
      </c>
      <c r="F50" s="210">
        <v>0</v>
      </c>
      <c r="G50" s="571">
        <v>2205000</v>
      </c>
      <c r="H50" s="210">
        <v>0</v>
      </c>
      <c r="I50" s="210">
        <v>0</v>
      </c>
      <c r="J50" s="210">
        <v>0</v>
      </c>
      <c r="K50" s="571">
        <v>2205000</v>
      </c>
      <c r="L50" s="571">
        <v>0</v>
      </c>
      <c r="M50" s="572"/>
      <c r="N50" s="572"/>
      <c r="O50" s="572"/>
      <c r="P50" s="572"/>
      <c r="Q50" s="572"/>
      <c r="R50" s="572"/>
      <c r="S50" s="572"/>
      <c r="T50" s="572"/>
      <c r="U50" s="572"/>
      <c r="V50" s="572"/>
      <c r="W50" s="572"/>
      <c r="X50" s="572"/>
      <c r="Y50" s="572"/>
      <c r="Z50" s="572"/>
      <c r="AA50" s="572"/>
      <c r="AB50" s="572"/>
      <c r="AC50" s="572"/>
      <c r="AD50" s="572"/>
      <c r="AE50" s="572"/>
    </row>
    <row r="51" spans="1:31" s="573" customFormat="1" ht="27.75" customHeight="1">
      <c r="A51" s="569" t="s">
        <v>521</v>
      </c>
      <c r="B51" s="569" t="s">
        <v>586</v>
      </c>
      <c r="C51" s="569"/>
      <c r="D51" s="570" t="s">
        <v>587</v>
      </c>
      <c r="E51" s="210">
        <v>0</v>
      </c>
      <c r="F51" s="210">
        <v>0</v>
      </c>
      <c r="G51" s="571">
        <v>9715000</v>
      </c>
      <c r="H51" s="210">
        <v>0</v>
      </c>
      <c r="I51" s="210">
        <v>0</v>
      </c>
      <c r="J51" s="210">
        <v>0</v>
      </c>
      <c r="K51" s="571">
        <v>9715000</v>
      </c>
      <c r="L51" s="571">
        <v>0</v>
      </c>
      <c r="M51" s="572"/>
      <c r="N51" s="572"/>
      <c r="O51" s="572"/>
      <c r="P51" s="572"/>
      <c r="Q51" s="572"/>
      <c r="R51" s="572"/>
      <c r="S51" s="572"/>
      <c r="T51" s="572"/>
      <c r="U51" s="572"/>
      <c r="V51" s="572"/>
      <c r="W51" s="572"/>
      <c r="X51" s="572"/>
      <c r="Y51" s="572"/>
      <c r="Z51" s="572"/>
      <c r="AA51" s="572"/>
      <c r="AB51" s="572"/>
      <c r="AC51" s="572"/>
      <c r="AD51" s="572"/>
      <c r="AE51" s="572"/>
    </row>
    <row r="52" spans="1:31" s="573" customFormat="1" ht="27.75" customHeight="1">
      <c r="A52" s="569" t="s">
        <v>521</v>
      </c>
      <c r="B52" s="569" t="s">
        <v>588</v>
      </c>
      <c r="C52" s="569"/>
      <c r="D52" s="570" t="s">
        <v>589</v>
      </c>
      <c r="E52" s="210">
        <v>0</v>
      </c>
      <c r="F52" s="210">
        <v>0</v>
      </c>
      <c r="G52" s="571">
        <v>1780000</v>
      </c>
      <c r="H52" s="210">
        <v>0</v>
      </c>
      <c r="I52" s="210">
        <v>0</v>
      </c>
      <c r="J52" s="210">
        <v>0</v>
      </c>
      <c r="K52" s="571">
        <v>1780000</v>
      </c>
      <c r="L52" s="571">
        <v>0</v>
      </c>
      <c r="M52" s="572"/>
      <c r="N52" s="572"/>
      <c r="O52" s="572"/>
      <c r="P52" s="572"/>
      <c r="Q52" s="572"/>
      <c r="R52" s="572"/>
      <c r="S52" s="572"/>
      <c r="T52" s="572"/>
      <c r="U52" s="572"/>
      <c r="V52" s="572"/>
      <c r="W52" s="572"/>
      <c r="X52" s="572"/>
      <c r="Y52" s="572"/>
      <c r="Z52" s="572"/>
      <c r="AA52" s="572"/>
      <c r="AB52" s="572"/>
      <c r="AC52" s="572"/>
      <c r="AD52" s="572"/>
      <c r="AE52" s="572"/>
    </row>
    <row r="53" spans="1:31" s="573" customFormat="1" ht="27.75" customHeight="1">
      <c r="A53" s="569" t="s">
        <v>521</v>
      </c>
      <c r="B53" s="569" t="s">
        <v>590</v>
      </c>
      <c r="C53" s="569"/>
      <c r="D53" s="570" t="s">
        <v>591</v>
      </c>
      <c r="E53" s="210">
        <v>0</v>
      </c>
      <c r="F53" s="210">
        <v>0</v>
      </c>
      <c r="G53" s="571">
        <v>405000</v>
      </c>
      <c r="H53" s="210">
        <v>0</v>
      </c>
      <c r="I53" s="210">
        <v>0</v>
      </c>
      <c r="J53" s="210">
        <v>0</v>
      </c>
      <c r="K53" s="571">
        <v>405000</v>
      </c>
      <c r="L53" s="571">
        <v>0</v>
      </c>
      <c r="M53" s="572"/>
      <c r="N53" s="572"/>
      <c r="O53" s="572"/>
      <c r="P53" s="572"/>
      <c r="Q53" s="572"/>
      <c r="R53" s="572"/>
      <c r="S53" s="572"/>
      <c r="T53" s="572"/>
      <c r="U53" s="572"/>
      <c r="V53" s="572"/>
      <c r="W53" s="572"/>
      <c r="X53" s="572"/>
      <c r="Y53" s="572"/>
      <c r="Z53" s="572"/>
      <c r="AA53" s="572"/>
      <c r="AB53" s="572"/>
      <c r="AC53" s="572"/>
      <c r="AD53" s="572"/>
      <c r="AE53" s="572"/>
    </row>
    <row r="54" spans="1:31" s="573" customFormat="1" ht="27.75" customHeight="1">
      <c r="A54" s="569" t="s">
        <v>521</v>
      </c>
      <c r="B54" s="569" t="s">
        <v>592</v>
      </c>
      <c r="C54" s="569"/>
      <c r="D54" s="570" t="s">
        <v>593</v>
      </c>
      <c r="E54" s="210">
        <v>0</v>
      </c>
      <c r="F54" s="210">
        <v>0</v>
      </c>
      <c r="G54" s="571">
        <v>950000</v>
      </c>
      <c r="H54" s="210">
        <v>0</v>
      </c>
      <c r="I54" s="210">
        <v>0</v>
      </c>
      <c r="J54" s="210">
        <v>0</v>
      </c>
      <c r="K54" s="571">
        <v>950000</v>
      </c>
      <c r="L54" s="571">
        <v>0</v>
      </c>
      <c r="M54" s="572"/>
      <c r="N54" s="572"/>
      <c r="O54" s="572"/>
      <c r="P54" s="572"/>
      <c r="Q54" s="572"/>
      <c r="R54" s="572"/>
      <c r="S54" s="572"/>
      <c r="T54" s="572"/>
      <c r="U54" s="572"/>
      <c r="V54" s="572"/>
      <c r="W54" s="572"/>
      <c r="X54" s="572"/>
      <c r="Y54" s="572"/>
      <c r="Z54" s="572"/>
      <c r="AA54" s="572"/>
      <c r="AB54" s="572"/>
      <c r="AC54" s="572"/>
      <c r="AD54" s="572"/>
      <c r="AE54" s="572"/>
    </row>
    <row r="55" spans="1:31" s="68" customFormat="1" ht="27.75" hidden="1" customHeight="1">
      <c r="A55" s="221" t="s">
        <v>521</v>
      </c>
      <c r="B55" s="221" t="s">
        <v>522</v>
      </c>
      <c r="C55" s="575" t="s">
        <v>42</v>
      </c>
      <c r="D55" s="290" t="s">
        <v>523</v>
      </c>
      <c r="E55" s="222">
        <v>0</v>
      </c>
      <c r="F55" s="222">
        <v>0</v>
      </c>
      <c r="G55" s="222">
        <v>11597800</v>
      </c>
      <c r="H55" s="222">
        <v>0</v>
      </c>
      <c r="I55" s="222">
        <v>0</v>
      </c>
      <c r="J55" s="222">
        <v>0</v>
      </c>
      <c r="K55" s="222">
        <v>11597800</v>
      </c>
      <c r="L55" s="222">
        <v>0</v>
      </c>
      <c r="M55" s="562">
        <f>4391040+9695240</f>
        <v>14086280</v>
      </c>
      <c r="N55" s="562"/>
      <c r="O55" s="562"/>
      <c r="P55" s="562"/>
      <c r="Q55" s="562">
        <f>423600+1112200</f>
        <v>1535800</v>
      </c>
      <c r="R55" s="562"/>
      <c r="S55" s="562"/>
      <c r="T55" s="562"/>
      <c r="U55" s="562"/>
      <c r="V55" s="562"/>
      <c r="W55" s="562">
        <v>9000000</v>
      </c>
      <c r="X55" s="562"/>
      <c r="Y55" s="562"/>
      <c r="Z55" s="562"/>
      <c r="AA55" s="562">
        <v>330000</v>
      </c>
      <c r="AB55" s="562"/>
      <c r="AC55" s="562">
        <f>244000+488000</f>
        <v>732000</v>
      </c>
      <c r="AD55" s="562"/>
      <c r="AE55" s="574">
        <f>SUM(M55:AD55)</f>
        <v>25684080</v>
      </c>
    </row>
    <row r="56" spans="1:31" hidden="1">
      <c r="A56" s="212" t="s">
        <v>521</v>
      </c>
      <c r="B56" s="212" t="s">
        <v>594</v>
      </c>
      <c r="C56" s="212"/>
      <c r="D56" s="212" t="s">
        <v>595</v>
      </c>
      <c r="E56" s="210">
        <v>0</v>
      </c>
      <c r="F56" s="210">
        <v>0</v>
      </c>
      <c r="G56" s="210">
        <v>0</v>
      </c>
      <c r="H56" s="210">
        <v>3974270</v>
      </c>
      <c r="I56" s="210">
        <v>0</v>
      </c>
      <c r="J56" s="210">
        <v>3974270</v>
      </c>
      <c r="K56" s="210">
        <v>0</v>
      </c>
      <c r="L56" s="210">
        <v>0</v>
      </c>
    </row>
    <row r="57" spans="1:31" hidden="1">
      <c r="A57" s="212" t="s">
        <v>521</v>
      </c>
      <c r="B57" s="212" t="s">
        <v>596</v>
      </c>
      <c r="C57" s="212"/>
      <c r="D57" s="212" t="s">
        <v>597</v>
      </c>
      <c r="E57" s="210">
        <v>0</v>
      </c>
      <c r="F57" s="210">
        <v>0</v>
      </c>
      <c r="G57" s="210">
        <v>0</v>
      </c>
      <c r="H57" s="210">
        <v>1387888</v>
      </c>
      <c r="I57" s="210">
        <v>0</v>
      </c>
      <c r="J57" s="210">
        <v>1387888</v>
      </c>
      <c r="K57" s="210">
        <v>0</v>
      </c>
      <c r="L57" s="210">
        <v>0</v>
      </c>
    </row>
    <row r="58" spans="1:31" hidden="1">
      <c r="A58" s="212" t="s">
        <v>521</v>
      </c>
      <c r="B58" s="212" t="s">
        <v>598</v>
      </c>
      <c r="C58" s="212"/>
      <c r="D58" s="212" t="s">
        <v>599</v>
      </c>
      <c r="E58" s="210">
        <v>0</v>
      </c>
      <c r="F58" s="210">
        <v>0</v>
      </c>
      <c r="G58" s="210">
        <v>0</v>
      </c>
      <c r="H58" s="210">
        <v>1070816</v>
      </c>
      <c r="I58" s="210">
        <v>0</v>
      </c>
      <c r="J58" s="210">
        <v>1070816</v>
      </c>
      <c r="K58" s="210">
        <v>0</v>
      </c>
      <c r="L58" s="210">
        <v>0</v>
      </c>
    </row>
    <row r="59" spans="1:31" hidden="1">
      <c r="A59" s="212" t="s">
        <v>521</v>
      </c>
      <c r="B59" s="212" t="s">
        <v>600</v>
      </c>
      <c r="C59" s="212"/>
      <c r="D59" s="212" t="s">
        <v>601</v>
      </c>
      <c r="E59" s="210">
        <v>0</v>
      </c>
      <c r="F59" s="210">
        <v>0</v>
      </c>
      <c r="G59" s="210">
        <v>0</v>
      </c>
      <c r="H59" s="210">
        <v>174524</v>
      </c>
      <c r="I59" s="210">
        <v>0</v>
      </c>
      <c r="J59" s="210">
        <v>174524</v>
      </c>
      <c r="K59" s="210">
        <v>0</v>
      </c>
      <c r="L59" s="210">
        <v>0</v>
      </c>
    </row>
    <row r="60" spans="1:31" s="68" customFormat="1" ht="27.75" hidden="1" customHeight="1">
      <c r="A60" s="221" t="s">
        <v>521</v>
      </c>
      <c r="B60" s="221" t="s">
        <v>602</v>
      </c>
      <c r="C60" s="575" t="s">
        <v>92</v>
      </c>
      <c r="D60" s="654" t="s">
        <v>603</v>
      </c>
      <c r="E60" s="222">
        <v>0</v>
      </c>
      <c r="F60" s="222">
        <v>0</v>
      </c>
      <c r="G60" s="222">
        <v>167200</v>
      </c>
      <c r="H60" s="222">
        <v>0</v>
      </c>
      <c r="I60" s="222">
        <v>0</v>
      </c>
      <c r="J60" s="222">
        <v>0</v>
      </c>
      <c r="K60" s="222">
        <v>167200</v>
      </c>
      <c r="L60" s="222">
        <v>0</v>
      </c>
      <c r="M60" s="562"/>
      <c r="N60" s="562"/>
      <c r="O60" s="562"/>
      <c r="P60" s="562"/>
      <c r="Q60" s="577">
        <v>167200</v>
      </c>
      <c r="R60" s="562"/>
      <c r="S60" s="562"/>
      <c r="T60" s="562"/>
      <c r="U60" s="562"/>
      <c r="V60" s="562"/>
      <c r="W60" s="562"/>
      <c r="X60" s="562"/>
      <c r="Y60" s="562"/>
      <c r="Z60" s="562"/>
      <c r="AA60" s="562"/>
      <c r="AB60" s="562"/>
      <c r="AC60" s="562"/>
      <c r="AD60" s="562"/>
      <c r="AE60" s="574">
        <f>SUM(M60:AD60)</f>
        <v>167200</v>
      </c>
    </row>
    <row r="61" spans="1:31" hidden="1">
      <c r="A61" s="212" t="s">
        <v>521</v>
      </c>
      <c r="B61" s="212" t="s">
        <v>604</v>
      </c>
      <c r="C61" s="212"/>
      <c r="D61" s="212" t="s">
        <v>605</v>
      </c>
      <c r="E61" s="210">
        <v>0</v>
      </c>
      <c r="F61" s="210">
        <v>0</v>
      </c>
      <c r="G61" s="210">
        <v>0</v>
      </c>
      <c r="H61" s="210">
        <v>316345</v>
      </c>
      <c r="I61" s="210">
        <v>0</v>
      </c>
      <c r="J61" s="210">
        <v>316345</v>
      </c>
      <c r="K61" s="210">
        <v>0</v>
      </c>
      <c r="L61" s="210">
        <v>0</v>
      </c>
    </row>
    <row r="62" spans="1:31" s="68" customFormat="1" ht="27.75" hidden="1" customHeight="1">
      <c r="A62" s="221" t="s">
        <v>521</v>
      </c>
      <c r="B62" s="221" t="s">
        <v>524</v>
      </c>
      <c r="C62" s="575" t="s">
        <v>92</v>
      </c>
      <c r="D62" s="290" t="s">
        <v>525</v>
      </c>
      <c r="E62" s="222">
        <v>0</v>
      </c>
      <c r="F62" s="222">
        <v>0</v>
      </c>
      <c r="G62" s="576">
        <v>3295600</v>
      </c>
      <c r="H62" s="222">
        <v>0</v>
      </c>
      <c r="I62" s="222">
        <v>0</v>
      </c>
      <c r="J62" s="222">
        <v>0</v>
      </c>
      <c r="K62" s="222">
        <v>3295600</v>
      </c>
      <c r="L62" s="222">
        <v>0</v>
      </c>
      <c r="M62" s="562">
        <f>491600</f>
        <v>491600</v>
      </c>
      <c r="N62" s="562"/>
      <c r="O62" s="562"/>
      <c r="P62" s="562"/>
      <c r="Q62" s="562"/>
      <c r="R62" s="562"/>
      <c r="S62" s="562"/>
      <c r="T62" s="562"/>
      <c r="U62" s="562"/>
      <c r="V62" s="562"/>
      <c r="W62" s="562"/>
      <c r="X62" s="562">
        <v>3153600</v>
      </c>
      <c r="Y62" s="562"/>
      <c r="Z62" s="562"/>
      <c r="AA62" s="562"/>
      <c r="AB62" s="562"/>
      <c r="AC62" s="562">
        <v>142000</v>
      </c>
      <c r="AD62" s="562"/>
      <c r="AE62" s="574">
        <f>SUM(M62:AD62)</f>
        <v>3787200</v>
      </c>
    </row>
    <row r="63" spans="1:31" hidden="1">
      <c r="A63" s="212" t="s">
        <v>521</v>
      </c>
      <c r="B63" s="212" t="s">
        <v>606</v>
      </c>
      <c r="C63" s="212"/>
      <c r="D63" s="212" t="s">
        <v>607</v>
      </c>
      <c r="E63" s="210">
        <v>0</v>
      </c>
      <c r="F63" s="210">
        <v>0</v>
      </c>
      <c r="G63" s="210">
        <v>0</v>
      </c>
      <c r="H63" s="210">
        <v>594060</v>
      </c>
      <c r="I63" s="210">
        <v>0</v>
      </c>
      <c r="J63" s="210">
        <v>594060</v>
      </c>
      <c r="K63" s="210">
        <v>0</v>
      </c>
      <c r="L63" s="210">
        <v>0</v>
      </c>
    </row>
    <row r="64" spans="1:31" hidden="1">
      <c r="A64" s="212" t="s">
        <v>521</v>
      </c>
      <c r="B64" s="212" t="s">
        <v>608</v>
      </c>
      <c r="C64" s="212"/>
      <c r="D64" s="212" t="s">
        <v>609</v>
      </c>
      <c r="E64" s="210">
        <v>0</v>
      </c>
      <c r="F64" s="210">
        <v>0</v>
      </c>
      <c r="G64" s="210">
        <v>0</v>
      </c>
      <c r="H64" s="210">
        <v>33750</v>
      </c>
      <c r="I64" s="210">
        <v>0</v>
      </c>
      <c r="J64" s="210">
        <v>33750</v>
      </c>
      <c r="K64" s="210">
        <v>0</v>
      </c>
      <c r="L64" s="210">
        <v>0</v>
      </c>
    </row>
    <row r="65" spans="1:31" s="573" customFormat="1" ht="27.75" customHeight="1">
      <c r="A65" s="569" t="s">
        <v>521</v>
      </c>
      <c r="B65" s="569" t="s">
        <v>610</v>
      </c>
      <c r="C65" s="569"/>
      <c r="D65" s="570" t="s">
        <v>611</v>
      </c>
      <c r="E65" s="210">
        <v>0</v>
      </c>
      <c r="F65" s="210">
        <v>0</v>
      </c>
      <c r="G65" s="571">
        <v>4392991</v>
      </c>
      <c r="H65" s="210">
        <v>0</v>
      </c>
      <c r="I65" s="210">
        <v>0</v>
      </c>
      <c r="J65" s="210">
        <v>0</v>
      </c>
      <c r="K65" s="571">
        <v>4392991</v>
      </c>
      <c r="L65" s="571">
        <v>0</v>
      </c>
      <c r="M65" s="572"/>
      <c r="N65" s="572"/>
      <c r="O65" s="572"/>
      <c r="P65" s="572"/>
      <c r="Q65" s="572"/>
      <c r="R65" s="572"/>
      <c r="S65" s="572"/>
      <c r="T65" s="572"/>
      <c r="U65" s="572"/>
      <c r="V65" s="572"/>
      <c r="W65" s="572"/>
      <c r="X65" s="572"/>
      <c r="Y65" s="572"/>
      <c r="Z65" s="572"/>
      <c r="AA65" s="572"/>
      <c r="AB65" s="572"/>
      <c r="AC65" s="572"/>
      <c r="AD65" s="572"/>
      <c r="AE65" s="572"/>
    </row>
    <row r="66" spans="1:31" hidden="1">
      <c r="A66" s="212" t="s">
        <v>521</v>
      </c>
      <c r="B66" s="212" t="s">
        <v>612</v>
      </c>
      <c r="C66" s="212"/>
      <c r="D66" s="212" t="s">
        <v>613</v>
      </c>
      <c r="E66" s="210">
        <v>0</v>
      </c>
      <c r="F66" s="210">
        <v>0</v>
      </c>
      <c r="G66" s="210">
        <v>0</v>
      </c>
      <c r="H66" s="210">
        <v>3004515</v>
      </c>
      <c r="I66" s="210">
        <v>0</v>
      </c>
      <c r="J66" s="210">
        <v>3004515</v>
      </c>
      <c r="K66" s="210">
        <v>0</v>
      </c>
      <c r="L66" s="210">
        <v>0</v>
      </c>
    </row>
    <row r="67" spans="1:31" hidden="1">
      <c r="A67" s="212" t="s">
        <v>521</v>
      </c>
      <c r="B67" s="212" t="s">
        <v>614</v>
      </c>
      <c r="C67" s="212"/>
      <c r="D67" s="212" t="s">
        <v>615</v>
      </c>
      <c r="E67" s="210">
        <v>0</v>
      </c>
      <c r="F67" s="210">
        <v>0</v>
      </c>
      <c r="G67" s="210">
        <v>0</v>
      </c>
      <c r="H67" s="210">
        <v>560281</v>
      </c>
      <c r="I67" s="210">
        <v>0</v>
      </c>
      <c r="J67" s="210">
        <v>560281</v>
      </c>
      <c r="K67" s="210">
        <v>0</v>
      </c>
      <c r="L67" s="210">
        <v>0</v>
      </c>
    </row>
    <row r="68" spans="1:31" s="68" customFormat="1" ht="27.75" hidden="1" customHeight="1">
      <c r="A68" s="221" t="s">
        <v>521</v>
      </c>
      <c r="B68" s="221" t="s">
        <v>526</v>
      </c>
      <c r="C68" s="575" t="s">
        <v>63</v>
      </c>
      <c r="D68" s="290" t="s">
        <v>527</v>
      </c>
      <c r="E68" s="222">
        <v>0</v>
      </c>
      <c r="F68" s="222">
        <v>0</v>
      </c>
      <c r="G68" s="222">
        <v>142800</v>
      </c>
      <c r="H68" s="222">
        <v>0</v>
      </c>
      <c r="I68" s="222">
        <v>0</v>
      </c>
      <c r="J68" s="222">
        <v>0</v>
      </c>
      <c r="K68" s="222">
        <v>142800</v>
      </c>
      <c r="L68" s="222">
        <v>0</v>
      </c>
      <c r="M68" s="562">
        <v>2232800</v>
      </c>
      <c r="N68" s="562"/>
      <c r="O68" s="562"/>
      <c r="P68" s="562"/>
      <c r="Q68" s="562"/>
      <c r="R68" s="562"/>
      <c r="S68" s="562"/>
      <c r="T68" s="562"/>
      <c r="U68" s="562"/>
      <c r="V68" s="562"/>
      <c r="W68" s="562"/>
      <c r="X68" s="562"/>
      <c r="Y68" s="562"/>
      <c r="Z68" s="562"/>
      <c r="AA68" s="562"/>
      <c r="AB68" s="562"/>
      <c r="AC68" s="562">
        <v>142800</v>
      </c>
      <c r="AD68" s="562"/>
      <c r="AE68" s="574">
        <f>SUM(M68:AD68)</f>
        <v>2375600</v>
      </c>
    </row>
    <row r="69" spans="1:31" hidden="1">
      <c r="A69" s="212" t="s">
        <v>521</v>
      </c>
      <c r="B69" s="212" t="s">
        <v>616</v>
      </c>
      <c r="C69" s="212"/>
      <c r="D69" s="212" t="s">
        <v>617</v>
      </c>
      <c r="E69" s="210">
        <v>0</v>
      </c>
      <c r="F69" s="210">
        <v>0</v>
      </c>
      <c r="G69" s="210">
        <v>0</v>
      </c>
      <c r="H69" s="210">
        <v>671030</v>
      </c>
      <c r="I69" s="210">
        <v>0</v>
      </c>
      <c r="J69" s="210">
        <v>671030</v>
      </c>
      <c r="K69" s="210">
        <v>0</v>
      </c>
      <c r="L69" s="210">
        <v>0</v>
      </c>
    </row>
    <row r="70" spans="1:31" hidden="1">
      <c r="A70" s="212" t="s">
        <v>521</v>
      </c>
      <c r="B70" s="212" t="s">
        <v>618</v>
      </c>
      <c r="C70" s="212"/>
      <c r="D70" s="212" t="s">
        <v>619</v>
      </c>
      <c r="E70" s="210">
        <v>0</v>
      </c>
      <c r="F70" s="210">
        <v>0</v>
      </c>
      <c r="G70" s="210">
        <v>0</v>
      </c>
      <c r="H70" s="210">
        <v>1012376</v>
      </c>
      <c r="I70" s="210">
        <v>0</v>
      </c>
      <c r="J70" s="210">
        <v>1012376</v>
      </c>
      <c r="K70" s="210">
        <v>0</v>
      </c>
      <c r="L70" s="210">
        <v>0</v>
      </c>
    </row>
    <row r="71" spans="1:31" hidden="1">
      <c r="A71" s="212" t="s">
        <v>521</v>
      </c>
      <c r="B71" s="212" t="s">
        <v>620</v>
      </c>
      <c r="C71" s="212"/>
      <c r="D71" s="212" t="s">
        <v>621</v>
      </c>
      <c r="E71" s="210">
        <v>0</v>
      </c>
      <c r="F71" s="210">
        <v>0</v>
      </c>
      <c r="G71" s="210">
        <v>0</v>
      </c>
      <c r="H71" s="210">
        <v>101070</v>
      </c>
      <c r="I71" s="210">
        <v>0</v>
      </c>
      <c r="J71" s="210">
        <v>101070</v>
      </c>
      <c r="K71" s="210">
        <v>0</v>
      </c>
      <c r="L71" s="210">
        <v>0</v>
      </c>
    </row>
    <row r="72" spans="1:31" hidden="1">
      <c r="A72" s="212" t="s">
        <v>521</v>
      </c>
      <c r="B72" s="212" t="s">
        <v>622</v>
      </c>
      <c r="C72" s="212"/>
      <c r="D72" s="212" t="s">
        <v>623</v>
      </c>
      <c r="E72" s="210">
        <v>0</v>
      </c>
      <c r="F72" s="210">
        <v>0</v>
      </c>
      <c r="G72" s="210">
        <v>0</v>
      </c>
      <c r="H72" s="210">
        <v>15400</v>
      </c>
      <c r="I72" s="210">
        <v>0</v>
      </c>
      <c r="J72" s="210">
        <v>15400</v>
      </c>
      <c r="K72" s="210">
        <v>0</v>
      </c>
      <c r="L72" s="210">
        <v>0</v>
      </c>
    </row>
    <row r="73" spans="1:31" hidden="1">
      <c r="A73" s="212" t="s">
        <v>521</v>
      </c>
      <c r="B73" s="212" t="s">
        <v>624</v>
      </c>
      <c r="C73" s="212"/>
      <c r="D73" s="212" t="s">
        <v>625</v>
      </c>
      <c r="E73" s="210">
        <v>0</v>
      </c>
      <c r="F73" s="210">
        <v>0</v>
      </c>
      <c r="G73" s="210">
        <v>0</v>
      </c>
      <c r="H73" s="210">
        <v>553440</v>
      </c>
      <c r="I73" s="210">
        <v>0</v>
      </c>
      <c r="J73" s="210">
        <v>553440</v>
      </c>
      <c r="K73" s="210">
        <v>0</v>
      </c>
      <c r="L73" s="210">
        <v>0</v>
      </c>
    </row>
    <row r="74" spans="1:31" s="573" customFormat="1" ht="27.75" customHeight="1">
      <c r="A74" s="569" t="s">
        <v>521</v>
      </c>
      <c r="B74" s="569" t="s">
        <v>626</v>
      </c>
      <c r="C74" s="569"/>
      <c r="D74" s="570" t="s">
        <v>627</v>
      </c>
      <c r="E74" s="210">
        <v>0</v>
      </c>
      <c r="F74" s="210">
        <v>0</v>
      </c>
      <c r="G74" s="571">
        <v>2924000</v>
      </c>
      <c r="H74" s="210">
        <v>0</v>
      </c>
      <c r="I74" s="210">
        <v>0</v>
      </c>
      <c r="J74" s="210">
        <v>0</v>
      </c>
      <c r="K74" s="571">
        <v>2924000</v>
      </c>
      <c r="L74" s="571">
        <v>0</v>
      </c>
      <c r="M74" s="572"/>
      <c r="N74" s="572"/>
      <c r="O74" s="572"/>
      <c r="P74" s="572"/>
      <c r="Q74" s="572"/>
      <c r="R74" s="572"/>
      <c r="S74" s="572"/>
      <c r="T74" s="572"/>
      <c r="U74" s="572"/>
      <c r="V74" s="572"/>
      <c r="W74" s="572"/>
      <c r="X74" s="572"/>
      <c r="Y74" s="572"/>
      <c r="Z74" s="572"/>
      <c r="AA74" s="572"/>
      <c r="AB74" s="572"/>
      <c r="AC74" s="572"/>
      <c r="AD74" s="572"/>
      <c r="AE74" s="572"/>
    </row>
    <row r="75" spans="1:31" hidden="1">
      <c r="A75" s="212" t="s">
        <v>521</v>
      </c>
      <c r="B75" s="212" t="s">
        <v>628</v>
      </c>
      <c r="C75" s="212"/>
      <c r="D75" s="212" t="s">
        <v>629</v>
      </c>
      <c r="E75" s="210">
        <v>0</v>
      </c>
      <c r="F75" s="210">
        <v>0</v>
      </c>
      <c r="G75" s="210">
        <v>0</v>
      </c>
      <c r="H75" s="210">
        <v>233000</v>
      </c>
      <c r="I75" s="210">
        <v>0</v>
      </c>
      <c r="J75" s="210">
        <v>233000</v>
      </c>
      <c r="K75" s="210">
        <v>0</v>
      </c>
      <c r="L75" s="210">
        <v>0</v>
      </c>
    </row>
    <row r="76" spans="1:31" s="68" customFormat="1" ht="27.75" hidden="1" customHeight="1">
      <c r="A76" s="221" t="s">
        <v>521</v>
      </c>
      <c r="B76" s="221" t="s">
        <v>528</v>
      </c>
      <c r="C76" s="575" t="s">
        <v>23</v>
      </c>
      <c r="D76" s="290" t="s">
        <v>529</v>
      </c>
      <c r="E76" s="222">
        <v>0</v>
      </c>
      <c r="F76" s="222">
        <v>0</v>
      </c>
      <c r="G76" s="222">
        <v>270000</v>
      </c>
      <c r="H76" s="222">
        <v>0</v>
      </c>
      <c r="I76" s="222">
        <v>0</v>
      </c>
      <c r="J76" s="222">
        <v>0</v>
      </c>
      <c r="K76" s="222">
        <v>270000</v>
      </c>
      <c r="L76" s="222">
        <v>0</v>
      </c>
      <c r="M76" s="562">
        <f>405000</f>
        <v>405000</v>
      </c>
      <c r="N76" s="562"/>
      <c r="O76" s="562"/>
      <c r="P76" s="562"/>
      <c r="Q76" s="562">
        <v>270000</v>
      </c>
      <c r="R76" s="562"/>
      <c r="S76" s="562"/>
      <c r="T76" s="562"/>
      <c r="U76" s="562"/>
      <c r="V76" s="562"/>
      <c r="W76" s="562"/>
      <c r="X76" s="562"/>
      <c r="Y76" s="562"/>
      <c r="Z76" s="562"/>
      <c r="AA76" s="562"/>
      <c r="AB76" s="562"/>
      <c r="AC76" s="562"/>
      <c r="AD76" s="562"/>
      <c r="AE76" s="574">
        <f t="shared" ref="AE76:AE77" si="4">SUM(M76:AD76)</f>
        <v>675000</v>
      </c>
    </row>
    <row r="77" spans="1:31" s="68" customFormat="1" ht="27.75" hidden="1" customHeight="1">
      <c r="A77" s="221" t="s">
        <v>521</v>
      </c>
      <c r="B77" s="221" t="s">
        <v>530</v>
      </c>
      <c r="C77" s="575" t="s">
        <v>79</v>
      </c>
      <c r="D77" s="290" t="s">
        <v>531</v>
      </c>
      <c r="E77" s="222">
        <v>0</v>
      </c>
      <c r="F77" s="222">
        <v>0</v>
      </c>
      <c r="G77" s="222">
        <v>423500</v>
      </c>
      <c r="H77" s="222">
        <v>0</v>
      </c>
      <c r="I77" s="222">
        <v>0</v>
      </c>
      <c r="J77" s="222">
        <v>0</v>
      </c>
      <c r="K77" s="222">
        <v>423500</v>
      </c>
      <c r="L77" s="222">
        <v>0</v>
      </c>
      <c r="M77" s="562">
        <v>1754000</v>
      </c>
      <c r="N77" s="562"/>
      <c r="O77" s="562"/>
      <c r="P77" s="562"/>
      <c r="Q77" s="562">
        <v>183500</v>
      </c>
      <c r="R77" s="562"/>
      <c r="S77" s="562"/>
      <c r="T77" s="562"/>
      <c r="U77" s="562"/>
      <c r="V77" s="562"/>
      <c r="W77" s="562"/>
      <c r="X77" s="562"/>
      <c r="Y77" s="562"/>
      <c r="Z77" s="562"/>
      <c r="AA77" s="562"/>
      <c r="AB77" s="562"/>
      <c r="AC77" s="562">
        <v>240000</v>
      </c>
      <c r="AD77" s="562"/>
      <c r="AE77" s="574">
        <f t="shared" si="4"/>
        <v>2177500</v>
      </c>
    </row>
    <row r="78" spans="1:31" ht="27.75" hidden="1" customHeight="1">
      <c r="A78" s="215" t="s">
        <v>404</v>
      </c>
      <c r="B78" s="219"/>
      <c r="C78" s="219"/>
      <c r="D78" s="216"/>
      <c r="E78" s="210">
        <v>78855357</v>
      </c>
      <c r="F78" s="210">
        <v>0</v>
      </c>
      <c r="G78" s="210">
        <v>76355218</v>
      </c>
      <c r="H78" s="210">
        <v>791752933</v>
      </c>
      <c r="I78" s="210">
        <v>78855357</v>
      </c>
      <c r="J78" s="210">
        <v>791752933</v>
      </c>
      <c r="K78" s="210">
        <v>76355218</v>
      </c>
      <c r="L78" s="210">
        <v>0</v>
      </c>
      <c r="M78" s="116"/>
      <c r="N78" s="116"/>
      <c r="O78" s="116"/>
      <c r="P78" s="116"/>
      <c r="Q78" s="116"/>
      <c r="R78" s="116"/>
      <c r="S78" s="116"/>
      <c r="T78" s="116"/>
      <c r="U78" s="116"/>
      <c r="V78" s="116"/>
      <c r="W78" s="116"/>
      <c r="X78" s="116"/>
      <c r="Y78" s="116"/>
      <c r="Z78" s="116"/>
      <c r="AA78" s="116"/>
      <c r="AB78" s="116"/>
      <c r="AC78" s="116"/>
      <c r="AD78" s="116"/>
      <c r="AE78" s="116"/>
    </row>
    <row r="79" spans="1:31" ht="27.75" hidden="1" customHeight="1">
      <c r="A79" s="215" t="s">
        <v>257</v>
      </c>
      <c r="B79" s="219"/>
      <c r="C79" s="219"/>
      <c r="D79" s="216"/>
      <c r="E79" s="210">
        <v>78855357</v>
      </c>
      <c r="F79" s="210">
        <v>0</v>
      </c>
      <c r="G79" s="210">
        <v>76355218</v>
      </c>
      <c r="H79" s="210">
        <v>791752933</v>
      </c>
      <c r="I79" s="210">
        <v>78855357</v>
      </c>
      <c r="J79" s="210">
        <v>791752933</v>
      </c>
      <c r="K79" s="210">
        <v>76355218</v>
      </c>
      <c r="L79" s="210">
        <v>0</v>
      </c>
      <c r="M79" s="116"/>
      <c r="N79" s="116"/>
      <c r="O79" s="116"/>
      <c r="P79" s="116"/>
      <c r="Q79" s="116"/>
      <c r="R79" s="116"/>
      <c r="S79" s="116"/>
      <c r="T79" s="116"/>
      <c r="U79" s="116"/>
      <c r="V79" s="116"/>
      <c r="W79" s="116"/>
      <c r="X79" s="116"/>
      <c r="Y79" s="116"/>
      <c r="Z79" s="116"/>
      <c r="AA79" s="116"/>
      <c r="AB79" s="116"/>
      <c r="AC79" s="116"/>
      <c r="AD79" s="116"/>
      <c r="AE79" s="116"/>
    </row>
    <row r="80" spans="1:31" s="229" customFormat="1" ht="27.75" hidden="1" customHeight="1">
      <c r="A80" s="225" t="s">
        <v>258</v>
      </c>
      <c r="B80" s="226"/>
      <c r="C80" s="226"/>
      <c r="D80" s="227"/>
      <c r="E80" s="228">
        <v>78855357</v>
      </c>
      <c r="F80" s="228">
        <v>0</v>
      </c>
      <c r="G80" s="653">
        <v>76355218</v>
      </c>
      <c r="H80" s="228">
        <v>791752933</v>
      </c>
      <c r="I80" s="228">
        <v>78855357</v>
      </c>
      <c r="J80" s="228">
        <v>791752933</v>
      </c>
      <c r="K80" s="228">
        <v>76355218</v>
      </c>
      <c r="L80" s="228">
        <v>0</v>
      </c>
      <c r="M80" s="231"/>
      <c r="N80" s="231"/>
      <c r="O80" s="231"/>
      <c r="P80" s="231"/>
      <c r="Q80" s="231"/>
      <c r="R80" s="231"/>
      <c r="S80" s="231"/>
      <c r="T80" s="231"/>
      <c r="U80" s="231"/>
      <c r="V80" s="231"/>
      <c r="W80" s="231"/>
      <c r="X80" s="231"/>
      <c r="Y80" s="231"/>
      <c r="Z80" s="231"/>
      <c r="AA80" s="231"/>
      <c r="AB80" s="231"/>
      <c r="AC80" s="231"/>
      <c r="AD80" s="231"/>
      <c r="AE80" s="231"/>
    </row>
    <row r="81" spans="4:31" hidden="1">
      <c r="M81" s="71">
        <f>SUM(M38:M77)</f>
        <v>22416480</v>
      </c>
      <c r="N81" s="71">
        <f t="shared" ref="N81:AE81" si="5">SUM(N38:N77)</f>
        <v>2118927</v>
      </c>
      <c r="O81" s="71">
        <f t="shared" si="5"/>
        <v>2970000</v>
      </c>
      <c r="P81" s="66">
        <f t="shared" si="5"/>
        <v>0</v>
      </c>
      <c r="Q81" s="71">
        <f t="shared" si="5"/>
        <v>2490500</v>
      </c>
      <c r="R81" s="66">
        <f t="shared" si="5"/>
        <v>0</v>
      </c>
      <c r="S81" s="66">
        <f t="shared" si="5"/>
        <v>0</v>
      </c>
      <c r="T81" s="66">
        <f t="shared" si="5"/>
        <v>0</v>
      </c>
      <c r="U81" s="66">
        <f t="shared" si="5"/>
        <v>0</v>
      </c>
      <c r="V81" s="66">
        <f t="shared" si="5"/>
        <v>0</v>
      </c>
      <c r="W81" s="71">
        <f t="shared" si="5"/>
        <v>9000000</v>
      </c>
      <c r="X81" s="71">
        <f t="shared" si="5"/>
        <v>3153600</v>
      </c>
      <c r="Y81" s="66">
        <f t="shared" si="5"/>
        <v>0</v>
      </c>
      <c r="Z81" s="66">
        <f t="shared" si="5"/>
        <v>0</v>
      </c>
      <c r="AA81" s="71">
        <f t="shared" si="5"/>
        <v>330000</v>
      </c>
      <c r="AB81" s="66">
        <f t="shared" si="5"/>
        <v>0</v>
      </c>
      <c r="AC81" s="71">
        <f t="shared" si="5"/>
        <v>2427200</v>
      </c>
      <c r="AD81" s="71">
        <f t="shared" si="5"/>
        <v>0</v>
      </c>
      <c r="AE81" s="71">
        <f t="shared" si="5"/>
        <v>44906707</v>
      </c>
    </row>
    <row r="82" spans="4:31" hidden="1">
      <c r="D82" s="206"/>
      <c r="E82" s="206"/>
      <c r="F82" s="206"/>
      <c r="G82" s="206"/>
      <c r="H82" s="206"/>
      <c r="I82" s="206"/>
      <c r="J82" s="206"/>
      <c r="K82" s="220" t="s">
        <v>532</v>
      </c>
      <c r="L82" s="206"/>
    </row>
    <row r="83" spans="4:31" ht="15.75" hidden="1">
      <c r="D83" s="213" t="s">
        <v>248</v>
      </c>
      <c r="E83" s="206"/>
      <c r="F83" s="206"/>
      <c r="G83" s="230">
        <f>G38+G55+G60+G62+G68+G76+G77</f>
        <v>22490227</v>
      </c>
      <c r="H83" s="206"/>
      <c r="I83" s="206"/>
      <c r="J83" s="206"/>
      <c r="K83" s="213" t="s">
        <v>249</v>
      </c>
      <c r="L83" s="206"/>
    </row>
    <row r="84" spans="4:31" hidden="1">
      <c r="D84" s="213" t="s">
        <v>250</v>
      </c>
      <c r="E84" s="206"/>
      <c r="F84" s="206"/>
      <c r="G84" s="206"/>
      <c r="H84" s="206"/>
      <c r="I84" s="206"/>
      <c r="J84" s="206"/>
      <c r="K84" s="213" t="s">
        <v>251</v>
      </c>
      <c r="L84" s="206"/>
    </row>
    <row r="87" spans="4:31">
      <c r="L87" s="183">
        <f>G38+G55+G60+G62+G68+G76+G77</f>
        <v>22490227</v>
      </c>
    </row>
    <row r="89" spans="4:31">
      <c r="D89" s="213" t="s">
        <v>252</v>
      </c>
      <c r="E89" s="206"/>
      <c r="F89" s="206"/>
      <c r="G89" s="206"/>
      <c r="H89" s="206"/>
      <c r="I89" s="206"/>
      <c r="J89" s="206"/>
      <c r="K89" s="213" t="s">
        <v>253</v>
      </c>
      <c r="L89" s="206"/>
    </row>
  </sheetData>
  <autoFilter ref="A9:AR84">
    <filterColumn colId="3">
      <colorFilter dxfId="41"/>
    </filterColumn>
    <filterColumn colId="6">
      <filters blank="1">
        <filter val="1,140,000"/>
        <filter val="1,415,000"/>
        <filter val="1,780,000"/>
        <filter val="11,597,800"/>
        <filter val="142,800"/>
        <filter val="167,200"/>
        <filter val="18,236,000"/>
        <filter val="2,205,000"/>
        <filter val="2,924,000"/>
        <filter val="22,490,227"/>
        <filter val="260,000"/>
        <filter val="270,000"/>
        <filter val="3,295,600"/>
        <filter val="3,840,000"/>
        <filter val="4,392,991"/>
        <filter val="405,000"/>
        <filter val="423,500"/>
        <filter val="450,000"/>
        <filter val="460,000"/>
        <filter val="5,132,000"/>
        <filter val="560,000"/>
        <filter val="6,593,327"/>
        <filter val="76,355,218"/>
        <filter val="9,715,000"/>
        <filter val="950,000"/>
      </filters>
    </filterColumn>
  </autoFilter>
  <pageMargins left="0.2" right="0.2" top="0.75" bottom="0.75" header="0.3" footer="0.3"/>
  <pageSetup paperSize="9" orientation="landscape"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workbookViewId="0">
      <selection activeCell="G23" sqref="G23"/>
    </sheetView>
  </sheetViews>
  <sheetFormatPr defaultRowHeight="15"/>
  <cols>
    <col min="3" max="4" width="14.5703125" customWidth="1"/>
    <col min="5" max="5" width="22.140625" customWidth="1"/>
    <col min="6" max="6" width="13.42578125" customWidth="1"/>
  </cols>
  <sheetData>
    <row r="1" spans="1:12">
      <c r="A1" s="185"/>
      <c r="B1" s="185"/>
      <c r="C1" s="185"/>
      <c r="D1" s="185"/>
      <c r="E1" s="185"/>
      <c r="F1" s="185"/>
      <c r="G1" s="185"/>
      <c r="H1" s="185"/>
      <c r="I1" s="185"/>
      <c r="J1" s="185"/>
      <c r="K1" s="185"/>
      <c r="L1" s="185"/>
    </row>
    <row r="2" spans="1:12">
      <c r="A2" s="186" t="s">
        <v>485</v>
      </c>
      <c r="B2" s="187" t="s">
        <v>486</v>
      </c>
      <c r="C2" s="187" t="s">
        <v>487</v>
      </c>
      <c r="D2" s="187" t="s">
        <v>488</v>
      </c>
      <c r="E2" s="187" t="s">
        <v>489</v>
      </c>
      <c r="F2" s="187" t="s">
        <v>490</v>
      </c>
      <c r="G2" s="187" t="s">
        <v>491</v>
      </c>
      <c r="H2" s="187" t="s">
        <v>227</v>
      </c>
      <c r="I2" s="185"/>
      <c r="J2" s="185"/>
      <c r="K2" s="185"/>
      <c r="L2" s="185"/>
    </row>
    <row r="3" spans="1:12" ht="15.75" thickBot="1">
      <c r="A3" s="188" t="s">
        <v>492</v>
      </c>
      <c r="B3" s="189">
        <v>64171</v>
      </c>
      <c r="C3" s="190" t="s">
        <v>493</v>
      </c>
      <c r="D3" s="190" t="s">
        <v>494</v>
      </c>
      <c r="E3" s="190" t="s">
        <v>495</v>
      </c>
      <c r="F3" s="191">
        <v>63045758</v>
      </c>
      <c r="G3" s="192">
        <v>1898301</v>
      </c>
      <c r="H3" s="189"/>
      <c r="I3" s="185"/>
      <c r="J3" s="185"/>
      <c r="K3" s="185"/>
      <c r="L3" s="185"/>
    </row>
    <row r="4" spans="1:12" ht="15.75" thickBot="1">
      <c r="A4" s="188" t="s">
        <v>492</v>
      </c>
      <c r="B4" s="189">
        <v>64171</v>
      </c>
      <c r="C4" s="193" t="s">
        <v>493</v>
      </c>
      <c r="D4" s="193" t="s">
        <v>496</v>
      </c>
      <c r="E4" s="193" t="s">
        <v>495</v>
      </c>
      <c r="F4" s="191">
        <v>75891249</v>
      </c>
      <c r="G4" s="192">
        <v>1898302</v>
      </c>
      <c r="H4" s="189"/>
      <c r="I4" s="185"/>
      <c r="J4" s="185"/>
      <c r="K4" s="185"/>
      <c r="L4" s="185"/>
    </row>
    <row r="5" spans="1:12" ht="15.75" thickBot="1">
      <c r="A5" s="188" t="s">
        <v>492</v>
      </c>
      <c r="B5" s="189">
        <v>64171</v>
      </c>
      <c r="C5" s="190" t="s">
        <v>493</v>
      </c>
      <c r="D5" s="190" t="s">
        <v>497</v>
      </c>
      <c r="E5" s="190" t="s">
        <v>495</v>
      </c>
      <c r="F5" s="191">
        <v>81437217</v>
      </c>
      <c r="G5" s="192">
        <v>1898303</v>
      </c>
      <c r="H5" s="189"/>
      <c r="I5" s="185"/>
      <c r="J5" s="185"/>
      <c r="K5" s="185"/>
      <c r="L5" s="185"/>
    </row>
    <row r="6" spans="1:12" ht="15.75" thickBot="1">
      <c r="A6" s="188" t="s">
        <v>492</v>
      </c>
      <c r="B6" s="189">
        <v>64171</v>
      </c>
      <c r="C6" s="193" t="s">
        <v>493</v>
      </c>
      <c r="D6" s="193" t="s">
        <v>498</v>
      </c>
      <c r="E6" s="193" t="s">
        <v>495</v>
      </c>
      <c r="F6" s="191">
        <v>26103218</v>
      </c>
      <c r="G6" s="192">
        <v>1898304</v>
      </c>
      <c r="H6" s="189"/>
      <c r="I6" s="185"/>
      <c r="J6" s="185"/>
      <c r="K6" s="185"/>
      <c r="L6" s="185"/>
    </row>
    <row r="7" spans="1:12" ht="15.75" thickBot="1">
      <c r="A7" s="188" t="s">
        <v>492</v>
      </c>
      <c r="B7" s="189">
        <v>64171</v>
      </c>
      <c r="C7" s="190" t="s">
        <v>493</v>
      </c>
      <c r="D7" s="190" t="s">
        <v>499</v>
      </c>
      <c r="E7" s="190" t="s">
        <v>495</v>
      </c>
      <c r="F7" s="191">
        <v>17574754</v>
      </c>
      <c r="G7" s="192">
        <v>1898305</v>
      </c>
      <c r="H7" s="189"/>
      <c r="I7" s="185"/>
      <c r="J7" s="185"/>
      <c r="K7" s="185"/>
      <c r="L7" s="185"/>
    </row>
    <row r="8" spans="1:12" ht="15.75" thickBot="1">
      <c r="A8" s="188" t="s">
        <v>492</v>
      </c>
      <c r="B8" s="189">
        <v>64171</v>
      </c>
      <c r="C8" s="193" t="s">
        <v>493</v>
      </c>
      <c r="D8" s="193" t="s">
        <v>500</v>
      </c>
      <c r="E8" s="193" t="s">
        <v>495</v>
      </c>
      <c r="F8" s="191">
        <v>39628072</v>
      </c>
      <c r="G8" s="192">
        <v>1898306</v>
      </c>
      <c r="H8" s="189"/>
      <c r="I8" s="185"/>
      <c r="J8" s="185"/>
      <c r="K8" s="185"/>
      <c r="L8" s="185"/>
    </row>
    <row r="9" spans="1:12" ht="15.75" thickBot="1">
      <c r="A9" s="194" t="s">
        <v>492</v>
      </c>
      <c r="B9" s="190">
        <v>64171</v>
      </c>
      <c r="C9" s="190" t="s">
        <v>493</v>
      </c>
      <c r="D9" s="190" t="s">
        <v>501</v>
      </c>
      <c r="E9" s="190" t="s">
        <v>495</v>
      </c>
      <c r="F9" s="195">
        <v>14773195</v>
      </c>
      <c r="G9" s="196">
        <v>1898307</v>
      </c>
      <c r="H9" s="190"/>
      <c r="I9" s="185"/>
      <c r="J9" s="185"/>
      <c r="K9" s="185"/>
      <c r="L9" s="185"/>
    </row>
    <row r="10" spans="1:12" ht="15.75" thickBot="1">
      <c r="A10" s="188" t="s">
        <v>492</v>
      </c>
      <c r="B10" s="189">
        <v>64171</v>
      </c>
      <c r="C10" s="193" t="s">
        <v>493</v>
      </c>
      <c r="D10" s="193" t="s">
        <v>502</v>
      </c>
      <c r="E10" s="193" t="s">
        <v>495</v>
      </c>
      <c r="F10" s="191">
        <v>13442451</v>
      </c>
      <c r="G10" s="192">
        <v>1898308</v>
      </c>
      <c r="H10" s="189"/>
      <c r="I10" s="185"/>
      <c r="J10" s="185"/>
      <c r="K10" s="185"/>
      <c r="L10" s="185"/>
    </row>
    <row r="11" spans="1:12" ht="15.75" thickBot="1">
      <c r="A11" s="188" t="s">
        <v>492</v>
      </c>
      <c r="B11" s="189">
        <v>64171</v>
      </c>
      <c r="C11" s="190" t="s">
        <v>493</v>
      </c>
      <c r="D11" s="190" t="s">
        <v>503</v>
      </c>
      <c r="E11" s="190" t="s">
        <v>495</v>
      </c>
      <c r="F11" s="191">
        <v>52468518</v>
      </c>
      <c r="G11" s="192">
        <v>1898309</v>
      </c>
      <c r="H11" s="189"/>
      <c r="I11" s="185"/>
      <c r="J11" s="185"/>
      <c r="K11" s="185"/>
      <c r="L11" s="185"/>
    </row>
    <row r="12" spans="1:12" ht="15.75" thickBot="1">
      <c r="A12" s="188" t="s">
        <v>492</v>
      </c>
      <c r="B12" s="189">
        <v>64171</v>
      </c>
      <c r="C12" s="193" t="s">
        <v>493</v>
      </c>
      <c r="D12" s="193" t="s">
        <v>504</v>
      </c>
      <c r="E12" s="193" t="s">
        <v>495</v>
      </c>
      <c r="F12" s="191">
        <v>9915180</v>
      </c>
      <c r="G12" s="192">
        <v>1898310</v>
      </c>
      <c r="H12" s="189"/>
      <c r="I12" s="185"/>
      <c r="J12" s="185"/>
      <c r="K12" s="185"/>
      <c r="L12" s="185"/>
    </row>
    <row r="13" spans="1:12" s="68" customFormat="1" ht="15.75" thickBot="1">
      <c r="A13" s="199" t="s">
        <v>492</v>
      </c>
      <c r="B13" s="200">
        <v>64171</v>
      </c>
      <c r="C13" s="201" t="s">
        <v>493</v>
      </c>
      <c r="D13" s="201" t="s">
        <v>505</v>
      </c>
      <c r="E13" s="201" t="s">
        <v>495</v>
      </c>
      <c r="F13" s="202">
        <v>7534972</v>
      </c>
      <c r="G13" s="203">
        <v>1898311</v>
      </c>
      <c r="H13" s="200"/>
    </row>
    <row r="14" spans="1:12" ht="15.75" thickBot="1">
      <c r="A14" s="188" t="s">
        <v>492</v>
      </c>
      <c r="B14" s="189">
        <v>64171</v>
      </c>
      <c r="C14" s="193" t="s">
        <v>493</v>
      </c>
      <c r="D14" s="193" t="s">
        <v>494</v>
      </c>
      <c r="E14" s="193" t="s">
        <v>495</v>
      </c>
      <c r="F14" s="191">
        <v>9809267</v>
      </c>
      <c r="G14" s="192">
        <v>1898301</v>
      </c>
      <c r="H14" s="189"/>
      <c r="I14" s="185"/>
      <c r="J14" s="185"/>
      <c r="K14" s="185"/>
      <c r="L14" s="185"/>
    </row>
    <row r="15" spans="1:12" ht="15.75" thickBot="1">
      <c r="A15" s="188" t="s">
        <v>492</v>
      </c>
      <c r="B15" s="189">
        <v>64171</v>
      </c>
      <c r="C15" s="190" t="s">
        <v>493</v>
      </c>
      <c r="D15" s="190" t="s">
        <v>496</v>
      </c>
      <c r="E15" s="190" t="s">
        <v>495</v>
      </c>
      <c r="F15" s="191">
        <v>71636585</v>
      </c>
      <c r="G15" s="192">
        <v>1898302</v>
      </c>
      <c r="H15" s="189"/>
      <c r="I15" s="185"/>
      <c r="J15" s="185"/>
      <c r="K15" s="185"/>
      <c r="L15" s="185"/>
    </row>
    <row r="16" spans="1:12" ht="15.75" thickBot="1">
      <c r="A16" s="188" t="s">
        <v>492</v>
      </c>
      <c r="B16" s="189">
        <v>64171</v>
      </c>
      <c r="C16" s="193" t="s">
        <v>493</v>
      </c>
      <c r="D16" s="193" t="s">
        <v>497</v>
      </c>
      <c r="E16" s="193" t="s">
        <v>495</v>
      </c>
      <c r="F16" s="191">
        <v>106254915</v>
      </c>
      <c r="G16" s="192">
        <v>1898303</v>
      </c>
      <c r="H16" s="189"/>
      <c r="I16" s="185"/>
      <c r="J16" s="185"/>
      <c r="K16" s="185"/>
      <c r="L16" s="185"/>
    </row>
    <row r="17" spans="1:12" ht="15.75" thickBot="1">
      <c r="A17" s="188" t="s">
        <v>492</v>
      </c>
      <c r="B17" s="189">
        <v>64171</v>
      </c>
      <c r="C17" s="190" t="s">
        <v>493</v>
      </c>
      <c r="D17" s="190" t="s">
        <v>498</v>
      </c>
      <c r="E17" s="190" t="s">
        <v>495</v>
      </c>
      <c r="F17" s="191">
        <v>60617672</v>
      </c>
      <c r="G17" s="192">
        <v>1898304</v>
      </c>
      <c r="H17" s="189"/>
      <c r="I17" s="185"/>
      <c r="J17" s="185"/>
      <c r="K17" s="185"/>
      <c r="L17" s="185"/>
    </row>
    <row r="18" spans="1:12" ht="15.75" thickBot="1">
      <c r="A18" s="188" t="s">
        <v>492</v>
      </c>
      <c r="B18" s="189">
        <v>64171</v>
      </c>
      <c r="C18" s="193" t="s">
        <v>493</v>
      </c>
      <c r="D18" s="193" t="s">
        <v>499</v>
      </c>
      <c r="E18" s="193" t="s">
        <v>495</v>
      </c>
      <c r="F18" s="191">
        <v>66834127.5</v>
      </c>
      <c r="G18" s="192">
        <v>1898305</v>
      </c>
      <c r="H18" s="189"/>
      <c r="I18" s="185"/>
      <c r="J18" s="185"/>
      <c r="K18" s="185"/>
      <c r="L18" s="185"/>
    </row>
    <row r="19" spans="1:12" ht="15.75" thickBot="1">
      <c r="A19" s="188" t="s">
        <v>492</v>
      </c>
      <c r="B19" s="189">
        <v>64171</v>
      </c>
      <c r="C19" s="190" t="s">
        <v>493</v>
      </c>
      <c r="D19" s="190" t="s">
        <v>500</v>
      </c>
      <c r="E19" s="190" t="s">
        <v>495</v>
      </c>
      <c r="F19" s="191">
        <v>63789500</v>
      </c>
      <c r="G19" s="192">
        <v>1898306</v>
      </c>
      <c r="H19" s="189"/>
      <c r="I19" s="185"/>
      <c r="J19" s="185"/>
      <c r="K19" s="185"/>
      <c r="L19" s="185"/>
    </row>
    <row r="20" spans="1:12" ht="15.75" thickBot="1">
      <c r="A20" s="188" t="s">
        <v>492</v>
      </c>
      <c r="B20" s="189">
        <v>64171</v>
      </c>
      <c r="C20" s="193" t="s">
        <v>493</v>
      </c>
      <c r="D20" s="193" t="s">
        <v>501</v>
      </c>
      <c r="E20" s="193" t="s">
        <v>495</v>
      </c>
      <c r="F20" s="191">
        <v>25183831.5</v>
      </c>
      <c r="G20" s="192">
        <v>1898307</v>
      </c>
      <c r="H20" s="189"/>
      <c r="I20" s="185"/>
      <c r="J20" s="185"/>
      <c r="K20" s="185"/>
      <c r="L20" s="185"/>
    </row>
    <row r="21" spans="1:12" ht="15.75" thickBot="1">
      <c r="A21" s="188" t="s">
        <v>492</v>
      </c>
      <c r="B21" s="189">
        <v>64171</v>
      </c>
      <c r="C21" s="190" t="s">
        <v>493</v>
      </c>
      <c r="D21" s="190" t="s">
        <v>502</v>
      </c>
      <c r="E21" s="190" t="s">
        <v>495</v>
      </c>
      <c r="F21" s="191">
        <v>30534330</v>
      </c>
      <c r="G21" s="192">
        <v>1898308</v>
      </c>
      <c r="H21" s="189"/>
      <c r="I21" s="185"/>
      <c r="J21" s="185"/>
      <c r="K21" s="185"/>
      <c r="L21" s="185"/>
    </row>
    <row r="22" spans="1:12" ht="15.75" thickBot="1">
      <c r="A22" s="188" t="s">
        <v>492</v>
      </c>
      <c r="B22" s="189">
        <v>64171</v>
      </c>
      <c r="C22" s="193" t="s">
        <v>493</v>
      </c>
      <c r="D22" s="193" t="s">
        <v>503</v>
      </c>
      <c r="E22" s="193" t="s">
        <v>495</v>
      </c>
      <c r="F22" s="191">
        <v>56909370</v>
      </c>
      <c r="G22" s="192">
        <v>1898309</v>
      </c>
      <c r="H22" s="189"/>
      <c r="I22" s="185"/>
      <c r="J22" s="185"/>
      <c r="K22" s="185"/>
      <c r="L22" s="185"/>
    </row>
    <row r="23" spans="1:12" ht="15.75" thickBot="1">
      <c r="A23" s="188" t="s">
        <v>492</v>
      </c>
      <c r="B23" s="189">
        <v>64171</v>
      </c>
      <c r="C23" s="190" t="s">
        <v>493</v>
      </c>
      <c r="D23" s="190" t="s">
        <v>504</v>
      </c>
      <c r="E23" s="190" t="s">
        <v>495</v>
      </c>
      <c r="F23" s="191">
        <v>1346032</v>
      </c>
      <c r="G23" s="192">
        <v>1898310</v>
      </c>
      <c r="H23" s="189"/>
      <c r="I23" s="185"/>
      <c r="J23" s="185"/>
      <c r="K23" s="185"/>
      <c r="L23" s="185"/>
    </row>
    <row r="24" spans="1:12" ht="15.75" thickBot="1">
      <c r="A24" s="188" t="s">
        <v>492</v>
      </c>
      <c r="B24" s="189">
        <v>64171</v>
      </c>
      <c r="C24" s="193" t="s">
        <v>493</v>
      </c>
      <c r="D24" s="193" t="s">
        <v>505</v>
      </c>
      <c r="E24" s="193" t="s">
        <v>495</v>
      </c>
      <c r="F24" s="191">
        <v>16039354</v>
      </c>
      <c r="G24" s="192">
        <v>1898311</v>
      </c>
      <c r="H24" s="189"/>
      <c r="I24" s="185"/>
      <c r="J24" s="185"/>
      <c r="K24" s="185"/>
      <c r="L24" s="185"/>
    </row>
    <row r="25" spans="1:12" ht="15.75" thickBot="1">
      <c r="A25" s="188" t="s">
        <v>492</v>
      </c>
      <c r="B25" s="189">
        <v>64171</v>
      </c>
      <c r="C25" s="193" t="s">
        <v>493</v>
      </c>
      <c r="D25" s="193" t="s">
        <v>496</v>
      </c>
      <c r="E25" s="193" t="s">
        <v>508</v>
      </c>
      <c r="F25" s="191">
        <v>105000</v>
      </c>
      <c r="G25" s="192">
        <v>1898302</v>
      </c>
      <c r="H25" s="189"/>
      <c r="I25" s="185"/>
      <c r="J25" s="185"/>
      <c r="K25" s="185"/>
      <c r="L25" s="185"/>
    </row>
    <row r="26" spans="1:12" ht="15.75" thickBot="1">
      <c r="A26" s="188" t="s">
        <v>492</v>
      </c>
      <c r="B26" s="189">
        <v>64171</v>
      </c>
      <c r="C26" s="193" t="s">
        <v>493</v>
      </c>
      <c r="D26" s="193" t="s">
        <v>496</v>
      </c>
      <c r="E26" s="193" t="s">
        <v>507</v>
      </c>
      <c r="F26" s="191">
        <v>243200</v>
      </c>
      <c r="G26" s="192">
        <v>1898302</v>
      </c>
      <c r="H26" s="189"/>
      <c r="I26" s="185"/>
      <c r="J26" s="185"/>
      <c r="K26" s="185"/>
      <c r="L26" s="185"/>
    </row>
    <row r="27" spans="1:12" ht="15.75" thickBot="1">
      <c r="A27" s="188" t="s">
        <v>492</v>
      </c>
      <c r="B27" s="189">
        <v>64171</v>
      </c>
      <c r="C27" s="193" t="s">
        <v>493</v>
      </c>
      <c r="D27" s="193" t="s">
        <v>497</v>
      </c>
      <c r="E27" s="193" t="s">
        <v>506</v>
      </c>
      <c r="F27" s="191">
        <v>1453810</v>
      </c>
      <c r="G27" s="192">
        <v>1898303</v>
      </c>
      <c r="H27" s="189"/>
      <c r="I27" s="185"/>
      <c r="J27" s="185"/>
      <c r="K27" s="185"/>
      <c r="L27" s="185"/>
    </row>
    <row r="28" spans="1:12" ht="15.75" thickBot="1">
      <c r="A28" s="188" t="s">
        <v>492</v>
      </c>
      <c r="B28" s="189">
        <v>64171</v>
      </c>
      <c r="C28" s="193" t="s">
        <v>493</v>
      </c>
      <c r="D28" s="193" t="s">
        <v>497</v>
      </c>
      <c r="E28" s="193" t="s">
        <v>510</v>
      </c>
      <c r="F28" s="191">
        <v>990000</v>
      </c>
      <c r="G28" s="192">
        <v>1898303</v>
      </c>
      <c r="H28" s="189"/>
      <c r="I28" s="185"/>
      <c r="J28" s="185"/>
      <c r="K28" s="185"/>
      <c r="L28" s="185"/>
    </row>
    <row r="29" spans="1:12" ht="15.75" thickBot="1">
      <c r="A29" s="188" t="s">
        <v>492</v>
      </c>
      <c r="B29" s="189">
        <v>64171</v>
      </c>
      <c r="C29" s="193" t="s">
        <v>493</v>
      </c>
      <c r="D29" s="193" t="s">
        <v>497</v>
      </c>
      <c r="E29" s="193" t="s">
        <v>507</v>
      </c>
      <c r="F29" s="191">
        <v>1263200</v>
      </c>
      <c r="G29" s="192">
        <v>1898303</v>
      </c>
      <c r="H29" s="189"/>
      <c r="I29" s="185"/>
      <c r="J29" s="185"/>
      <c r="K29" s="185"/>
      <c r="L29" s="185"/>
    </row>
    <row r="30" spans="1:12" ht="15.75" thickBot="1">
      <c r="A30" s="188" t="s">
        <v>492</v>
      </c>
      <c r="B30" s="189">
        <v>64171</v>
      </c>
      <c r="C30" s="201" t="s">
        <v>493</v>
      </c>
      <c r="D30" s="201" t="s">
        <v>499</v>
      </c>
      <c r="E30" s="201" t="s">
        <v>511</v>
      </c>
      <c r="F30" s="202">
        <f>82575+82575</f>
        <v>165150</v>
      </c>
      <c r="G30" s="203">
        <v>1898305</v>
      </c>
      <c r="H30" s="189"/>
      <c r="I30" s="185"/>
      <c r="J30" s="185"/>
      <c r="K30" s="185"/>
      <c r="L30" s="185"/>
    </row>
    <row r="31" spans="1:12" ht="15.75" thickBot="1">
      <c r="A31" s="188" t="s">
        <v>492</v>
      </c>
      <c r="B31" s="189">
        <v>64171</v>
      </c>
      <c r="C31" s="190" t="s">
        <v>493</v>
      </c>
      <c r="D31" s="190" t="s">
        <v>499</v>
      </c>
      <c r="E31" s="190" t="s">
        <v>506</v>
      </c>
      <c r="F31" s="191">
        <f>534200+536030+534200</f>
        <v>1604430</v>
      </c>
      <c r="G31" s="192">
        <v>1898305</v>
      </c>
      <c r="H31" s="189"/>
      <c r="I31" s="185"/>
      <c r="J31" s="185"/>
      <c r="K31" s="185"/>
      <c r="L31" s="185"/>
    </row>
    <row r="32" spans="1:12" ht="15.75" thickBot="1">
      <c r="A32" s="188" t="s">
        <v>492</v>
      </c>
      <c r="B32" s="189">
        <v>64171</v>
      </c>
      <c r="C32" s="193" t="s">
        <v>493</v>
      </c>
      <c r="D32" s="193" t="s">
        <v>499</v>
      </c>
      <c r="E32" s="193" t="s">
        <v>512</v>
      </c>
      <c r="F32" s="191">
        <v>6634636</v>
      </c>
      <c r="G32" s="192">
        <v>1898305</v>
      </c>
      <c r="H32" s="189"/>
      <c r="I32" s="185"/>
      <c r="J32" s="185"/>
      <c r="K32" s="185"/>
      <c r="L32" s="185"/>
    </row>
    <row r="33" spans="1:12" ht="15.75" thickBot="1">
      <c r="A33" s="188" t="s">
        <v>492</v>
      </c>
      <c r="B33" s="189">
        <v>64171</v>
      </c>
      <c r="C33" s="190" t="s">
        <v>493</v>
      </c>
      <c r="D33" s="190" t="s">
        <v>499</v>
      </c>
      <c r="E33" s="190" t="s">
        <v>514</v>
      </c>
      <c r="F33" s="191">
        <v>36000000</v>
      </c>
      <c r="G33" s="192">
        <v>1898305</v>
      </c>
      <c r="H33" s="189"/>
      <c r="I33" s="185"/>
      <c r="J33" s="185"/>
      <c r="K33" s="185"/>
      <c r="L33" s="185"/>
    </row>
    <row r="34" spans="1:12" ht="15.75" thickBot="1">
      <c r="A34" s="188" t="s">
        <v>492</v>
      </c>
      <c r="B34" s="189">
        <v>64171</v>
      </c>
      <c r="C34" s="193" t="s">
        <v>493</v>
      </c>
      <c r="D34" s="193" t="s">
        <v>499</v>
      </c>
      <c r="E34" s="193" t="s">
        <v>515</v>
      </c>
      <c r="F34" s="191">
        <v>442000</v>
      </c>
      <c r="G34" s="192">
        <v>1898305</v>
      </c>
      <c r="H34" s="189"/>
      <c r="I34" s="185"/>
      <c r="J34" s="185"/>
      <c r="K34" s="185"/>
      <c r="L34" s="185"/>
    </row>
    <row r="35" spans="1:12" ht="15.75" thickBot="1">
      <c r="A35" s="188" t="s">
        <v>492</v>
      </c>
      <c r="B35" s="189">
        <v>64171</v>
      </c>
      <c r="C35" s="190" t="s">
        <v>493</v>
      </c>
      <c r="D35" s="190" t="s">
        <v>499</v>
      </c>
      <c r="E35" s="190" t="s">
        <v>510</v>
      </c>
      <c r="F35" s="191">
        <v>394200</v>
      </c>
      <c r="G35" s="192">
        <v>1898305</v>
      </c>
      <c r="H35" s="189"/>
      <c r="I35" s="185"/>
      <c r="J35" s="185"/>
      <c r="K35" s="185"/>
      <c r="L35" s="185"/>
    </row>
    <row r="36" spans="1:12" ht="15.75" thickBot="1">
      <c r="A36" s="188" t="s">
        <v>492</v>
      </c>
      <c r="B36" s="189">
        <v>64171</v>
      </c>
      <c r="C36" s="193" t="s">
        <v>493</v>
      </c>
      <c r="D36" s="190" t="s">
        <v>499</v>
      </c>
      <c r="E36" s="193" t="s">
        <v>507</v>
      </c>
      <c r="F36" s="191">
        <f>1084480+495000+2356400</f>
        <v>3935880</v>
      </c>
      <c r="G36" s="192">
        <v>1898305</v>
      </c>
      <c r="H36" s="189"/>
      <c r="I36" s="185"/>
      <c r="J36" s="185"/>
      <c r="K36" s="185"/>
      <c r="L36" s="185"/>
    </row>
    <row r="37" spans="1:12" ht="15.75" thickBot="1">
      <c r="A37" s="188" t="s">
        <v>492</v>
      </c>
      <c r="B37" s="189">
        <v>64171</v>
      </c>
      <c r="C37" s="193" t="s">
        <v>493</v>
      </c>
      <c r="D37" s="190" t="s">
        <v>500</v>
      </c>
      <c r="E37" s="193" t="s">
        <v>509</v>
      </c>
      <c r="F37" s="191">
        <v>770000</v>
      </c>
      <c r="G37" s="192">
        <v>1898306</v>
      </c>
      <c r="H37" s="189"/>
      <c r="I37" s="185"/>
      <c r="J37" s="185"/>
      <c r="K37" s="185"/>
      <c r="L37" s="185"/>
    </row>
    <row r="38" spans="1:12" ht="15.75" thickBot="1">
      <c r="A38" s="188" t="s">
        <v>492</v>
      </c>
      <c r="B38" s="189">
        <v>64171</v>
      </c>
      <c r="C38" s="193" t="s">
        <v>493</v>
      </c>
      <c r="D38" s="190" t="s">
        <v>500</v>
      </c>
      <c r="E38" s="193" t="s">
        <v>506</v>
      </c>
      <c r="F38" s="191">
        <v>534000</v>
      </c>
      <c r="G38" s="192">
        <v>1898306</v>
      </c>
      <c r="H38" s="189"/>
      <c r="I38" s="185"/>
      <c r="J38" s="185"/>
      <c r="K38" s="185"/>
      <c r="L38" s="185"/>
    </row>
    <row r="39" spans="1:12" ht="15.75" thickBot="1">
      <c r="A39" s="188" t="s">
        <v>492</v>
      </c>
      <c r="B39" s="189">
        <v>64171</v>
      </c>
      <c r="C39" s="193" t="s">
        <v>493</v>
      </c>
      <c r="D39" s="190" t="s">
        <v>500</v>
      </c>
      <c r="E39" s="193" t="s">
        <v>515</v>
      </c>
      <c r="F39" s="191">
        <v>136200</v>
      </c>
      <c r="G39" s="192">
        <v>1898306</v>
      </c>
      <c r="H39" s="189"/>
      <c r="I39" s="185"/>
      <c r="J39" s="185"/>
      <c r="K39" s="185"/>
      <c r="L39" s="185"/>
    </row>
    <row r="40" spans="1:12" ht="15.75" thickBot="1">
      <c r="A40" s="188" t="s">
        <v>492</v>
      </c>
      <c r="B40" s="189">
        <v>64171</v>
      </c>
      <c r="C40" s="190" t="s">
        <v>493</v>
      </c>
      <c r="D40" s="190" t="s">
        <v>500</v>
      </c>
      <c r="E40" s="190" t="s">
        <v>516</v>
      </c>
      <c r="F40" s="191">
        <v>646200</v>
      </c>
      <c r="G40" s="192">
        <v>1898306</v>
      </c>
      <c r="H40" s="189"/>
      <c r="I40" s="185"/>
      <c r="J40" s="185"/>
      <c r="K40" s="185"/>
      <c r="L40" s="185"/>
    </row>
    <row r="41" spans="1:12" ht="15.75" thickBot="1">
      <c r="A41" s="188" t="s">
        <v>492</v>
      </c>
      <c r="B41" s="189">
        <v>64171</v>
      </c>
      <c r="C41" s="190" t="s">
        <v>493</v>
      </c>
      <c r="D41" s="190" t="s">
        <v>500</v>
      </c>
      <c r="E41" s="190" t="s">
        <v>507</v>
      </c>
      <c r="F41" s="191">
        <v>418000</v>
      </c>
      <c r="G41" s="192">
        <v>1898306</v>
      </c>
      <c r="H41" s="189"/>
      <c r="I41" s="185"/>
      <c r="J41" s="185"/>
      <c r="K41" s="185"/>
      <c r="L41" s="185"/>
    </row>
    <row r="42" spans="1:12" ht="15.75" thickBot="1">
      <c r="A42" s="188" t="s">
        <v>492</v>
      </c>
      <c r="B42" s="189">
        <v>64171</v>
      </c>
      <c r="C42" s="190" t="s">
        <v>493</v>
      </c>
      <c r="D42" s="190" t="s">
        <v>502</v>
      </c>
      <c r="E42" s="190" t="s">
        <v>509</v>
      </c>
      <c r="F42" s="191">
        <v>110000</v>
      </c>
      <c r="G42" s="192">
        <v>1898308</v>
      </c>
      <c r="H42" s="189"/>
      <c r="I42" s="185"/>
      <c r="J42" s="185"/>
      <c r="K42" s="185"/>
      <c r="L42" s="185"/>
    </row>
    <row r="43" spans="1:12" ht="15.75" thickBot="1">
      <c r="A43" s="188" t="s">
        <v>492</v>
      </c>
      <c r="B43" s="189">
        <v>64171</v>
      </c>
      <c r="C43" s="193" t="s">
        <v>493</v>
      </c>
      <c r="D43" s="193" t="s">
        <v>502</v>
      </c>
      <c r="E43" s="193" t="s">
        <v>514</v>
      </c>
      <c r="F43" s="191">
        <v>1000000</v>
      </c>
      <c r="G43" s="192">
        <v>1898308</v>
      </c>
      <c r="H43" s="189"/>
      <c r="I43" s="185"/>
      <c r="J43" s="185"/>
      <c r="K43" s="185"/>
      <c r="L43" s="185"/>
    </row>
    <row r="44" spans="1:12" ht="15.75" thickBot="1">
      <c r="A44" s="188" t="s">
        <v>492</v>
      </c>
      <c r="B44" s="189">
        <v>133111</v>
      </c>
      <c r="C44" s="197"/>
      <c r="D44" s="190" t="s">
        <v>494</v>
      </c>
      <c r="E44" s="197"/>
      <c r="F44" s="191">
        <v>77409237.920000002</v>
      </c>
      <c r="G44" s="192">
        <v>1898301</v>
      </c>
      <c r="H44" s="189"/>
      <c r="I44" s="185"/>
      <c r="J44" s="185"/>
      <c r="K44" s="185"/>
      <c r="L44" s="185"/>
    </row>
    <row r="45" spans="1:12" ht="15.75" thickBot="1">
      <c r="A45" s="188" t="s">
        <v>224</v>
      </c>
      <c r="B45" s="189">
        <v>33111</v>
      </c>
      <c r="C45" s="197"/>
      <c r="D45" s="193" t="s">
        <v>494</v>
      </c>
      <c r="E45" s="197"/>
      <c r="F45" s="191">
        <v>1045024711.9200001</v>
      </c>
      <c r="G45" s="198">
        <v>1898301</v>
      </c>
      <c r="H45" s="189"/>
      <c r="I45" s="185"/>
      <c r="J45" s="185"/>
      <c r="K45" s="185"/>
      <c r="L45" s="185"/>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142"/>
  <sheetViews>
    <sheetView topLeftCell="A3" workbookViewId="0">
      <selection activeCell="G23" sqref="G23"/>
    </sheetView>
  </sheetViews>
  <sheetFormatPr defaultRowHeight="15"/>
  <cols>
    <col min="1" max="1" width="9.140625" customWidth="1"/>
    <col min="2" max="2" width="22.7109375" customWidth="1"/>
    <col min="3" max="3" width="14.85546875" customWidth="1"/>
    <col min="4" max="4" width="17.5703125" customWidth="1"/>
    <col min="5" max="5" width="9.140625" customWidth="1"/>
  </cols>
  <sheetData>
    <row r="1" spans="1:5" ht="15.75">
      <c r="A1" s="205" t="s">
        <v>630</v>
      </c>
    </row>
    <row r="2" spans="1:5" ht="16.5" thickBot="1">
      <c r="A2" s="232" t="s">
        <v>631</v>
      </c>
    </row>
    <row r="3" spans="1:5" ht="57.75" customHeight="1" thickBot="1">
      <c r="A3" s="233" t="s">
        <v>0</v>
      </c>
      <c r="B3" s="234" t="s">
        <v>121</v>
      </c>
      <c r="C3" s="234" t="s">
        <v>632</v>
      </c>
      <c r="D3" s="234" t="s">
        <v>633</v>
      </c>
      <c r="E3" s="235" t="s">
        <v>634</v>
      </c>
    </row>
    <row r="4" spans="1:5" ht="45.75" hidden="1" customHeight="1" thickBot="1">
      <c r="A4" s="236">
        <v>1</v>
      </c>
      <c r="B4" s="237" t="s">
        <v>635</v>
      </c>
      <c r="C4" s="236" t="s">
        <v>636</v>
      </c>
      <c r="D4" s="238">
        <v>60000</v>
      </c>
      <c r="E4" s="239"/>
    </row>
    <row r="5" spans="1:5" ht="45.75" hidden="1" customHeight="1" thickBot="1">
      <c r="A5" s="236">
        <v>2</v>
      </c>
      <c r="B5" s="237" t="s">
        <v>637</v>
      </c>
      <c r="C5" s="236" t="s">
        <v>636</v>
      </c>
      <c r="D5" s="238">
        <v>190000</v>
      </c>
      <c r="E5" s="239"/>
    </row>
    <row r="6" spans="1:5" ht="45.75" hidden="1" customHeight="1" thickBot="1">
      <c r="A6" s="236">
        <v>3</v>
      </c>
      <c r="B6" s="237" t="s">
        <v>638</v>
      </c>
      <c r="C6" s="236" t="s">
        <v>636</v>
      </c>
      <c r="D6" s="238">
        <v>419000</v>
      </c>
      <c r="E6" s="239"/>
    </row>
    <row r="7" spans="1:5" ht="60.75" customHeight="1" thickBot="1">
      <c r="A7" s="236">
        <v>4</v>
      </c>
      <c r="B7" s="237" t="s">
        <v>154</v>
      </c>
      <c r="C7" s="236" t="s">
        <v>636</v>
      </c>
      <c r="D7" s="291">
        <v>735000</v>
      </c>
      <c r="E7" s="239"/>
    </row>
    <row r="8" spans="1:5" ht="30.75" customHeight="1" thickBot="1">
      <c r="A8" s="236">
        <v>5</v>
      </c>
      <c r="B8" s="237" t="s">
        <v>98</v>
      </c>
      <c r="C8" s="236" t="s">
        <v>636</v>
      </c>
      <c r="D8" s="291">
        <v>59000</v>
      </c>
      <c r="E8" s="239"/>
    </row>
    <row r="9" spans="1:5" ht="45.75" customHeight="1" thickBot="1">
      <c r="A9" s="236">
        <v>6</v>
      </c>
      <c r="B9" s="237" t="s">
        <v>210</v>
      </c>
      <c r="C9" s="236" t="s">
        <v>636</v>
      </c>
      <c r="D9" s="291">
        <v>63000</v>
      </c>
      <c r="E9" s="239"/>
    </row>
    <row r="10" spans="1:5" ht="30.75" hidden="1" customHeight="1" thickBot="1">
      <c r="A10" s="236">
        <v>7</v>
      </c>
      <c r="B10" s="237" t="s">
        <v>639</v>
      </c>
      <c r="C10" s="236" t="s">
        <v>636</v>
      </c>
      <c r="D10" s="238">
        <v>30000</v>
      </c>
      <c r="E10" s="239"/>
    </row>
    <row r="11" spans="1:5" ht="30.75" hidden="1" customHeight="1" thickBot="1">
      <c r="A11" s="236">
        <v>8</v>
      </c>
      <c r="B11" s="237" t="s">
        <v>640</v>
      </c>
      <c r="C11" s="236" t="s">
        <v>636</v>
      </c>
      <c r="D11" s="238">
        <v>15000</v>
      </c>
      <c r="E11" s="239"/>
    </row>
    <row r="12" spans="1:5" ht="45.75" hidden="1" customHeight="1" thickBot="1">
      <c r="A12" s="236">
        <v>9</v>
      </c>
      <c r="B12" s="237" t="s">
        <v>641</v>
      </c>
      <c r="C12" s="236" t="s">
        <v>636</v>
      </c>
      <c r="D12" s="238">
        <v>240000</v>
      </c>
      <c r="E12" s="239"/>
    </row>
    <row r="13" spans="1:5" ht="45.75" customHeight="1" thickBot="1">
      <c r="A13" s="236">
        <v>10</v>
      </c>
      <c r="B13" s="237" t="s">
        <v>94</v>
      </c>
      <c r="C13" s="236" t="s">
        <v>642</v>
      </c>
      <c r="D13" s="291">
        <v>15000</v>
      </c>
      <c r="E13" s="239"/>
    </row>
    <row r="14" spans="1:5" ht="45.75" hidden="1" customHeight="1" thickBot="1">
      <c r="A14" s="236">
        <v>11</v>
      </c>
      <c r="B14" s="237" t="s">
        <v>643</v>
      </c>
      <c r="C14" s="236" t="s">
        <v>642</v>
      </c>
      <c r="D14" s="238">
        <v>53000</v>
      </c>
      <c r="E14" s="239"/>
    </row>
    <row r="15" spans="1:5" ht="45.75" customHeight="1" thickBot="1">
      <c r="A15" s="236">
        <v>12</v>
      </c>
      <c r="B15" s="237" t="s">
        <v>86</v>
      </c>
      <c r="C15" s="236" t="s">
        <v>642</v>
      </c>
      <c r="D15" s="291">
        <v>105000</v>
      </c>
      <c r="E15" s="239"/>
    </row>
    <row r="16" spans="1:5" ht="30.75" customHeight="1" thickBot="1">
      <c r="A16" s="236">
        <v>13</v>
      </c>
      <c r="B16" s="237" t="s">
        <v>644</v>
      </c>
      <c r="C16" s="236" t="s">
        <v>642</v>
      </c>
      <c r="D16" s="291">
        <v>105000</v>
      </c>
      <c r="E16" s="239"/>
    </row>
    <row r="17" spans="1:5" ht="30.75" hidden="1" customHeight="1" thickBot="1">
      <c r="A17" s="236">
        <v>14</v>
      </c>
      <c r="B17" s="237" t="s">
        <v>645</v>
      </c>
      <c r="C17" s="236" t="s">
        <v>642</v>
      </c>
      <c r="D17" s="238">
        <v>126000</v>
      </c>
      <c r="E17" s="239"/>
    </row>
    <row r="18" spans="1:5" ht="45.75" customHeight="1" thickBot="1">
      <c r="A18" s="236">
        <v>15</v>
      </c>
      <c r="B18" s="237" t="s">
        <v>282</v>
      </c>
      <c r="C18" s="236" t="s">
        <v>646</v>
      </c>
      <c r="D18" s="291">
        <v>15000</v>
      </c>
      <c r="E18" s="239"/>
    </row>
    <row r="19" spans="1:5" ht="45.75" customHeight="1" thickBot="1">
      <c r="A19" s="236">
        <v>16</v>
      </c>
      <c r="B19" s="237" t="s">
        <v>65</v>
      </c>
      <c r="C19" s="236" t="s">
        <v>646</v>
      </c>
      <c r="D19" s="291">
        <v>42000</v>
      </c>
      <c r="E19" s="239"/>
    </row>
    <row r="20" spans="1:5" ht="45.75" hidden="1" customHeight="1" thickBot="1">
      <c r="A20" s="236">
        <v>17</v>
      </c>
      <c r="B20" s="237" t="s">
        <v>647</v>
      </c>
      <c r="C20" s="236" t="s">
        <v>646</v>
      </c>
      <c r="D20" s="238">
        <v>53000</v>
      </c>
      <c r="E20" s="239"/>
    </row>
    <row r="21" spans="1:5" ht="45.75" customHeight="1" thickBot="1">
      <c r="A21" s="236">
        <v>18</v>
      </c>
      <c r="B21" s="237" t="s">
        <v>168</v>
      </c>
      <c r="C21" s="236" t="s">
        <v>646</v>
      </c>
      <c r="D21" s="291">
        <v>11000</v>
      </c>
      <c r="E21" s="239"/>
    </row>
    <row r="22" spans="1:5" ht="60.75" customHeight="1" thickBot="1">
      <c r="A22" s="236">
        <v>19</v>
      </c>
      <c r="B22" s="237" t="s">
        <v>289</v>
      </c>
      <c r="C22" s="236" t="s">
        <v>646</v>
      </c>
      <c r="D22" s="291">
        <v>76000</v>
      </c>
      <c r="E22" s="239"/>
    </row>
    <row r="23" spans="1:5" ht="45.75" hidden="1" customHeight="1" thickBot="1">
      <c r="A23" s="236">
        <v>20</v>
      </c>
      <c r="B23" s="237" t="s">
        <v>648</v>
      </c>
      <c r="C23" s="236" t="s">
        <v>649</v>
      </c>
      <c r="D23" s="238">
        <v>76000</v>
      </c>
      <c r="E23" s="239"/>
    </row>
    <row r="24" spans="1:5" ht="45.75" customHeight="1" thickBot="1">
      <c r="A24" s="236">
        <v>21</v>
      </c>
      <c r="B24" s="237" t="s">
        <v>78</v>
      </c>
      <c r="C24" s="236" t="s">
        <v>649</v>
      </c>
      <c r="D24" s="291">
        <v>420000</v>
      </c>
      <c r="E24" s="239"/>
    </row>
    <row r="25" spans="1:5" ht="30.75" customHeight="1" thickBot="1">
      <c r="A25" s="236">
        <v>22</v>
      </c>
      <c r="B25" s="237" t="s">
        <v>187</v>
      </c>
      <c r="C25" s="236" t="s">
        <v>649</v>
      </c>
      <c r="D25" s="291">
        <v>105000</v>
      </c>
      <c r="E25" s="239"/>
    </row>
    <row r="26" spans="1:5" ht="30.75" customHeight="1" thickBot="1">
      <c r="A26" s="236">
        <v>23</v>
      </c>
      <c r="B26" s="237" t="s">
        <v>221</v>
      </c>
      <c r="C26" s="236" t="s">
        <v>649</v>
      </c>
      <c r="D26" s="291">
        <v>25000</v>
      </c>
      <c r="E26" s="239"/>
    </row>
    <row r="27" spans="1:5" ht="45.75" customHeight="1" thickBot="1">
      <c r="A27" s="236">
        <v>24</v>
      </c>
      <c r="B27" s="237" t="s">
        <v>205</v>
      </c>
      <c r="C27" s="236" t="s">
        <v>649</v>
      </c>
      <c r="D27" s="291">
        <v>84000</v>
      </c>
      <c r="E27" s="239"/>
    </row>
    <row r="28" spans="1:5" ht="60.75" customHeight="1" thickBot="1">
      <c r="A28" s="236">
        <v>25</v>
      </c>
      <c r="B28" s="237" t="s">
        <v>89</v>
      </c>
      <c r="C28" s="236" t="s">
        <v>650</v>
      </c>
      <c r="D28" s="291">
        <v>436000</v>
      </c>
      <c r="E28" s="239"/>
    </row>
    <row r="29" spans="1:5" ht="30.75" customHeight="1" thickBot="1">
      <c r="A29" s="236">
        <v>26</v>
      </c>
      <c r="B29" s="237" t="s">
        <v>91</v>
      </c>
      <c r="C29" s="236" t="s">
        <v>650</v>
      </c>
      <c r="D29" s="291">
        <v>38000</v>
      </c>
      <c r="E29" s="239"/>
    </row>
    <row r="30" spans="1:5" ht="30.75" hidden="1" customHeight="1" thickBot="1">
      <c r="A30" s="236">
        <v>27</v>
      </c>
      <c r="B30" s="237" t="s">
        <v>651</v>
      </c>
      <c r="C30" s="236" t="s">
        <v>650</v>
      </c>
      <c r="D30" s="238">
        <v>42000</v>
      </c>
      <c r="E30" s="239"/>
    </row>
    <row r="31" spans="1:5" ht="30.75" hidden="1" customHeight="1" thickBot="1">
      <c r="A31" s="236">
        <v>28</v>
      </c>
      <c r="B31" s="237" t="s">
        <v>652</v>
      </c>
      <c r="C31" s="236" t="s">
        <v>650</v>
      </c>
      <c r="D31" s="238">
        <v>162000</v>
      </c>
      <c r="E31" s="239"/>
    </row>
    <row r="32" spans="1:5" ht="30.75" customHeight="1" thickBot="1">
      <c r="A32" s="236">
        <v>29</v>
      </c>
      <c r="B32" s="237" t="s">
        <v>151</v>
      </c>
      <c r="C32" s="236" t="s">
        <v>653</v>
      </c>
      <c r="D32" s="291">
        <v>29000</v>
      </c>
      <c r="E32" s="239"/>
    </row>
    <row r="33" spans="1:5" ht="45.75" hidden="1" customHeight="1" thickBot="1">
      <c r="A33" s="236">
        <v>30</v>
      </c>
      <c r="B33" s="237" t="s">
        <v>654</v>
      </c>
      <c r="C33" s="236" t="s">
        <v>653</v>
      </c>
      <c r="D33" s="238">
        <v>30000</v>
      </c>
      <c r="E33" s="239"/>
    </row>
    <row r="34" spans="1:5" ht="30.75" hidden="1" customHeight="1" thickBot="1">
      <c r="A34" s="236">
        <v>31</v>
      </c>
      <c r="B34" s="237" t="s">
        <v>655</v>
      </c>
      <c r="C34" s="236" t="s">
        <v>653</v>
      </c>
      <c r="D34" s="238">
        <v>485000</v>
      </c>
      <c r="E34" s="239"/>
    </row>
    <row r="35" spans="1:5" ht="45.75" customHeight="1" thickBot="1">
      <c r="A35" s="236">
        <v>32</v>
      </c>
      <c r="B35" s="237" t="s">
        <v>56</v>
      </c>
      <c r="C35" s="236" t="s">
        <v>653</v>
      </c>
      <c r="D35" s="291">
        <v>315000</v>
      </c>
      <c r="E35" s="239"/>
    </row>
    <row r="36" spans="1:5" ht="45.75" customHeight="1" thickBot="1">
      <c r="A36" s="236">
        <v>33</v>
      </c>
      <c r="B36" s="237" t="s">
        <v>50</v>
      </c>
      <c r="C36" s="236" t="s">
        <v>653</v>
      </c>
      <c r="D36" s="291">
        <v>105000</v>
      </c>
      <c r="E36" s="239"/>
    </row>
    <row r="37" spans="1:5" ht="45.75" customHeight="1" thickBot="1">
      <c r="A37" s="236">
        <v>34</v>
      </c>
      <c r="B37" s="237" t="s">
        <v>48</v>
      </c>
      <c r="C37" s="236" t="s">
        <v>653</v>
      </c>
      <c r="D37" s="291">
        <v>15000</v>
      </c>
      <c r="E37" s="239"/>
    </row>
    <row r="38" spans="1:5" ht="45.75" customHeight="1" thickBot="1">
      <c r="A38" s="236">
        <v>35</v>
      </c>
      <c r="B38" s="237" t="s">
        <v>138</v>
      </c>
      <c r="C38" s="236" t="s">
        <v>653</v>
      </c>
      <c r="D38" s="291">
        <v>50000</v>
      </c>
      <c r="E38" s="239"/>
    </row>
    <row r="39" spans="1:5" ht="45.75" customHeight="1" thickBot="1">
      <c r="A39" s="236">
        <v>36</v>
      </c>
      <c r="B39" s="237" t="s">
        <v>52</v>
      </c>
      <c r="C39" s="236" t="s">
        <v>653</v>
      </c>
      <c r="D39" s="291">
        <v>44000</v>
      </c>
      <c r="E39" s="239"/>
    </row>
    <row r="40" spans="1:5" ht="30.75" customHeight="1" thickBot="1">
      <c r="A40" s="236">
        <v>37</v>
      </c>
      <c r="B40" s="237" t="s">
        <v>46</v>
      </c>
      <c r="C40" s="236" t="s">
        <v>653</v>
      </c>
      <c r="D40" s="291">
        <v>29000</v>
      </c>
      <c r="E40" s="239"/>
    </row>
    <row r="41" spans="1:5" ht="45.75" hidden="1" customHeight="1" thickBot="1">
      <c r="A41" s="236">
        <v>38</v>
      </c>
      <c r="B41" s="237" t="s">
        <v>60</v>
      </c>
      <c r="C41" s="236" t="s">
        <v>653</v>
      </c>
      <c r="D41" s="238">
        <v>59000</v>
      </c>
      <c r="E41" s="239"/>
    </row>
    <row r="42" spans="1:5" ht="45.75" hidden="1" customHeight="1" thickBot="1">
      <c r="A42" s="236">
        <v>39</v>
      </c>
      <c r="B42" s="237" t="s">
        <v>656</v>
      </c>
      <c r="C42" s="236" t="s">
        <v>653</v>
      </c>
      <c r="D42" s="238">
        <v>63000</v>
      </c>
      <c r="E42" s="239"/>
    </row>
    <row r="43" spans="1:5" ht="30.75" customHeight="1" thickBot="1">
      <c r="A43" s="236">
        <v>40</v>
      </c>
      <c r="B43" s="237" t="s">
        <v>146</v>
      </c>
      <c r="C43" s="236" t="s">
        <v>653</v>
      </c>
      <c r="D43" s="291">
        <v>71000</v>
      </c>
      <c r="E43" s="239"/>
    </row>
    <row r="44" spans="1:5" ht="30.75" customHeight="1" thickBot="1">
      <c r="A44" s="236">
        <v>41</v>
      </c>
      <c r="B44" s="237" t="s">
        <v>147</v>
      </c>
      <c r="C44" s="236" t="s">
        <v>653</v>
      </c>
      <c r="D44" s="291">
        <v>74000</v>
      </c>
      <c r="E44" s="239"/>
    </row>
    <row r="45" spans="1:5" ht="45.75" hidden="1" customHeight="1" thickBot="1">
      <c r="A45" s="236">
        <v>42</v>
      </c>
      <c r="B45" s="237" t="s">
        <v>657</v>
      </c>
      <c r="C45" s="236" t="s">
        <v>653</v>
      </c>
      <c r="D45" s="238">
        <v>15000</v>
      </c>
      <c r="E45" s="239"/>
    </row>
    <row r="46" spans="1:5" ht="30.75" hidden="1" customHeight="1" thickBot="1">
      <c r="A46" s="236">
        <v>43</v>
      </c>
      <c r="B46" s="237" t="s">
        <v>658</v>
      </c>
      <c r="C46" s="236" t="s">
        <v>653</v>
      </c>
      <c r="D46" s="238">
        <v>53000</v>
      </c>
      <c r="E46" s="239"/>
    </row>
    <row r="47" spans="1:5" ht="30.75" hidden="1" customHeight="1" thickBot="1">
      <c r="A47" s="236">
        <v>44</v>
      </c>
      <c r="B47" s="237" t="s">
        <v>659</v>
      </c>
      <c r="C47" s="236" t="s">
        <v>653</v>
      </c>
      <c r="D47" s="238">
        <v>42000</v>
      </c>
      <c r="E47" s="239"/>
    </row>
    <row r="48" spans="1:5" ht="45.75" hidden="1" customHeight="1" thickBot="1">
      <c r="A48" s="236">
        <v>45</v>
      </c>
      <c r="B48" s="237" t="s">
        <v>660</v>
      </c>
      <c r="C48" s="236" t="s">
        <v>661</v>
      </c>
      <c r="D48" s="238">
        <v>35000</v>
      </c>
      <c r="E48" s="239"/>
    </row>
    <row r="49" spans="1:5" ht="45.75" hidden="1" customHeight="1" thickBot="1">
      <c r="A49" s="236">
        <v>46</v>
      </c>
      <c r="B49" s="237" t="s">
        <v>662</v>
      </c>
      <c r="C49" s="236" t="s">
        <v>661</v>
      </c>
      <c r="D49" s="238">
        <v>67000</v>
      </c>
      <c r="E49" s="239"/>
    </row>
    <row r="50" spans="1:5" ht="45.75" hidden="1" customHeight="1" thickBot="1">
      <c r="A50" s="236">
        <v>47</v>
      </c>
      <c r="B50" s="237" t="s">
        <v>663</v>
      </c>
      <c r="C50" s="236" t="s">
        <v>661</v>
      </c>
      <c r="D50" s="238">
        <v>19000</v>
      </c>
      <c r="E50" s="239"/>
    </row>
    <row r="51" spans="1:5" ht="45.75" hidden="1" customHeight="1" thickBot="1">
      <c r="A51" s="236">
        <v>48</v>
      </c>
      <c r="B51" s="237" t="s">
        <v>664</v>
      </c>
      <c r="C51" s="236" t="s">
        <v>661</v>
      </c>
      <c r="D51" s="238">
        <v>53000</v>
      </c>
      <c r="E51" s="239"/>
    </row>
    <row r="52" spans="1:5" ht="45.75" hidden="1" customHeight="1" thickBot="1">
      <c r="A52" s="236">
        <v>49</v>
      </c>
      <c r="B52" s="237" t="s">
        <v>665</v>
      </c>
      <c r="C52" s="236" t="s">
        <v>661</v>
      </c>
      <c r="D52" s="238">
        <v>420000</v>
      </c>
      <c r="E52" s="239"/>
    </row>
    <row r="53" spans="1:5" ht="60.75" hidden="1" customHeight="1" thickBot="1">
      <c r="A53" s="236">
        <v>50</v>
      </c>
      <c r="B53" s="237" t="s">
        <v>666</v>
      </c>
      <c r="C53" s="236" t="s">
        <v>661</v>
      </c>
      <c r="D53" s="238">
        <v>19000</v>
      </c>
      <c r="E53" s="239"/>
    </row>
    <row r="54" spans="1:5" ht="45.75" hidden="1" customHeight="1" thickBot="1">
      <c r="A54" s="236">
        <v>51</v>
      </c>
      <c r="B54" s="237" t="s">
        <v>667</v>
      </c>
      <c r="C54" s="236" t="s">
        <v>668</v>
      </c>
      <c r="D54" s="238">
        <v>21000</v>
      </c>
      <c r="E54" s="239"/>
    </row>
    <row r="55" spans="1:5" ht="45.75" hidden="1" customHeight="1" thickBot="1">
      <c r="A55" s="236">
        <v>52</v>
      </c>
      <c r="B55" s="237" t="s">
        <v>669</v>
      </c>
      <c r="C55" s="236" t="s">
        <v>668</v>
      </c>
      <c r="D55" s="238">
        <v>53000</v>
      </c>
      <c r="E55" s="239"/>
    </row>
    <row r="56" spans="1:5" ht="45.75" customHeight="1" thickBot="1">
      <c r="A56" s="236">
        <v>53</v>
      </c>
      <c r="B56" s="237" t="s">
        <v>262</v>
      </c>
      <c r="C56" s="236" t="s">
        <v>668</v>
      </c>
      <c r="D56" s="291">
        <v>74000</v>
      </c>
      <c r="E56" s="239"/>
    </row>
    <row r="57" spans="1:5" ht="45.75" customHeight="1" thickBot="1">
      <c r="A57" s="236">
        <v>54</v>
      </c>
      <c r="B57" s="237" t="s">
        <v>39</v>
      </c>
      <c r="C57" s="236" t="s">
        <v>668</v>
      </c>
      <c r="D57" s="291">
        <v>242000</v>
      </c>
      <c r="E57" s="239"/>
    </row>
    <row r="58" spans="1:5" ht="45.75" customHeight="1" thickBot="1">
      <c r="A58" s="236">
        <v>55</v>
      </c>
      <c r="B58" s="237" t="s">
        <v>31</v>
      </c>
      <c r="C58" s="236" t="s">
        <v>668</v>
      </c>
      <c r="D58" s="291">
        <v>30000</v>
      </c>
      <c r="E58" s="239"/>
    </row>
    <row r="59" spans="1:5" ht="45.75" customHeight="1" thickBot="1">
      <c r="A59" s="236">
        <v>56</v>
      </c>
      <c r="B59" s="237" t="s">
        <v>295</v>
      </c>
      <c r="C59" s="236" t="s">
        <v>668</v>
      </c>
      <c r="D59" s="291">
        <v>15000</v>
      </c>
      <c r="E59" s="239"/>
    </row>
    <row r="60" spans="1:5" ht="60.75" customHeight="1" thickBot="1">
      <c r="A60" s="236">
        <v>57</v>
      </c>
      <c r="B60" s="237" t="s">
        <v>435</v>
      </c>
      <c r="C60" s="236" t="s">
        <v>668</v>
      </c>
      <c r="D60" s="291">
        <v>77000</v>
      </c>
      <c r="E60" s="239"/>
    </row>
    <row r="61" spans="1:5" ht="45.75" hidden="1" customHeight="1" thickBot="1">
      <c r="A61" s="236">
        <v>58</v>
      </c>
      <c r="B61" s="237" t="s">
        <v>670</v>
      </c>
      <c r="C61" s="236" t="s">
        <v>668</v>
      </c>
      <c r="D61" s="238">
        <v>29000</v>
      </c>
      <c r="E61" s="239"/>
    </row>
    <row r="62" spans="1:5" ht="30.75" hidden="1" customHeight="1" thickBot="1">
      <c r="A62" s="236">
        <v>59</v>
      </c>
      <c r="B62" s="237" t="s">
        <v>671</v>
      </c>
      <c r="C62" s="236" t="s">
        <v>668</v>
      </c>
      <c r="D62" s="238">
        <v>29000</v>
      </c>
      <c r="E62" s="239"/>
    </row>
    <row r="63" spans="1:5" ht="45.75" hidden="1" customHeight="1" thickBot="1">
      <c r="A63" s="236">
        <v>60</v>
      </c>
      <c r="B63" s="237" t="s">
        <v>672</v>
      </c>
      <c r="C63" s="236" t="s">
        <v>668</v>
      </c>
      <c r="D63" s="238">
        <v>30000</v>
      </c>
      <c r="E63" s="239"/>
    </row>
    <row r="64" spans="1:5" ht="45.75" hidden="1" customHeight="1" thickBot="1">
      <c r="A64" s="236">
        <v>61</v>
      </c>
      <c r="B64" s="237" t="s">
        <v>673</v>
      </c>
      <c r="C64" s="236" t="s">
        <v>674</v>
      </c>
      <c r="D64" s="238">
        <v>252000</v>
      </c>
      <c r="E64" s="239"/>
    </row>
    <row r="65" spans="1:5" ht="30.75" customHeight="1" thickBot="1">
      <c r="A65" s="236">
        <v>62</v>
      </c>
      <c r="B65" s="237" t="s">
        <v>72</v>
      </c>
      <c r="C65" s="236" t="s">
        <v>674</v>
      </c>
      <c r="D65" s="291">
        <v>84000</v>
      </c>
      <c r="E65" s="239"/>
    </row>
    <row r="66" spans="1:5" ht="45.75" customHeight="1" thickBot="1">
      <c r="A66" s="236">
        <v>63</v>
      </c>
      <c r="B66" s="237" t="s">
        <v>76</v>
      </c>
      <c r="C66" s="236" t="s">
        <v>674</v>
      </c>
      <c r="D66" s="291">
        <v>126000</v>
      </c>
      <c r="E66" s="239"/>
    </row>
    <row r="67" spans="1:5" ht="30.75" customHeight="1" thickBot="1">
      <c r="A67" s="236">
        <v>64</v>
      </c>
      <c r="B67" s="237" t="s">
        <v>149</v>
      </c>
      <c r="C67" s="236" t="s">
        <v>674</v>
      </c>
      <c r="D67" s="291">
        <v>172000</v>
      </c>
      <c r="E67" s="239"/>
    </row>
    <row r="68" spans="1:5" ht="15.75" hidden="1" thickBot="1">
      <c r="A68" s="236">
        <v>65</v>
      </c>
      <c r="B68" s="237" t="s">
        <v>675</v>
      </c>
      <c r="C68" s="236" t="s">
        <v>674</v>
      </c>
      <c r="D68" s="238">
        <v>42000</v>
      </c>
      <c r="E68" s="239"/>
    </row>
    <row r="69" spans="1:5" ht="15.75" hidden="1" thickBot="1">
      <c r="A69" s="286" t="s">
        <v>676</v>
      </c>
      <c r="B69" s="287"/>
      <c r="C69" s="241"/>
      <c r="D69" s="242">
        <v>7168000</v>
      </c>
      <c r="E69" s="243"/>
    </row>
    <row r="70" spans="1:5" hidden="1">
      <c r="A70" s="244" t="s">
        <v>677</v>
      </c>
    </row>
    <row r="71" spans="1:5" ht="15.75">
      <c r="A71" s="245"/>
      <c r="B71" s="247"/>
    </row>
    <row r="72" spans="1:5" ht="16.5">
      <c r="A72" s="246"/>
      <c r="B72" s="248"/>
    </row>
    <row r="73" spans="1:5">
      <c r="A73" s="249"/>
    </row>
    <row r="74" spans="1:5" ht="16.5">
      <c r="A74" s="123" t="s">
        <v>678</v>
      </c>
    </row>
    <row r="75" spans="1:5">
      <c r="A75" s="251"/>
    </row>
    <row r="76" spans="1:5" ht="15.75">
      <c r="A76" s="205" t="s">
        <v>679</v>
      </c>
    </row>
    <row r="77" spans="1:5" ht="15.75">
      <c r="A77" s="232" t="s">
        <v>680</v>
      </c>
    </row>
    <row r="78" spans="1:5" ht="17.25" thickBot="1">
      <c r="A78" s="250"/>
    </row>
    <row r="79" spans="1:5" ht="63.75" customHeight="1" thickBot="1">
      <c r="A79" s="252" t="s">
        <v>0</v>
      </c>
      <c r="B79" s="253" t="s">
        <v>121</v>
      </c>
      <c r="C79" s="253" t="s">
        <v>632</v>
      </c>
      <c r="D79" s="253" t="s">
        <v>633</v>
      </c>
      <c r="E79" s="254" t="s">
        <v>634</v>
      </c>
    </row>
    <row r="80" spans="1:5" ht="48" customHeight="1" thickBot="1">
      <c r="A80" s="255">
        <v>1</v>
      </c>
      <c r="B80" s="256" t="s">
        <v>210</v>
      </c>
      <c r="C80" s="255" t="s">
        <v>636</v>
      </c>
      <c r="D80" s="257">
        <v>150000</v>
      </c>
      <c r="E80" s="258"/>
    </row>
    <row r="81" spans="1:5" ht="48" customHeight="1" thickBot="1">
      <c r="A81" s="255">
        <v>2</v>
      </c>
      <c r="B81" s="256" t="s">
        <v>96</v>
      </c>
      <c r="C81" s="255" t="s">
        <v>636</v>
      </c>
      <c r="D81" s="257">
        <v>30000</v>
      </c>
      <c r="E81" s="258"/>
    </row>
    <row r="82" spans="1:5" ht="48" customHeight="1" thickBot="1">
      <c r="A82" s="255">
        <v>3</v>
      </c>
      <c r="B82" s="256" t="s">
        <v>94</v>
      </c>
      <c r="C82" s="255" t="s">
        <v>642</v>
      </c>
      <c r="D82" s="257">
        <v>30000</v>
      </c>
      <c r="E82" s="258"/>
    </row>
    <row r="83" spans="1:5" ht="48" customHeight="1" thickBot="1">
      <c r="A83" s="255">
        <v>4</v>
      </c>
      <c r="B83" s="256" t="s">
        <v>681</v>
      </c>
      <c r="C83" s="255" t="s">
        <v>642</v>
      </c>
      <c r="D83" s="257">
        <v>120000</v>
      </c>
      <c r="E83" s="258"/>
    </row>
    <row r="84" spans="1:5" ht="32.25" customHeight="1" thickBot="1">
      <c r="A84" s="255">
        <v>5</v>
      </c>
      <c r="B84" s="256" t="s">
        <v>153</v>
      </c>
      <c r="C84" s="255" t="s">
        <v>642</v>
      </c>
      <c r="D84" s="257">
        <v>60000</v>
      </c>
      <c r="E84" s="258"/>
    </row>
    <row r="85" spans="1:5" ht="48" customHeight="1" thickBot="1">
      <c r="A85" s="255">
        <v>6</v>
      </c>
      <c r="B85" s="256" t="s">
        <v>682</v>
      </c>
      <c r="C85" s="255" t="s">
        <v>642</v>
      </c>
      <c r="D85" s="257">
        <v>30000</v>
      </c>
      <c r="E85" s="258"/>
    </row>
    <row r="86" spans="1:5" ht="48" customHeight="1" thickBot="1">
      <c r="A86" s="255">
        <v>7</v>
      </c>
      <c r="B86" s="256" t="s">
        <v>683</v>
      </c>
      <c r="C86" s="255" t="s">
        <v>646</v>
      </c>
      <c r="D86" s="257">
        <v>150000</v>
      </c>
      <c r="E86" s="258"/>
    </row>
    <row r="87" spans="1:5" ht="48" customHeight="1" thickBot="1">
      <c r="A87" s="255">
        <v>8</v>
      </c>
      <c r="B87" s="256" t="s">
        <v>684</v>
      </c>
      <c r="C87" s="255" t="s">
        <v>649</v>
      </c>
      <c r="D87" s="257">
        <v>360000</v>
      </c>
      <c r="E87" s="258"/>
    </row>
    <row r="88" spans="1:5" ht="48" customHeight="1" thickBot="1">
      <c r="A88" s="255">
        <v>9</v>
      </c>
      <c r="B88" s="256" t="s">
        <v>685</v>
      </c>
      <c r="C88" s="255" t="s">
        <v>649</v>
      </c>
      <c r="D88" s="257">
        <v>60000</v>
      </c>
      <c r="E88" s="258"/>
    </row>
    <row r="89" spans="1:5" ht="48" customHeight="1" thickBot="1">
      <c r="A89" s="255">
        <v>10</v>
      </c>
      <c r="B89" s="256" t="s">
        <v>686</v>
      </c>
      <c r="C89" s="255" t="s">
        <v>649</v>
      </c>
      <c r="D89" s="257">
        <v>270000</v>
      </c>
      <c r="E89" s="258"/>
    </row>
    <row r="90" spans="1:5" ht="48" customHeight="1" thickBot="1">
      <c r="A90" s="255">
        <v>11</v>
      </c>
      <c r="B90" s="256" t="s">
        <v>687</v>
      </c>
      <c r="C90" s="255" t="s">
        <v>649</v>
      </c>
      <c r="D90" s="257">
        <v>90000</v>
      </c>
      <c r="E90" s="258"/>
    </row>
    <row r="91" spans="1:5" ht="16.5" thickBot="1">
      <c r="A91" s="255">
        <v>12</v>
      </c>
      <c r="B91" s="256" t="s">
        <v>91</v>
      </c>
      <c r="C91" s="255" t="s">
        <v>650</v>
      </c>
      <c r="D91" s="257">
        <v>60000</v>
      </c>
      <c r="E91" s="258"/>
    </row>
    <row r="92" spans="1:5" ht="32.25" customHeight="1" thickBot="1">
      <c r="A92" s="255">
        <v>13</v>
      </c>
      <c r="B92" s="256" t="s">
        <v>688</v>
      </c>
      <c r="C92" s="255" t="s">
        <v>650</v>
      </c>
      <c r="D92" s="257">
        <v>210000</v>
      </c>
      <c r="E92" s="258"/>
    </row>
    <row r="93" spans="1:5" ht="32.25" customHeight="1" thickBot="1">
      <c r="A93" s="255">
        <v>14</v>
      </c>
      <c r="B93" s="256" t="s">
        <v>651</v>
      </c>
      <c r="C93" s="255" t="s">
        <v>650</v>
      </c>
      <c r="D93" s="257">
        <v>240000</v>
      </c>
      <c r="E93" s="258"/>
    </row>
    <row r="94" spans="1:5" ht="16.5" thickBot="1">
      <c r="A94" s="255">
        <v>15</v>
      </c>
      <c r="B94" s="256" t="s">
        <v>652</v>
      </c>
      <c r="C94" s="255" t="s">
        <v>650</v>
      </c>
      <c r="D94" s="257">
        <v>180000</v>
      </c>
      <c r="E94" s="258"/>
    </row>
    <row r="95" spans="1:5" ht="48" customHeight="1" thickBot="1">
      <c r="A95" s="255">
        <v>16</v>
      </c>
      <c r="B95" s="256" t="s">
        <v>269</v>
      </c>
      <c r="C95" s="255" t="s">
        <v>650</v>
      </c>
      <c r="D95" s="257">
        <v>120000</v>
      </c>
      <c r="E95" s="258"/>
    </row>
    <row r="96" spans="1:5" ht="32.25" customHeight="1" thickBot="1">
      <c r="A96" s="255">
        <v>17</v>
      </c>
      <c r="B96" s="256" t="s">
        <v>151</v>
      </c>
      <c r="C96" s="255" t="s">
        <v>653</v>
      </c>
      <c r="D96" s="257">
        <v>30000</v>
      </c>
      <c r="E96" s="258"/>
    </row>
    <row r="97" spans="1:5" ht="32.25" customHeight="1" thickBot="1">
      <c r="A97" s="255">
        <v>18</v>
      </c>
      <c r="B97" s="256" t="s">
        <v>655</v>
      </c>
      <c r="C97" s="255" t="s">
        <v>653</v>
      </c>
      <c r="D97" s="257">
        <v>30000</v>
      </c>
      <c r="E97" s="258"/>
    </row>
    <row r="98" spans="1:5" ht="48" customHeight="1" thickBot="1">
      <c r="A98" s="255">
        <v>19</v>
      </c>
      <c r="B98" s="256" t="s">
        <v>689</v>
      </c>
      <c r="C98" s="255" t="s">
        <v>653</v>
      </c>
      <c r="D98" s="257">
        <v>30000</v>
      </c>
      <c r="E98" s="258"/>
    </row>
    <row r="99" spans="1:5" ht="32.25" customHeight="1" thickBot="1">
      <c r="A99" s="255">
        <v>20</v>
      </c>
      <c r="B99" s="256" t="s">
        <v>147</v>
      </c>
      <c r="C99" s="255" t="s">
        <v>653</v>
      </c>
      <c r="D99" s="257">
        <v>180000</v>
      </c>
      <c r="E99" s="258"/>
    </row>
    <row r="100" spans="1:5" ht="48" customHeight="1" thickBot="1">
      <c r="A100" s="255">
        <v>21</v>
      </c>
      <c r="B100" s="256" t="s">
        <v>60</v>
      </c>
      <c r="C100" s="255" t="s">
        <v>653</v>
      </c>
      <c r="D100" s="257">
        <v>150000</v>
      </c>
      <c r="E100" s="258"/>
    </row>
    <row r="101" spans="1:5" ht="48" customHeight="1" thickBot="1">
      <c r="A101" s="255">
        <v>22</v>
      </c>
      <c r="B101" s="256" t="s">
        <v>690</v>
      </c>
      <c r="C101" s="255" t="s">
        <v>653</v>
      </c>
      <c r="D101" s="257">
        <v>30000</v>
      </c>
      <c r="E101" s="258"/>
    </row>
    <row r="102" spans="1:5" ht="48" customHeight="1" thickBot="1">
      <c r="A102" s="255">
        <v>23</v>
      </c>
      <c r="B102" s="256" t="s">
        <v>691</v>
      </c>
      <c r="C102" s="255" t="s">
        <v>668</v>
      </c>
      <c r="D102" s="257">
        <v>30000</v>
      </c>
      <c r="E102" s="258"/>
    </row>
    <row r="103" spans="1:5" ht="63.75" customHeight="1" thickBot="1">
      <c r="A103" s="255">
        <v>24</v>
      </c>
      <c r="B103" s="256" t="s">
        <v>692</v>
      </c>
      <c r="C103" s="255" t="s">
        <v>668</v>
      </c>
      <c r="D103" s="257">
        <v>120000</v>
      </c>
      <c r="E103" s="258"/>
    </row>
    <row r="104" spans="1:5" ht="48" customHeight="1" thickBot="1">
      <c r="A104" s="255">
        <v>25</v>
      </c>
      <c r="B104" s="256" t="s">
        <v>670</v>
      </c>
      <c r="C104" s="255" t="s">
        <v>668</v>
      </c>
      <c r="D104" s="257">
        <v>60000</v>
      </c>
      <c r="E104" s="258"/>
    </row>
    <row r="105" spans="1:5" ht="32.25" customHeight="1" thickBot="1">
      <c r="A105" s="255">
        <v>26</v>
      </c>
      <c r="B105" s="256" t="s">
        <v>693</v>
      </c>
      <c r="C105" s="255" t="s">
        <v>668</v>
      </c>
      <c r="D105" s="257">
        <v>180000</v>
      </c>
      <c r="E105" s="258"/>
    </row>
    <row r="106" spans="1:5" ht="48" customHeight="1" thickBot="1">
      <c r="A106" s="255">
        <v>27</v>
      </c>
      <c r="B106" s="256" t="s">
        <v>672</v>
      </c>
      <c r="C106" s="255" t="s">
        <v>668</v>
      </c>
      <c r="D106" s="257">
        <v>150000</v>
      </c>
      <c r="E106" s="258"/>
    </row>
    <row r="107" spans="1:5" ht="48" customHeight="1" thickBot="1">
      <c r="A107" s="255">
        <v>28</v>
      </c>
      <c r="B107" s="256" t="s">
        <v>694</v>
      </c>
      <c r="C107" s="255" t="s">
        <v>668</v>
      </c>
      <c r="D107" s="257">
        <v>30000</v>
      </c>
      <c r="E107" s="258"/>
    </row>
    <row r="108" spans="1:5" ht="48" customHeight="1" thickBot="1">
      <c r="A108" s="255">
        <v>29</v>
      </c>
      <c r="B108" s="256" t="s">
        <v>76</v>
      </c>
      <c r="C108" s="255" t="s">
        <v>674</v>
      </c>
      <c r="D108" s="257">
        <v>210000</v>
      </c>
      <c r="E108" s="258"/>
    </row>
    <row r="109" spans="1:5" ht="16.5" thickBot="1">
      <c r="A109" s="255">
        <v>30</v>
      </c>
      <c r="B109" s="256" t="s">
        <v>149</v>
      </c>
      <c r="C109" s="255" t="s">
        <v>674</v>
      </c>
      <c r="D109" s="257">
        <v>120000</v>
      </c>
      <c r="E109" s="258"/>
    </row>
    <row r="110" spans="1:5" ht="16.5" thickBot="1">
      <c r="A110" s="288" t="s">
        <v>676</v>
      </c>
      <c r="B110" s="289"/>
      <c r="C110" s="260"/>
      <c r="D110" s="261">
        <v>3510000</v>
      </c>
      <c r="E110" s="262"/>
    </row>
    <row r="111" spans="1:5">
      <c r="A111" s="244" t="s">
        <v>695</v>
      </c>
    </row>
    <row r="112" spans="1:5">
      <c r="A112" s="263"/>
    </row>
    <row r="113" spans="1:5" ht="16.5">
      <c r="A113" s="246"/>
      <c r="B113" s="248"/>
    </row>
    <row r="114" spans="1:5" ht="15.75">
      <c r="A114" s="205" t="s">
        <v>696</v>
      </c>
    </row>
    <row r="115" spans="1:5" ht="15.75">
      <c r="A115" s="205" t="s">
        <v>697</v>
      </c>
    </row>
    <row r="116" spans="1:5" ht="15.75">
      <c r="A116" s="205" t="s">
        <v>698</v>
      </c>
    </row>
    <row r="117" spans="1:5" ht="15.75">
      <c r="A117" s="232" t="s">
        <v>631</v>
      </c>
    </row>
    <row r="118" spans="1:5" ht="15.75" thickBot="1">
      <c r="A118" s="264"/>
    </row>
    <row r="119" spans="1:5" ht="63.75" customHeight="1" thickBot="1">
      <c r="A119" s="265" t="s">
        <v>0</v>
      </c>
      <c r="B119" s="266" t="s">
        <v>121</v>
      </c>
      <c r="C119" s="265" t="s">
        <v>632</v>
      </c>
      <c r="D119" s="266" t="s">
        <v>633</v>
      </c>
      <c r="E119" s="267" t="s">
        <v>699</v>
      </c>
    </row>
    <row r="120" spans="1:5" ht="45.75" customHeight="1" thickBot="1">
      <c r="A120" s="268">
        <v>1</v>
      </c>
      <c r="B120" s="269" t="s">
        <v>665</v>
      </c>
      <c r="C120" s="270" t="s">
        <v>661</v>
      </c>
      <c r="D120" s="271">
        <v>200000</v>
      </c>
      <c r="E120" s="272" t="s">
        <v>700</v>
      </c>
    </row>
    <row r="121" spans="1:5" ht="30.75" customHeight="1" thickBot="1">
      <c r="A121" s="273">
        <v>2</v>
      </c>
      <c r="B121" s="237" t="s">
        <v>147</v>
      </c>
      <c r="C121" s="236" t="s">
        <v>653</v>
      </c>
      <c r="D121" s="274">
        <v>200000</v>
      </c>
      <c r="E121" s="275" t="s">
        <v>700</v>
      </c>
    </row>
    <row r="122" spans="1:5" ht="45.75" customHeight="1" thickBot="1">
      <c r="A122" s="273">
        <v>3</v>
      </c>
      <c r="B122" s="237" t="s">
        <v>39</v>
      </c>
      <c r="C122" s="236" t="s">
        <v>668</v>
      </c>
      <c r="D122" s="274">
        <v>150000</v>
      </c>
      <c r="E122" s="275" t="s">
        <v>701</v>
      </c>
    </row>
    <row r="123" spans="1:5" ht="45.75" customHeight="1" thickBot="1">
      <c r="A123" s="273">
        <v>4</v>
      </c>
      <c r="B123" s="237" t="s">
        <v>687</v>
      </c>
      <c r="C123" s="236" t="s">
        <v>649</v>
      </c>
      <c r="D123" s="274">
        <v>150000</v>
      </c>
      <c r="E123" s="275" t="s">
        <v>701</v>
      </c>
    </row>
    <row r="124" spans="1:5" ht="16.5" thickBot="1">
      <c r="A124" s="273">
        <v>5</v>
      </c>
      <c r="B124" s="237" t="s">
        <v>76</v>
      </c>
      <c r="C124" s="236" t="s">
        <v>674</v>
      </c>
      <c r="D124" s="274">
        <v>100000</v>
      </c>
      <c r="E124" s="275" t="s">
        <v>702</v>
      </c>
    </row>
    <row r="125" spans="1:5" ht="17.25" thickBot="1">
      <c r="A125" s="288" t="s">
        <v>676</v>
      </c>
      <c r="B125" s="289"/>
      <c r="C125" s="259"/>
      <c r="D125" s="276">
        <v>800</v>
      </c>
      <c r="E125" s="277"/>
    </row>
    <row r="126" spans="1:5">
      <c r="A126" s="244" t="s">
        <v>703</v>
      </c>
    </row>
    <row r="127" spans="1:5">
      <c r="A127" s="244"/>
    </row>
    <row r="128" spans="1:5" ht="16.5">
      <c r="A128" s="246"/>
      <c r="B128" s="248"/>
    </row>
    <row r="129" spans="1:4" ht="15.75">
      <c r="A129" s="205" t="s">
        <v>704</v>
      </c>
    </row>
    <row r="130" spans="1:4" ht="15.75">
      <c r="A130" s="205" t="s">
        <v>697</v>
      </c>
    </row>
    <row r="131" spans="1:4" ht="15.75">
      <c r="A131" s="205" t="s">
        <v>705</v>
      </c>
    </row>
    <row r="132" spans="1:4" ht="15.75">
      <c r="A132" s="232" t="s">
        <v>631</v>
      </c>
    </row>
    <row r="133" spans="1:4" ht="17.25" thickBot="1">
      <c r="A133" s="250"/>
    </row>
    <row r="134" spans="1:4" ht="63.75" customHeight="1" thickBot="1">
      <c r="A134" s="265" t="s">
        <v>0</v>
      </c>
      <c r="B134" s="266" t="s">
        <v>632</v>
      </c>
      <c r="C134" s="266" t="s">
        <v>633</v>
      </c>
      <c r="D134" s="267" t="s">
        <v>699</v>
      </c>
    </row>
    <row r="135" spans="1:4" ht="45.75" customHeight="1" thickBot="1">
      <c r="A135" s="278">
        <v>1</v>
      </c>
      <c r="B135" s="269" t="s">
        <v>706</v>
      </c>
      <c r="C135" s="279" t="s">
        <v>707</v>
      </c>
      <c r="D135" s="280"/>
    </row>
    <row r="136" spans="1:4" ht="60.75" customHeight="1" thickBot="1">
      <c r="A136" s="240">
        <v>2</v>
      </c>
      <c r="B136" s="237" t="s">
        <v>708</v>
      </c>
      <c r="C136" s="281" t="s">
        <v>707</v>
      </c>
      <c r="D136" s="282"/>
    </row>
    <row r="137" spans="1:4" ht="30.75" thickBot="1">
      <c r="A137" s="255">
        <v>3</v>
      </c>
      <c r="B137" s="237" t="s">
        <v>709</v>
      </c>
      <c r="C137" s="281" t="s">
        <v>707</v>
      </c>
      <c r="D137" s="282"/>
    </row>
    <row r="138" spans="1:4" ht="16.5" thickBot="1">
      <c r="A138" s="288" t="s">
        <v>676</v>
      </c>
      <c r="B138" s="289"/>
      <c r="C138" s="283" t="s">
        <v>710</v>
      </c>
      <c r="D138" s="277"/>
    </row>
    <row r="139" spans="1:4">
      <c r="A139" s="244" t="s">
        <v>711</v>
      </c>
    </row>
    <row r="140" spans="1:4">
      <c r="A140" s="244"/>
    </row>
    <row r="141" spans="1:4">
      <c r="A141" s="284"/>
    </row>
    <row r="142" spans="1:4">
      <c r="A142" s="285"/>
    </row>
  </sheetData>
  <autoFilter ref="A3:E70">
    <filterColumn colId="1">
      <filters>
        <filter val="Bùi Tấn Đạt"/>
        <filter val="Đào Thị Vỏi"/>
        <filter val="Đoàn Thị Như Ý"/>
        <filter val="Dương Thị Kim Thoa"/>
        <filter val="Hồ Thanh Liêm"/>
        <filter val="Lê Thanh Quyên"/>
        <filter val="Lê Thị Hồng Nhung"/>
        <filter val="Lê Thị Kim Loan"/>
        <filter val="Lê Thị Linh Phương"/>
        <filter val="Lê Văn Giàu"/>
        <filter val="Lữ Thị Tuyết Loan"/>
        <filter val="Mai Thị Thùy"/>
        <filter val="Nguyễn Hữu Nhân"/>
        <filter val="Nguyễn Hữu Trọng"/>
        <filter val="Nguyễn Lê Nguyệt Lâm"/>
        <filter val="Nguyễn Lê Thanh"/>
        <filter val="Nguyễn Thanh Hằng"/>
        <filter val="Nguyễn Thành Long"/>
        <filter val="Nguyễn Thị Ngọc Diệp"/>
        <filter val="Nguyễn Thị Ngọc Hằng"/>
        <filter val="Nguyễn Thị Thu Lan"/>
        <filter val="Nguyễn Thị Trúc Mai"/>
        <filter val="Nguyễn Thị Xuân Lan"/>
        <filter val="Nguyễn Văn Thanh Bình"/>
        <filter val="Phan Nguyễn Lan Phương"/>
        <filter val="Phan Thành Hiếu"/>
        <filter val="Phan Thị Mỹ Hảo"/>
        <filter val="Phan Trần Đức Ngân"/>
        <filter val="Trần Thị Bé Muội"/>
        <filter val="Trần Văn Cảnh"/>
        <filter val="Võ Ngọc Thảo"/>
        <filter val="Võ Thị Thiên Kiều"/>
        <filter val="Võ Thị Tuyết Vân"/>
      </filters>
    </filterColumn>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workbookViewId="0">
      <selection activeCell="G23" sqref="G23"/>
    </sheetView>
  </sheetViews>
  <sheetFormatPr defaultRowHeight="15"/>
  <cols>
    <col min="1" max="1" width="9.140625" customWidth="1"/>
    <col min="2" max="2" width="22.140625" customWidth="1"/>
    <col min="3" max="3" width="9.140625" customWidth="1"/>
    <col min="4" max="4" width="20.42578125" customWidth="1"/>
    <col min="7" max="7" width="11.5703125" bestFit="1" customWidth="1"/>
  </cols>
  <sheetData>
    <row r="1" spans="1:7" ht="15.75">
      <c r="A1" s="205" t="s">
        <v>712</v>
      </c>
    </row>
    <row r="2" spans="1:7" ht="15.75">
      <c r="A2" s="232" t="s">
        <v>713</v>
      </c>
    </row>
    <row r="3" spans="1:7" ht="17.25" thickBot="1">
      <c r="A3" s="250"/>
    </row>
    <row r="4" spans="1:7" ht="57.75" customHeight="1" thickBot="1">
      <c r="A4" s="233" t="s">
        <v>0</v>
      </c>
      <c r="B4" s="234" t="s">
        <v>121</v>
      </c>
      <c r="C4" s="234" t="s">
        <v>632</v>
      </c>
      <c r="D4" s="234" t="s">
        <v>633</v>
      </c>
      <c r="E4" s="235" t="s">
        <v>634</v>
      </c>
    </row>
    <row r="5" spans="1:7" ht="45.75" customHeight="1" thickBot="1">
      <c r="A5" s="236">
        <v>1</v>
      </c>
      <c r="B5" s="237" t="s">
        <v>682</v>
      </c>
      <c r="C5" s="236" t="s">
        <v>642</v>
      </c>
      <c r="D5" s="292" t="s">
        <v>714</v>
      </c>
      <c r="E5" s="239"/>
      <c r="F5">
        <v>1000</v>
      </c>
      <c r="G5" s="116">
        <v>1200000</v>
      </c>
    </row>
    <row r="6" spans="1:7" ht="45.75" customHeight="1" thickBot="1">
      <c r="A6" s="236">
        <v>2</v>
      </c>
      <c r="B6" s="237" t="s">
        <v>169</v>
      </c>
      <c r="C6" s="236" t="s">
        <v>642</v>
      </c>
      <c r="D6" s="292">
        <v>300</v>
      </c>
      <c r="E6" s="239"/>
      <c r="F6">
        <v>1000</v>
      </c>
      <c r="G6" s="116">
        <f t="shared" ref="G6:G69" si="0">D6*F6</f>
        <v>300000</v>
      </c>
    </row>
    <row r="7" spans="1:7" ht="45.75" customHeight="1" thickBot="1">
      <c r="A7" s="236">
        <v>3</v>
      </c>
      <c r="B7" s="237" t="s">
        <v>681</v>
      </c>
      <c r="C7" s="236" t="s">
        <v>642</v>
      </c>
      <c r="D7" s="292">
        <v>450</v>
      </c>
      <c r="E7" s="239"/>
      <c r="F7">
        <v>1000</v>
      </c>
      <c r="G7" s="116">
        <f t="shared" si="0"/>
        <v>450000</v>
      </c>
    </row>
    <row r="8" spans="1:7" ht="45.75" customHeight="1" thickBot="1">
      <c r="A8" s="236">
        <v>4</v>
      </c>
      <c r="B8" s="237" t="s">
        <v>94</v>
      </c>
      <c r="C8" s="236" t="s">
        <v>642</v>
      </c>
      <c r="D8" s="292">
        <v>150</v>
      </c>
      <c r="E8" s="239"/>
      <c r="F8">
        <v>1000</v>
      </c>
      <c r="G8" s="116">
        <f t="shared" si="0"/>
        <v>150000</v>
      </c>
    </row>
    <row r="9" spans="1:7" ht="45.75" customHeight="1" thickBot="1">
      <c r="A9" s="236">
        <v>5</v>
      </c>
      <c r="B9" s="237" t="s">
        <v>715</v>
      </c>
      <c r="C9" s="236" t="s">
        <v>642</v>
      </c>
      <c r="D9" s="292">
        <v>150</v>
      </c>
      <c r="E9" s="239"/>
      <c r="F9">
        <v>1000</v>
      </c>
      <c r="G9" s="116">
        <f t="shared" si="0"/>
        <v>150000</v>
      </c>
    </row>
    <row r="10" spans="1:7" ht="45.75" customHeight="1" thickBot="1">
      <c r="A10" s="236">
        <v>6</v>
      </c>
      <c r="B10" s="237" t="s">
        <v>716</v>
      </c>
      <c r="C10" s="236" t="s">
        <v>642</v>
      </c>
      <c r="D10" s="292">
        <v>150</v>
      </c>
      <c r="E10" s="239"/>
      <c r="F10">
        <v>1000</v>
      </c>
      <c r="G10" s="116">
        <f t="shared" si="0"/>
        <v>150000</v>
      </c>
    </row>
    <row r="11" spans="1:7" ht="30.75" customHeight="1" thickBot="1">
      <c r="A11" s="236">
        <v>7</v>
      </c>
      <c r="B11" s="237" t="s">
        <v>153</v>
      </c>
      <c r="C11" s="236" t="s">
        <v>642</v>
      </c>
      <c r="D11" s="292">
        <v>900</v>
      </c>
      <c r="E11" s="239"/>
      <c r="F11">
        <v>1000</v>
      </c>
      <c r="G11" s="116">
        <f t="shared" si="0"/>
        <v>900000</v>
      </c>
    </row>
    <row r="12" spans="1:7" ht="45.75" customHeight="1" thickBot="1">
      <c r="A12" s="236">
        <v>8</v>
      </c>
      <c r="B12" s="237" t="s">
        <v>207</v>
      </c>
      <c r="C12" s="236" t="s">
        <v>642</v>
      </c>
      <c r="D12" s="292">
        <v>300</v>
      </c>
      <c r="E12" s="239"/>
      <c r="F12">
        <v>1000</v>
      </c>
      <c r="G12" s="116">
        <f t="shared" si="0"/>
        <v>300000</v>
      </c>
    </row>
    <row r="13" spans="1:7" ht="45.75" customHeight="1" thickBot="1">
      <c r="A13" s="236">
        <v>9</v>
      </c>
      <c r="B13" s="237" t="s">
        <v>210</v>
      </c>
      <c r="C13" s="236" t="s">
        <v>717</v>
      </c>
      <c r="D13" s="292">
        <v>450</v>
      </c>
      <c r="E13" s="239"/>
      <c r="F13">
        <v>1000</v>
      </c>
      <c r="G13" s="116">
        <f t="shared" si="0"/>
        <v>450000</v>
      </c>
    </row>
    <row r="14" spans="1:7" ht="45.75" customHeight="1" thickBot="1">
      <c r="A14" s="236">
        <v>10</v>
      </c>
      <c r="B14" s="237" t="s">
        <v>637</v>
      </c>
      <c r="C14" s="236" t="s">
        <v>717</v>
      </c>
      <c r="D14" s="292">
        <v>150</v>
      </c>
      <c r="E14" s="239"/>
      <c r="F14">
        <v>1000</v>
      </c>
      <c r="G14" s="116">
        <f t="shared" si="0"/>
        <v>150000</v>
      </c>
    </row>
    <row r="15" spans="1:7" ht="45.75" customHeight="1" thickBot="1">
      <c r="A15" s="236">
        <v>11</v>
      </c>
      <c r="B15" s="237" t="s">
        <v>96</v>
      </c>
      <c r="C15" s="236" t="s">
        <v>717</v>
      </c>
      <c r="D15" s="292">
        <v>300</v>
      </c>
      <c r="E15" s="239"/>
      <c r="F15">
        <v>1000</v>
      </c>
      <c r="G15" s="116">
        <f t="shared" si="0"/>
        <v>300000</v>
      </c>
    </row>
    <row r="16" spans="1:7" ht="45.75" customHeight="1" thickBot="1">
      <c r="A16" s="236">
        <v>12</v>
      </c>
      <c r="B16" s="237" t="s">
        <v>638</v>
      </c>
      <c r="C16" s="236" t="s">
        <v>717</v>
      </c>
      <c r="D16" s="292">
        <v>150</v>
      </c>
      <c r="E16" s="239"/>
      <c r="F16">
        <v>1000</v>
      </c>
      <c r="G16" s="116">
        <f t="shared" si="0"/>
        <v>150000</v>
      </c>
    </row>
    <row r="17" spans="1:7" ht="45.75" customHeight="1" thickBot="1">
      <c r="A17" s="236">
        <v>13</v>
      </c>
      <c r="B17" s="237" t="s">
        <v>106</v>
      </c>
      <c r="C17" s="236" t="s">
        <v>717</v>
      </c>
      <c r="D17" s="292">
        <v>300</v>
      </c>
      <c r="E17" s="239"/>
      <c r="F17">
        <v>1000</v>
      </c>
      <c r="G17" s="116">
        <f t="shared" si="0"/>
        <v>300000</v>
      </c>
    </row>
    <row r="18" spans="1:7" ht="45.75" customHeight="1" thickBot="1">
      <c r="A18" s="236">
        <v>14</v>
      </c>
      <c r="B18" s="237" t="s">
        <v>641</v>
      </c>
      <c r="C18" s="236" t="s">
        <v>717</v>
      </c>
      <c r="D18" s="292">
        <v>300</v>
      </c>
      <c r="E18" s="239"/>
      <c r="F18">
        <v>1000</v>
      </c>
      <c r="G18" s="116">
        <f t="shared" si="0"/>
        <v>300000</v>
      </c>
    </row>
    <row r="19" spans="1:7" ht="30.75" customHeight="1" thickBot="1">
      <c r="A19" s="236">
        <v>15</v>
      </c>
      <c r="B19" s="237" t="s">
        <v>639</v>
      </c>
      <c r="C19" s="236" t="s">
        <v>717</v>
      </c>
      <c r="D19" s="292">
        <v>750</v>
      </c>
      <c r="E19" s="239"/>
      <c r="F19">
        <v>1000</v>
      </c>
      <c r="G19" s="116">
        <f t="shared" si="0"/>
        <v>750000</v>
      </c>
    </row>
    <row r="20" spans="1:7" ht="30.75" customHeight="1" thickBot="1">
      <c r="A20" s="236">
        <v>16</v>
      </c>
      <c r="B20" s="237" t="s">
        <v>640</v>
      </c>
      <c r="C20" s="236" t="s">
        <v>717</v>
      </c>
      <c r="D20" s="292">
        <v>300</v>
      </c>
      <c r="E20" s="239"/>
      <c r="F20">
        <v>1000</v>
      </c>
      <c r="G20" s="116">
        <f t="shared" si="0"/>
        <v>300000</v>
      </c>
    </row>
    <row r="21" spans="1:7" ht="45.75" customHeight="1" thickBot="1">
      <c r="A21" s="236">
        <v>17</v>
      </c>
      <c r="B21" s="237" t="s">
        <v>685</v>
      </c>
      <c r="C21" s="236" t="s">
        <v>649</v>
      </c>
      <c r="D21" s="292" t="s">
        <v>718</v>
      </c>
      <c r="E21" s="239"/>
      <c r="F21">
        <v>1000</v>
      </c>
      <c r="G21" s="116">
        <v>2850000</v>
      </c>
    </row>
    <row r="22" spans="1:7" ht="45.75" customHeight="1" thickBot="1">
      <c r="A22" s="236">
        <v>18</v>
      </c>
      <c r="B22" s="237" t="s">
        <v>686</v>
      </c>
      <c r="C22" s="236" t="s">
        <v>649</v>
      </c>
      <c r="D22" s="292" t="s">
        <v>719</v>
      </c>
      <c r="E22" s="239"/>
      <c r="F22">
        <v>1000</v>
      </c>
      <c r="G22" s="116">
        <v>1800000</v>
      </c>
    </row>
    <row r="23" spans="1:7" ht="30.75" customHeight="1" thickBot="1">
      <c r="A23" s="236">
        <v>19</v>
      </c>
      <c r="B23" s="237" t="s">
        <v>221</v>
      </c>
      <c r="C23" s="236" t="s">
        <v>649</v>
      </c>
      <c r="D23" s="292">
        <v>150</v>
      </c>
      <c r="E23" s="239"/>
      <c r="F23">
        <v>1000</v>
      </c>
      <c r="G23" s="116">
        <f t="shared" si="0"/>
        <v>150000</v>
      </c>
    </row>
    <row r="24" spans="1:7" ht="30.75" customHeight="1" thickBot="1">
      <c r="A24" s="236">
        <v>20</v>
      </c>
      <c r="B24" s="237" t="s">
        <v>152</v>
      </c>
      <c r="C24" s="236" t="s">
        <v>649</v>
      </c>
      <c r="D24" s="292">
        <v>150</v>
      </c>
      <c r="E24" s="239"/>
      <c r="F24">
        <v>1000</v>
      </c>
      <c r="G24" s="116">
        <f t="shared" si="0"/>
        <v>150000</v>
      </c>
    </row>
    <row r="25" spans="1:7" ht="45.75" customHeight="1" thickBot="1">
      <c r="A25" s="236">
        <v>21</v>
      </c>
      <c r="B25" s="237" t="s">
        <v>687</v>
      </c>
      <c r="C25" s="236" t="s">
        <v>649</v>
      </c>
      <c r="D25" s="292" t="s">
        <v>720</v>
      </c>
      <c r="E25" s="239"/>
      <c r="F25">
        <v>1000</v>
      </c>
      <c r="G25" s="116">
        <v>1650000</v>
      </c>
    </row>
    <row r="26" spans="1:7" ht="45.75" customHeight="1" thickBot="1">
      <c r="A26" s="236">
        <v>22</v>
      </c>
      <c r="B26" s="237" t="s">
        <v>684</v>
      </c>
      <c r="C26" s="236" t="s">
        <v>649</v>
      </c>
      <c r="D26" s="292" t="s">
        <v>719</v>
      </c>
      <c r="E26" s="239"/>
      <c r="F26">
        <v>1000</v>
      </c>
      <c r="G26" s="116">
        <v>1800000</v>
      </c>
    </row>
    <row r="27" spans="1:7" ht="30.75" customHeight="1" thickBot="1">
      <c r="A27" s="236">
        <v>23</v>
      </c>
      <c r="B27" s="237" t="s">
        <v>187</v>
      </c>
      <c r="C27" s="236" t="s">
        <v>649</v>
      </c>
      <c r="D27" s="292">
        <v>150</v>
      </c>
      <c r="E27" s="239"/>
      <c r="F27">
        <v>1000</v>
      </c>
      <c r="G27" s="116">
        <f t="shared" si="0"/>
        <v>150000</v>
      </c>
    </row>
    <row r="28" spans="1:7" ht="45.75" customHeight="1" thickBot="1">
      <c r="A28" s="236">
        <v>24</v>
      </c>
      <c r="B28" s="237" t="s">
        <v>78</v>
      </c>
      <c r="C28" s="236" t="s">
        <v>649</v>
      </c>
      <c r="D28" s="292">
        <v>150</v>
      </c>
      <c r="E28" s="239"/>
      <c r="F28">
        <v>1000</v>
      </c>
      <c r="G28" s="116">
        <f t="shared" si="0"/>
        <v>150000</v>
      </c>
    </row>
    <row r="29" spans="1:7" ht="45.75" customHeight="1" thickBot="1">
      <c r="A29" s="236">
        <v>25</v>
      </c>
      <c r="B29" s="237" t="s">
        <v>205</v>
      </c>
      <c r="C29" s="236" t="s">
        <v>649</v>
      </c>
      <c r="D29" s="292">
        <v>900</v>
      </c>
      <c r="E29" s="239"/>
      <c r="F29">
        <v>1000</v>
      </c>
      <c r="G29" s="116">
        <f t="shared" si="0"/>
        <v>900000</v>
      </c>
    </row>
    <row r="30" spans="1:7" ht="45.75" customHeight="1" thickBot="1">
      <c r="A30" s="236">
        <v>26</v>
      </c>
      <c r="B30" s="237" t="s">
        <v>721</v>
      </c>
      <c r="C30" s="236" t="s">
        <v>649</v>
      </c>
      <c r="D30" s="292">
        <v>300</v>
      </c>
      <c r="E30" s="239"/>
      <c r="F30">
        <v>1000</v>
      </c>
      <c r="G30" s="116">
        <f t="shared" si="0"/>
        <v>300000</v>
      </c>
    </row>
    <row r="31" spans="1:7" ht="45.75" customHeight="1" thickBot="1">
      <c r="A31" s="236">
        <v>27</v>
      </c>
      <c r="B31" s="237" t="s">
        <v>168</v>
      </c>
      <c r="C31" s="236" t="s">
        <v>646</v>
      </c>
      <c r="D31" s="292">
        <v>150</v>
      </c>
      <c r="E31" s="239"/>
      <c r="F31">
        <v>1000</v>
      </c>
      <c r="G31" s="116">
        <f t="shared" si="0"/>
        <v>150000</v>
      </c>
    </row>
    <row r="32" spans="1:7" ht="45.75" customHeight="1" thickBot="1">
      <c r="A32" s="236">
        <v>28</v>
      </c>
      <c r="B32" s="237" t="s">
        <v>722</v>
      </c>
      <c r="C32" s="236" t="s">
        <v>646</v>
      </c>
      <c r="D32" s="292">
        <v>750</v>
      </c>
      <c r="E32" s="239"/>
      <c r="F32">
        <v>1000</v>
      </c>
      <c r="G32" s="116">
        <f t="shared" si="0"/>
        <v>750000</v>
      </c>
    </row>
    <row r="33" spans="1:7" ht="45.75" customHeight="1" thickBot="1">
      <c r="A33" s="236">
        <v>29</v>
      </c>
      <c r="B33" s="237" t="s">
        <v>148</v>
      </c>
      <c r="C33" s="236" t="s">
        <v>646</v>
      </c>
      <c r="D33" s="292">
        <v>450</v>
      </c>
      <c r="E33" s="239"/>
      <c r="F33">
        <v>1000</v>
      </c>
      <c r="G33" s="116">
        <f t="shared" si="0"/>
        <v>450000</v>
      </c>
    </row>
    <row r="34" spans="1:7" ht="30.75" customHeight="1" thickBot="1">
      <c r="A34" s="236">
        <v>30</v>
      </c>
      <c r="B34" s="237" t="s">
        <v>723</v>
      </c>
      <c r="C34" s="236" t="s">
        <v>646</v>
      </c>
      <c r="D34" s="292" t="s">
        <v>724</v>
      </c>
      <c r="E34" s="239"/>
      <c r="F34">
        <v>1000</v>
      </c>
      <c r="G34" s="116">
        <v>1050000</v>
      </c>
    </row>
    <row r="35" spans="1:7" ht="45.75" customHeight="1" thickBot="1">
      <c r="A35" s="236">
        <v>31</v>
      </c>
      <c r="B35" s="237" t="s">
        <v>647</v>
      </c>
      <c r="C35" s="236" t="s">
        <v>646</v>
      </c>
      <c r="D35" s="292">
        <v>600</v>
      </c>
      <c r="E35" s="239"/>
      <c r="F35">
        <v>1000</v>
      </c>
      <c r="G35" s="116">
        <f t="shared" si="0"/>
        <v>600000</v>
      </c>
    </row>
    <row r="36" spans="1:7" ht="45.75" customHeight="1" thickBot="1">
      <c r="A36" s="236">
        <v>32</v>
      </c>
      <c r="B36" s="237" t="s">
        <v>725</v>
      </c>
      <c r="C36" s="236" t="s">
        <v>646</v>
      </c>
      <c r="D36" s="292">
        <v>150</v>
      </c>
      <c r="E36" s="239"/>
      <c r="F36">
        <v>1000</v>
      </c>
      <c r="G36" s="116">
        <f t="shared" si="0"/>
        <v>150000</v>
      </c>
    </row>
    <row r="37" spans="1:7" ht="30.75" customHeight="1" thickBot="1">
      <c r="A37" s="236">
        <v>33</v>
      </c>
      <c r="B37" s="237" t="s">
        <v>652</v>
      </c>
      <c r="C37" s="236" t="s">
        <v>650</v>
      </c>
      <c r="D37" s="292" t="s">
        <v>726</v>
      </c>
      <c r="E37" s="239"/>
      <c r="F37">
        <v>1000</v>
      </c>
      <c r="G37" s="116">
        <v>1950000</v>
      </c>
    </row>
    <row r="38" spans="1:7" ht="45.75" customHeight="1" thickBot="1">
      <c r="A38" s="236">
        <v>34</v>
      </c>
      <c r="B38" s="237" t="s">
        <v>727</v>
      </c>
      <c r="C38" s="236" t="s">
        <v>650</v>
      </c>
      <c r="D38" s="292">
        <v>300</v>
      </c>
      <c r="E38" s="239"/>
      <c r="F38">
        <v>1000</v>
      </c>
      <c r="G38" s="116">
        <f t="shared" si="0"/>
        <v>300000</v>
      </c>
    </row>
    <row r="39" spans="1:7" ht="45.75" customHeight="1" thickBot="1">
      <c r="A39" s="236">
        <v>35</v>
      </c>
      <c r="B39" s="237" t="s">
        <v>269</v>
      </c>
      <c r="C39" s="236" t="s">
        <v>650</v>
      </c>
      <c r="D39" s="292" t="s">
        <v>724</v>
      </c>
      <c r="E39" s="239"/>
      <c r="F39">
        <v>1000</v>
      </c>
      <c r="G39" s="116">
        <v>1050000</v>
      </c>
    </row>
    <row r="40" spans="1:7" ht="30.75" customHeight="1" thickBot="1">
      <c r="A40" s="236">
        <v>36</v>
      </c>
      <c r="B40" s="237" t="s">
        <v>91</v>
      </c>
      <c r="C40" s="236" t="s">
        <v>650</v>
      </c>
      <c r="D40" s="292">
        <v>450</v>
      </c>
      <c r="E40" s="239"/>
      <c r="F40">
        <v>1000</v>
      </c>
      <c r="G40" s="116">
        <f t="shared" si="0"/>
        <v>450000</v>
      </c>
    </row>
    <row r="41" spans="1:7" ht="30.75" customHeight="1" thickBot="1">
      <c r="A41" s="236">
        <v>37</v>
      </c>
      <c r="B41" s="237" t="s">
        <v>651</v>
      </c>
      <c r="C41" s="236" t="s">
        <v>650</v>
      </c>
      <c r="D41" s="292" t="s">
        <v>720</v>
      </c>
      <c r="E41" s="239"/>
      <c r="F41">
        <v>1000</v>
      </c>
      <c r="G41" s="116">
        <v>1650000</v>
      </c>
    </row>
    <row r="42" spans="1:7" ht="30.75" customHeight="1" thickBot="1">
      <c r="A42" s="236">
        <v>38</v>
      </c>
      <c r="B42" s="237" t="s">
        <v>688</v>
      </c>
      <c r="C42" s="236" t="s">
        <v>650</v>
      </c>
      <c r="D42" s="292" t="s">
        <v>719</v>
      </c>
      <c r="E42" s="239"/>
      <c r="F42">
        <v>1000</v>
      </c>
      <c r="G42" s="116">
        <v>1800000</v>
      </c>
    </row>
    <row r="43" spans="1:7" ht="45.75" customHeight="1" thickBot="1">
      <c r="A43" s="236">
        <v>39</v>
      </c>
      <c r="B43" s="237" t="s">
        <v>728</v>
      </c>
      <c r="C43" s="236" t="s">
        <v>650</v>
      </c>
      <c r="D43" s="292">
        <v>300</v>
      </c>
      <c r="E43" s="239"/>
      <c r="F43">
        <v>1000</v>
      </c>
      <c r="G43" s="116">
        <f t="shared" si="0"/>
        <v>300000</v>
      </c>
    </row>
    <row r="44" spans="1:7" ht="30.75" customHeight="1" thickBot="1">
      <c r="A44" s="236">
        <v>40</v>
      </c>
      <c r="B44" s="237" t="s">
        <v>658</v>
      </c>
      <c r="C44" s="236" t="s">
        <v>653</v>
      </c>
      <c r="D44" s="292" t="s">
        <v>724</v>
      </c>
      <c r="E44" s="239"/>
      <c r="F44">
        <v>1000</v>
      </c>
      <c r="G44" s="116">
        <v>1050000</v>
      </c>
    </row>
    <row r="45" spans="1:7" ht="45.75" customHeight="1" thickBot="1">
      <c r="A45" s="236">
        <v>41</v>
      </c>
      <c r="B45" s="237" t="s">
        <v>689</v>
      </c>
      <c r="C45" s="236" t="s">
        <v>653</v>
      </c>
      <c r="D45" s="292" t="s">
        <v>729</v>
      </c>
      <c r="E45" s="239"/>
      <c r="F45">
        <v>1000</v>
      </c>
      <c r="G45" s="116">
        <v>1500000</v>
      </c>
    </row>
    <row r="46" spans="1:7" ht="30.75" customHeight="1" thickBot="1">
      <c r="A46" s="236">
        <v>42</v>
      </c>
      <c r="B46" s="237" t="s">
        <v>659</v>
      </c>
      <c r="C46" s="236" t="s">
        <v>653</v>
      </c>
      <c r="D46" s="292" t="s">
        <v>729</v>
      </c>
      <c r="E46" s="239"/>
      <c r="F46">
        <v>1000</v>
      </c>
      <c r="G46" s="116">
        <v>1500000</v>
      </c>
    </row>
    <row r="47" spans="1:7" ht="30.75" customHeight="1" thickBot="1">
      <c r="A47" s="236">
        <v>43</v>
      </c>
      <c r="B47" s="237" t="s">
        <v>147</v>
      </c>
      <c r="C47" s="236" t="s">
        <v>653</v>
      </c>
      <c r="D47" s="292">
        <v>750</v>
      </c>
      <c r="E47" s="239"/>
      <c r="F47">
        <v>1000</v>
      </c>
      <c r="G47" s="116">
        <f t="shared" si="0"/>
        <v>750000</v>
      </c>
    </row>
    <row r="48" spans="1:7" ht="45.75" customHeight="1" thickBot="1">
      <c r="A48" s="236">
        <v>44</v>
      </c>
      <c r="B48" s="237" t="s">
        <v>60</v>
      </c>
      <c r="C48" s="236" t="s">
        <v>653</v>
      </c>
      <c r="D48" s="292" t="s">
        <v>724</v>
      </c>
      <c r="E48" s="239"/>
      <c r="F48">
        <v>1000</v>
      </c>
      <c r="G48" s="116">
        <v>1050000</v>
      </c>
    </row>
    <row r="49" spans="1:7" ht="45.75" customHeight="1" thickBot="1">
      <c r="A49" s="236">
        <v>45</v>
      </c>
      <c r="B49" s="237" t="s">
        <v>690</v>
      </c>
      <c r="C49" s="236" t="s">
        <v>653</v>
      </c>
      <c r="D49" s="292">
        <v>600</v>
      </c>
      <c r="E49" s="239"/>
      <c r="F49">
        <v>1000</v>
      </c>
      <c r="G49" s="116">
        <f t="shared" si="0"/>
        <v>600000</v>
      </c>
    </row>
    <row r="50" spans="1:7" ht="45.75" customHeight="1" thickBot="1">
      <c r="A50" s="236">
        <v>46</v>
      </c>
      <c r="B50" s="237" t="s">
        <v>730</v>
      </c>
      <c r="C50" s="236" t="s">
        <v>653</v>
      </c>
      <c r="D50" s="292">
        <v>450</v>
      </c>
      <c r="E50" s="239"/>
      <c r="F50">
        <v>1000</v>
      </c>
      <c r="G50" s="116">
        <f t="shared" si="0"/>
        <v>450000</v>
      </c>
    </row>
    <row r="51" spans="1:7" ht="45.75" customHeight="1" thickBot="1">
      <c r="A51" s="236">
        <v>47</v>
      </c>
      <c r="B51" s="237" t="s">
        <v>52</v>
      </c>
      <c r="C51" s="236" t="s">
        <v>653</v>
      </c>
      <c r="D51" s="292">
        <v>300</v>
      </c>
      <c r="E51" s="239"/>
      <c r="F51">
        <v>1000</v>
      </c>
      <c r="G51" s="116">
        <f t="shared" si="0"/>
        <v>300000</v>
      </c>
    </row>
    <row r="52" spans="1:7" ht="30.75" customHeight="1" thickBot="1">
      <c r="A52" s="236">
        <v>48</v>
      </c>
      <c r="B52" s="237" t="s">
        <v>146</v>
      </c>
      <c r="C52" s="236" t="s">
        <v>653</v>
      </c>
      <c r="D52" s="292">
        <v>300</v>
      </c>
      <c r="E52" s="239"/>
      <c r="F52">
        <v>1000</v>
      </c>
      <c r="G52" s="116">
        <f t="shared" si="0"/>
        <v>300000</v>
      </c>
    </row>
    <row r="53" spans="1:7" ht="45.75" customHeight="1" thickBot="1">
      <c r="A53" s="236">
        <v>49</v>
      </c>
      <c r="B53" s="237" t="s">
        <v>657</v>
      </c>
      <c r="C53" s="236" t="s">
        <v>653</v>
      </c>
      <c r="D53" s="292">
        <v>600</v>
      </c>
      <c r="E53" s="239"/>
      <c r="F53">
        <v>1000</v>
      </c>
      <c r="G53" s="116">
        <f t="shared" si="0"/>
        <v>600000</v>
      </c>
    </row>
    <row r="54" spans="1:7" ht="30.75" customHeight="1" thickBot="1">
      <c r="A54" s="236">
        <v>50</v>
      </c>
      <c r="B54" s="237" t="s">
        <v>731</v>
      </c>
      <c r="C54" s="236" t="s">
        <v>653</v>
      </c>
      <c r="D54" s="292">
        <v>300</v>
      </c>
      <c r="E54" s="239"/>
      <c r="F54">
        <v>1000</v>
      </c>
      <c r="G54" s="116">
        <f t="shared" si="0"/>
        <v>300000</v>
      </c>
    </row>
    <row r="55" spans="1:7" ht="45.75" customHeight="1" thickBot="1">
      <c r="A55" s="236">
        <v>51</v>
      </c>
      <c r="B55" s="237" t="s">
        <v>732</v>
      </c>
      <c r="C55" s="236" t="s">
        <v>668</v>
      </c>
      <c r="D55" s="292" t="s">
        <v>729</v>
      </c>
      <c r="E55" s="239"/>
      <c r="F55">
        <v>1000</v>
      </c>
      <c r="G55" s="116">
        <v>1500000</v>
      </c>
    </row>
    <row r="56" spans="1:7" ht="30.75" customHeight="1" thickBot="1">
      <c r="A56" s="236">
        <v>52</v>
      </c>
      <c r="B56" s="237" t="s">
        <v>671</v>
      </c>
      <c r="C56" s="236" t="s">
        <v>668</v>
      </c>
      <c r="D56" s="292">
        <v>750</v>
      </c>
      <c r="E56" s="239"/>
      <c r="F56">
        <v>1000</v>
      </c>
      <c r="G56" s="116">
        <f t="shared" si="0"/>
        <v>750000</v>
      </c>
    </row>
    <row r="57" spans="1:7" ht="30.75" customHeight="1" thickBot="1">
      <c r="A57" s="236">
        <v>53</v>
      </c>
      <c r="B57" s="237" t="s">
        <v>693</v>
      </c>
      <c r="C57" s="236" t="s">
        <v>668</v>
      </c>
      <c r="D57" s="292" t="s">
        <v>733</v>
      </c>
      <c r="E57" s="239"/>
      <c r="F57">
        <v>1000</v>
      </c>
      <c r="G57" s="116">
        <v>1350000</v>
      </c>
    </row>
    <row r="58" spans="1:7" ht="60.75" customHeight="1" thickBot="1">
      <c r="A58" s="236">
        <v>54</v>
      </c>
      <c r="B58" s="237" t="s">
        <v>692</v>
      </c>
      <c r="C58" s="236" t="s">
        <v>668</v>
      </c>
      <c r="D58" s="292" t="s">
        <v>729</v>
      </c>
      <c r="E58" s="239"/>
      <c r="F58">
        <v>1000</v>
      </c>
      <c r="G58" s="116">
        <v>1500000</v>
      </c>
    </row>
    <row r="59" spans="1:7" ht="30.75" customHeight="1" thickBot="1">
      <c r="A59" s="236">
        <v>55</v>
      </c>
      <c r="B59" s="237" t="s">
        <v>29</v>
      </c>
      <c r="C59" s="236" t="s">
        <v>668</v>
      </c>
      <c r="D59" s="292">
        <v>150</v>
      </c>
      <c r="E59" s="239"/>
      <c r="F59">
        <v>1000</v>
      </c>
      <c r="G59" s="116">
        <f t="shared" si="0"/>
        <v>150000</v>
      </c>
    </row>
    <row r="60" spans="1:7" ht="45.75" customHeight="1" thickBot="1">
      <c r="A60" s="236">
        <v>56</v>
      </c>
      <c r="B60" s="237" t="s">
        <v>39</v>
      </c>
      <c r="C60" s="236" t="s">
        <v>668</v>
      </c>
      <c r="D60" s="292">
        <v>150</v>
      </c>
      <c r="E60" s="239"/>
      <c r="F60">
        <v>1000</v>
      </c>
      <c r="G60" s="116">
        <f t="shared" si="0"/>
        <v>150000</v>
      </c>
    </row>
    <row r="61" spans="1:7" ht="45.75" customHeight="1" thickBot="1">
      <c r="A61" s="236">
        <v>57</v>
      </c>
      <c r="B61" s="237" t="s">
        <v>672</v>
      </c>
      <c r="C61" s="236" t="s">
        <v>668</v>
      </c>
      <c r="D61" s="292">
        <v>750</v>
      </c>
      <c r="E61" s="239"/>
      <c r="F61">
        <v>1000</v>
      </c>
      <c r="G61" s="116">
        <f t="shared" si="0"/>
        <v>750000</v>
      </c>
    </row>
    <row r="62" spans="1:7" ht="45.75" customHeight="1" thickBot="1">
      <c r="A62" s="236">
        <v>58</v>
      </c>
      <c r="B62" s="237" t="s">
        <v>670</v>
      </c>
      <c r="C62" s="236" t="s">
        <v>668</v>
      </c>
      <c r="D62" s="292">
        <v>600</v>
      </c>
      <c r="E62" s="239"/>
      <c r="F62">
        <v>1000</v>
      </c>
      <c r="G62" s="116">
        <f t="shared" si="0"/>
        <v>600000</v>
      </c>
    </row>
    <row r="63" spans="1:7" ht="45.75" customHeight="1" thickBot="1">
      <c r="A63" s="236">
        <v>59</v>
      </c>
      <c r="B63" s="237" t="s">
        <v>691</v>
      </c>
      <c r="C63" s="236" t="s">
        <v>668</v>
      </c>
      <c r="D63" s="292">
        <v>150</v>
      </c>
      <c r="E63" s="239"/>
      <c r="F63">
        <v>1000</v>
      </c>
      <c r="G63" s="116">
        <f t="shared" si="0"/>
        <v>150000</v>
      </c>
    </row>
    <row r="64" spans="1:7" ht="60.75" customHeight="1" thickBot="1">
      <c r="A64" s="236">
        <v>60</v>
      </c>
      <c r="B64" s="237" t="s">
        <v>273</v>
      </c>
      <c r="C64" s="236" t="s">
        <v>668</v>
      </c>
      <c r="D64" s="292">
        <v>150</v>
      </c>
      <c r="E64" s="239"/>
      <c r="F64">
        <v>1000</v>
      </c>
      <c r="G64" s="116">
        <f t="shared" si="0"/>
        <v>150000</v>
      </c>
    </row>
    <row r="65" spans="1:7" ht="45.75" customHeight="1" thickBot="1">
      <c r="A65" s="236">
        <v>61</v>
      </c>
      <c r="B65" s="237" t="s">
        <v>667</v>
      </c>
      <c r="C65" s="236" t="s">
        <v>668</v>
      </c>
      <c r="D65" s="292">
        <v>150</v>
      </c>
      <c r="E65" s="239"/>
      <c r="F65">
        <v>1000</v>
      </c>
      <c r="G65" s="116">
        <f t="shared" si="0"/>
        <v>150000</v>
      </c>
    </row>
    <row r="66" spans="1:7" ht="45.75" customHeight="1" thickBot="1">
      <c r="A66" s="236">
        <v>62</v>
      </c>
      <c r="B66" s="237" t="s">
        <v>669</v>
      </c>
      <c r="C66" s="236" t="s">
        <v>668</v>
      </c>
      <c r="D66" s="292">
        <v>300</v>
      </c>
      <c r="E66" s="239"/>
      <c r="F66">
        <v>1000</v>
      </c>
      <c r="G66" s="116">
        <f t="shared" si="0"/>
        <v>300000</v>
      </c>
    </row>
    <row r="67" spans="1:7" ht="45.75" customHeight="1" thickBot="1">
      <c r="A67" s="236">
        <v>63</v>
      </c>
      <c r="B67" s="237" t="s">
        <v>262</v>
      </c>
      <c r="C67" s="236" t="s">
        <v>668</v>
      </c>
      <c r="D67" s="292">
        <v>150</v>
      </c>
      <c r="E67" s="239"/>
      <c r="F67">
        <v>1000</v>
      </c>
      <c r="G67" s="116">
        <f t="shared" si="0"/>
        <v>150000</v>
      </c>
    </row>
    <row r="68" spans="1:7" ht="60.75" customHeight="1" thickBot="1">
      <c r="A68" s="236">
        <v>64</v>
      </c>
      <c r="B68" s="237" t="s">
        <v>435</v>
      </c>
      <c r="C68" s="236" t="s">
        <v>668</v>
      </c>
      <c r="D68" s="292">
        <v>150</v>
      </c>
      <c r="E68" s="239"/>
      <c r="F68">
        <v>1000</v>
      </c>
      <c r="G68" s="116">
        <f t="shared" si="0"/>
        <v>150000</v>
      </c>
    </row>
    <row r="69" spans="1:7" ht="45.75" customHeight="1" thickBot="1">
      <c r="A69" s="236">
        <v>65</v>
      </c>
      <c r="B69" s="237" t="s">
        <v>182</v>
      </c>
      <c r="C69" s="236" t="s">
        <v>674</v>
      </c>
      <c r="D69" s="292">
        <v>600</v>
      </c>
      <c r="E69" s="239"/>
      <c r="F69">
        <v>1000</v>
      </c>
      <c r="G69" s="116">
        <f t="shared" si="0"/>
        <v>600000</v>
      </c>
    </row>
    <row r="70" spans="1:7" ht="30.75" customHeight="1" thickBot="1">
      <c r="A70" s="236">
        <v>66</v>
      </c>
      <c r="B70" s="237" t="s">
        <v>72</v>
      </c>
      <c r="C70" s="236" t="s">
        <v>674</v>
      </c>
      <c r="D70" s="292">
        <v>750</v>
      </c>
      <c r="E70" s="239"/>
      <c r="F70">
        <v>1000</v>
      </c>
      <c r="G70" s="116">
        <f>D70*F70</f>
        <v>750000</v>
      </c>
    </row>
    <row r="71" spans="1:7" ht="45.75" customHeight="1" thickBot="1">
      <c r="A71" s="236">
        <v>67</v>
      </c>
      <c r="B71" s="237" t="s">
        <v>76</v>
      </c>
      <c r="C71" s="236" t="s">
        <v>674</v>
      </c>
      <c r="D71" s="292">
        <v>450</v>
      </c>
      <c r="E71" s="239"/>
      <c r="F71">
        <v>1000</v>
      </c>
      <c r="G71" s="116">
        <f>D71*F71</f>
        <v>450000</v>
      </c>
    </row>
    <row r="72" spans="1:7" ht="45.75" customHeight="1" thickBot="1">
      <c r="A72" s="236">
        <v>68</v>
      </c>
      <c r="B72" s="237" t="s">
        <v>150</v>
      </c>
      <c r="C72" s="236" t="s">
        <v>674</v>
      </c>
      <c r="D72" s="292">
        <v>750</v>
      </c>
      <c r="E72" s="239"/>
      <c r="F72">
        <v>1000</v>
      </c>
      <c r="G72" s="116">
        <f>D72*F72</f>
        <v>750000</v>
      </c>
    </row>
    <row r="73" spans="1:7" ht="30.75" thickBot="1">
      <c r="A73" s="236">
        <v>69</v>
      </c>
      <c r="B73" s="237" t="s">
        <v>734</v>
      </c>
      <c r="C73" s="236" t="s">
        <v>735</v>
      </c>
      <c r="D73" s="292">
        <v>150</v>
      </c>
      <c r="E73" s="239"/>
      <c r="F73">
        <v>1000</v>
      </c>
      <c r="G73" s="116">
        <f>D73*F73</f>
        <v>150000</v>
      </c>
    </row>
    <row r="74" spans="1:7" ht="15.75" thickBot="1">
      <c r="A74" s="286" t="s">
        <v>676</v>
      </c>
      <c r="B74" s="287"/>
      <c r="C74" s="241"/>
      <c r="D74" s="293" t="s">
        <v>736</v>
      </c>
      <c r="E74" s="243"/>
    </row>
    <row r="75" spans="1:7">
      <c r="A75" s="294" t="s">
        <v>737</v>
      </c>
    </row>
  </sheetData>
  <autoFilter ref="A4:G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7"/>
  <sheetViews>
    <sheetView topLeftCell="A49" workbookViewId="0">
      <selection activeCell="G23" sqref="G23"/>
    </sheetView>
  </sheetViews>
  <sheetFormatPr defaultRowHeight="15"/>
  <cols>
    <col min="1" max="1" width="9.140625" customWidth="1"/>
    <col min="2" max="2" width="26.42578125" customWidth="1"/>
    <col min="3" max="3" width="9.140625" customWidth="1"/>
    <col min="4" max="4" width="12" customWidth="1"/>
    <col min="5" max="5" width="13.5703125" style="342" customWidth="1"/>
    <col min="6" max="6" width="9.140625" customWidth="1"/>
    <col min="8" max="8" width="14.85546875" style="116" customWidth="1"/>
  </cols>
  <sheetData>
    <row r="1" spans="1:6" ht="15.75">
      <c r="A1" s="295" t="s">
        <v>630</v>
      </c>
    </row>
    <row r="2" spans="1:6" ht="15.75">
      <c r="A2" s="296" t="s">
        <v>738</v>
      </c>
    </row>
    <row r="3" spans="1:6" ht="17.25" thickBot="1">
      <c r="A3" s="297"/>
    </row>
    <row r="4" spans="1:6" ht="28.5" customHeight="1" thickBot="1">
      <c r="A4" s="353" t="s">
        <v>0</v>
      </c>
      <c r="B4" s="353" t="s">
        <v>121</v>
      </c>
      <c r="C4" s="353" t="s">
        <v>632</v>
      </c>
      <c r="D4" s="325" t="s">
        <v>633</v>
      </c>
      <c r="E4" s="354"/>
      <c r="F4" s="353" t="s">
        <v>634</v>
      </c>
    </row>
    <row r="5" spans="1:6" ht="17.25" thickBot="1">
      <c r="A5" s="355"/>
      <c r="B5" s="355"/>
      <c r="C5" s="355"/>
      <c r="D5" s="299" t="s">
        <v>739</v>
      </c>
      <c r="E5" s="343" t="s">
        <v>740</v>
      </c>
      <c r="F5" s="355"/>
    </row>
    <row r="6" spans="1:6" ht="17.25" thickBot="1">
      <c r="A6" s="236">
        <v>1</v>
      </c>
      <c r="B6" s="301" t="s">
        <v>39</v>
      </c>
      <c r="C6" s="302" t="s">
        <v>668</v>
      </c>
      <c r="D6" s="303"/>
      <c r="E6" s="344">
        <v>1063000</v>
      </c>
      <c r="F6" s="239"/>
    </row>
    <row r="7" spans="1:6" ht="17.25" thickBot="1">
      <c r="A7" s="236">
        <v>2</v>
      </c>
      <c r="B7" s="301" t="s">
        <v>29</v>
      </c>
      <c r="C7" s="302" t="s">
        <v>668</v>
      </c>
      <c r="D7" s="303"/>
      <c r="E7" s="344">
        <v>846000</v>
      </c>
      <c r="F7" s="239"/>
    </row>
    <row r="8" spans="1:6" ht="17.25" thickBot="1">
      <c r="A8" s="236">
        <v>3</v>
      </c>
      <c r="B8" s="301" t="s">
        <v>31</v>
      </c>
      <c r="C8" s="302" t="s">
        <v>668</v>
      </c>
      <c r="D8" s="303"/>
      <c r="E8" s="344">
        <v>467000</v>
      </c>
      <c r="F8" s="239"/>
    </row>
    <row r="9" spans="1:6" ht="17.25" thickBot="1">
      <c r="A9" s="236">
        <v>4</v>
      </c>
      <c r="B9" s="301" t="s">
        <v>213</v>
      </c>
      <c r="C9" s="302" t="s">
        <v>668</v>
      </c>
      <c r="D9" s="303"/>
      <c r="E9" s="344">
        <v>547000</v>
      </c>
      <c r="F9" s="239"/>
    </row>
    <row r="10" spans="1:6" ht="17.25" thickBot="1">
      <c r="A10" s="236">
        <v>5</v>
      </c>
      <c r="B10" s="301" t="s">
        <v>216</v>
      </c>
      <c r="C10" s="302" t="s">
        <v>668</v>
      </c>
      <c r="D10" s="303"/>
      <c r="E10" s="344">
        <v>309000</v>
      </c>
      <c r="F10" s="239"/>
    </row>
    <row r="11" spans="1:6" ht="17.25" thickBot="1">
      <c r="A11" s="236">
        <v>6</v>
      </c>
      <c r="B11" s="301" t="s">
        <v>262</v>
      </c>
      <c r="C11" s="302" t="s">
        <v>668</v>
      </c>
      <c r="D11" s="303"/>
      <c r="E11" s="344">
        <v>507000</v>
      </c>
      <c r="F11" s="239"/>
    </row>
    <row r="12" spans="1:6" ht="15.75" thickBot="1">
      <c r="A12" s="236">
        <v>7</v>
      </c>
      <c r="B12" s="301" t="s">
        <v>669</v>
      </c>
      <c r="C12" s="302" t="s">
        <v>668</v>
      </c>
      <c r="D12" s="238">
        <v>885000</v>
      </c>
      <c r="E12" s="345"/>
      <c r="F12" s="239"/>
    </row>
    <row r="13" spans="1:6" ht="17.25" thickBot="1">
      <c r="A13" s="236">
        <v>8</v>
      </c>
      <c r="B13" s="301" t="s">
        <v>52</v>
      </c>
      <c r="C13" s="302" t="s">
        <v>653</v>
      </c>
      <c r="D13" s="303"/>
      <c r="E13" s="344">
        <v>319000</v>
      </c>
      <c r="F13" s="239"/>
    </row>
    <row r="14" spans="1:6" ht="17.25" thickBot="1">
      <c r="A14" s="236">
        <v>9</v>
      </c>
      <c r="B14" s="301" t="s">
        <v>56</v>
      </c>
      <c r="C14" s="302" t="s">
        <v>653</v>
      </c>
      <c r="D14" s="303"/>
      <c r="E14" s="344">
        <v>2050000</v>
      </c>
      <c r="F14" s="239"/>
    </row>
    <row r="15" spans="1:6" ht="17.25" thickBot="1">
      <c r="A15" s="236">
        <v>10</v>
      </c>
      <c r="B15" s="301" t="s">
        <v>50</v>
      </c>
      <c r="C15" s="302" t="s">
        <v>653</v>
      </c>
      <c r="D15" s="303"/>
      <c r="E15" s="344">
        <v>1132000</v>
      </c>
      <c r="F15" s="239"/>
    </row>
    <row r="16" spans="1:6" ht="17.25" thickBot="1">
      <c r="A16" s="236">
        <v>11</v>
      </c>
      <c r="B16" s="301" t="s">
        <v>168</v>
      </c>
      <c r="C16" s="302" t="s">
        <v>646</v>
      </c>
      <c r="D16" s="303"/>
      <c r="E16" s="344">
        <v>515000</v>
      </c>
      <c r="F16" s="239"/>
    </row>
    <row r="17" spans="1:6" ht="17.25" thickBot="1">
      <c r="A17" s="236">
        <v>12</v>
      </c>
      <c r="B17" s="301" t="s">
        <v>76</v>
      </c>
      <c r="C17" s="302" t="s">
        <v>674</v>
      </c>
      <c r="D17" s="303"/>
      <c r="E17" s="344">
        <v>318000</v>
      </c>
      <c r="F17" s="239"/>
    </row>
    <row r="18" spans="1:6" ht="17.25" thickBot="1">
      <c r="A18" s="236">
        <v>13</v>
      </c>
      <c r="B18" s="301" t="s">
        <v>741</v>
      </c>
      <c r="C18" s="302" t="s">
        <v>674</v>
      </c>
      <c r="D18" s="238">
        <v>348000</v>
      </c>
      <c r="E18" s="346"/>
      <c r="F18" s="239"/>
    </row>
    <row r="19" spans="1:6" ht="15.75" thickBot="1">
      <c r="A19" s="236">
        <v>14</v>
      </c>
      <c r="B19" s="301" t="s">
        <v>742</v>
      </c>
      <c r="C19" s="302" t="s">
        <v>674</v>
      </c>
      <c r="D19" s="238">
        <v>2216000</v>
      </c>
      <c r="E19" s="347"/>
      <c r="F19" s="239"/>
    </row>
    <row r="20" spans="1:6" ht="15.75" thickBot="1">
      <c r="A20" s="236">
        <v>15</v>
      </c>
      <c r="B20" s="301" t="s">
        <v>743</v>
      </c>
      <c r="C20" s="302" t="s">
        <v>674</v>
      </c>
      <c r="D20" s="238">
        <v>822000</v>
      </c>
      <c r="E20" s="345"/>
      <c r="F20" s="239"/>
    </row>
    <row r="21" spans="1:6" ht="17.25" thickBot="1">
      <c r="A21" s="236">
        <v>16</v>
      </c>
      <c r="B21" s="301" t="s">
        <v>81</v>
      </c>
      <c r="C21" s="302" t="s">
        <v>649</v>
      </c>
      <c r="D21" s="303"/>
      <c r="E21" s="344">
        <v>319000</v>
      </c>
      <c r="F21" s="239"/>
    </row>
    <row r="22" spans="1:6" ht="17.25" thickBot="1">
      <c r="A22" s="236">
        <v>17</v>
      </c>
      <c r="B22" s="301" t="s">
        <v>27</v>
      </c>
      <c r="C22" s="302" t="s">
        <v>649</v>
      </c>
      <c r="D22" s="303"/>
      <c r="E22" s="344">
        <v>323000</v>
      </c>
      <c r="F22" s="239"/>
    </row>
    <row r="23" spans="1:6" ht="15.75" thickBot="1">
      <c r="A23" s="236">
        <v>18</v>
      </c>
      <c r="B23" s="301" t="s">
        <v>686</v>
      </c>
      <c r="C23" s="302" t="s">
        <v>649</v>
      </c>
      <c r="D23" s="238">
        <v>351000</v>
      </c>
      <c r="E23" s="345"/>
      <c r="F23" s="239"/>
    </row>
    <row r="24" spans="1:6" ht="17.25" thickBot="1">
      <c r="A24" s="236">
        <v>19</v>
      </c>
      <c r="B24" s="301" t="s">
        <v>187</v>
      </c>
      <c r="C24" s="302" t="s">
        <v>649</v>
      </c>
      <c r="D24" s="303"/>
      <c r="E24" s="344">
        <v>1357000</v>
      </c>
      <c r="F24" s="239"/>
    </row>
    <row r="25" spans="1:6" ht="17.25" thickBot="1">
      <c r="A25" s="236">
        <v>20</v>
      </c>
      <c r="B25" s="301" t="s">
        <v>152</v>
      </c>
      <c r="C25" s="302" t="s">
        <v>649</v>
      </c>
      <c r="D25" s="303"/>
      <c r="E25" s="344">
        <v>1926000</v>
      </c>
      <c r="F25" s="239"/>
    </row>
    <row r="26" spans="1:6" ht="17.25" thickBot="1">
      <c r="A26" s="236">
        <v>21</v>
      </c>
      <c r="B26" s="301" t="s">
        <v>91</v>
      </c>
      <c r="C26" s="302" t="s">
        <v>650</v>
      </c>
      <c r="D26" s="303"/>
      <c r="E26" s="344">
        <v>723000</v>
      </c>
      <c r="F26" s="239"/>
    </row>
    <row r="27" spans="1:6" ht="17.25" thickBot="1">
      <c r="A27" s="236">
        <v>22</v>
      </c>
      <c r="B27" s="301" t="s">
        <v>83</v>
      </c>
      <c r="C27" s="302" t="s">
        <v>650</v>
      </c>
      <c r="D27" s="303"/>
      <c r="E27" s="344">
        <v>317000</v>
      </c>
      <c r="F27" s="239"/>
    </row>
    <row r="28" spans="1:6" ht="17.25" thickBot="1">
      <c r="A28" s="236">
        <v>23</v>
      </c>
      <c r="B28" s="301" t="s">
        <v>727</v>
      </c>
      <c r="C28" s="302" t="s">
        <v>650</v>
      </c>
      <c r="D28" s="238">
        <v>1157000</v>
      </c>
      <c r="E28" s="346"/>
      <c r="F28" s="239"/>
    </row>
    <row r="29" spans="1:6" ht="17.25" thickBot="1">
      <c r="A29" s="304">
        <v>24</v>
      </c>
      <c r="B29" s="305" t="s">
        <v>728</v>
      </c>
      <c r="C29" s="306" t="s">
        <v>650</v>
      </c>
      <c r="D29" s="307">
        <v>1386000</v>
      </c>
      <c r="E29" s="348"/>
      <c r="F29" s="308"/>
    </row>
    <row r="30" spans="1:6" ht="17.25" thickBot="1">
      <c r="A30" s="309">
        <v>25</v>
      </c>
      <c r="B30" s="310" t="s">
        <v>86</v>
      </c>
      <c r="C30" s="311" t="s">
        <v>642</v>
      </c>
      <c r="D30" s="312"/>
      <c r="E30" s="349">
        <v>1214000</v>
      </c>
      <c r="F30" s="314"/>
    </row>
    <row r="31" spans="1:6" ht="17.25" thickBot="1">
      <c r="A31" s="309">
        <v>26</v>
      </c>
      <c r="B31" s="310" t="s">
        <v>98</v>
      </c>
      <c r="C31" s="311" t="s">
        <v>636</v>
      </c>
      <c r="D31" s="312"/>
      <c r="E31" s="349">
        <v>320000</v>
      </c>
      <c r="F31" s="314"/>
    </row>
    <row r="32" spans="1:6" ht="17.25" thickBot="1">
      <c r="A32" s="309">
        <v>27</v>
      </c>
      <c r="B32" s="310" t="s">
        <v>210</v>
      </c>
      <c r="C32" s="311" t="s">
        <v>636</v>
      </c>
      <c r="D32" s="312"/>
      <c r="E32" s="349">
        <v>530000</v>
      </c>
      <c r="F32" s="314"/>
    </row>
    <row r="33" spans="1:6" ht="17.25" thickBot="1">
      <c r="A33" s="236">
        <v>28</v>
      </c>
      <c r="B33" s="301" t="s">
        <v>106</v>
      </c>
      <c r="C33" s="302" t="s">
        <v>636</v>
      </c>
      <c r="D33" s="303"/>
      <c r="E33" s="344">
        <v>346000</v>
      </c>
      <c r="F33" s="239"/>
    </row>
    <row r="34" spans="1:6" ht="17.25" thickBot="1">
      <c r="A34" s="236">
        <v>29</v>
      </c>
      <c r="B34" s="301" t="s">
        <v>154</v>
      </c>
      <c r="C34" s="302" t="s">
        <v>636</v>
      </c>
      <c r="D34" s="303"/>
      <c r="E34" s="344">
        <v>2788000</v>
      </c>
      <c r="F34" s="239"/>
    </row>
    <row r="35" spans="1:6" ht="15.75" thickBot="1">
      <c r="A35" s="236">
        <v>30</v>
      </c>
      <c r="B35" s="301" t="s">
        <v>744</v>
      </c>
      <c r="C35" s="302" t="s">
        <v>636</v>
      </c>
      <c r="D35" s="238">
        <v>1280000</v>
      </c>
      <c r="E35" s="347"/>
      <c r="F35" s="239"/>
    </row>
    <row r="36" spans="1:6" ht="15.75" thickBot="1">
      <c r="A36" s="236">
        <v>31</v>
      </c>
      <c r="B36" s="301" t="s">
        <v>745</v>
      </c>
      <c r="C36" s="302" t="s">
        <v>746</v>
      </c>
      <c r="D36" s="238">
        <v>158000</v>
      </c>
      <c r="E36" s="345"/>
      <c r="F36" s="239"/>
    </row>
    <row r="37" spans="1:6" ht="15.75" thickBot="1">
      <c r="A37" s="236">
        <v>32</v>
      </c>
      <c r="B37" s="301" t="s">
        <v>747</v>
      </c>
      <c r="C37" s="302" t="s">
        <v>746</v>
      </c>
      <c r="D37" s="238">
        <v>242000</v>
      </c>
      <c r="E37" s="345"/>
      <c r="F37" s="239"/>
    </row>
    <row r="38" spans="1:6" ht="15.75" thickBot="1">
      <c r="A38" s="236">
        <v>33</v>
      </c>
      <c r="B38" s="301" t="s">
        <v>660</v>
      </c>
      <c r="C38" s="302" t="s">
        <v>746</v>
      </c>
      <c r="D38" s="238">
        <v>108000</v>
      </c>
      <c r="E38" s="345"/>
      <c r="F38" s="239"/>
    </row>
    <row r="39" spans="1:6" ht="15.75" thickBot="1">
      <c r="A39" s="236">
        <v>34</v>
      </c>
      <c r="B39" s="301" t="s">
        <v>748</v>
      </c>
      <c r="C39" s="302" t="s">
        <v>746</v>
      </c>
      <c r="D39" s="238">
        <v>56000</v>
      </c>
      <c r="E39" s="345"/>
      <c r="F39" s="239"/>
    </row>
    <row r="40" spans="1:6" ht="17.25" thickBot="1">
      <c r="A40" s="236">
        <v>35</v>
      </c>
      <c r="B40" s="301" t="s">
        <v>663</v>
      </c>
      <c r="C40" s="302" t="s">
        <v>746</v>
      </c>
      <c r="D40" s="303"/>
      <c r="E40" s="344">
        <v>156000</v>
      </c>
      <c r="F40" s="239"/>
    </row>
    <row r="41" spans="1:6" ht="17.25" thickBot="1">
      <c r="A41" s="236">
        <v>36</v>
      </c>
      <c r="B41" s="301" t="s">
        <v>664</v>
      </c>
      <c r="C41" s="302" t="s">
        <v>746</v>
      </c>
      <c r="D41" s="303"/>
      <c r="E41" s="344">
        <v>211000</v>
      </c>
      <c r="F41" s="239"/>
    </row>
    <row r="42" spans="1:6" ht="17.25" thickBot="1">
      <c r="A42" s="236">
        <v>37</v>
      </c>
      <c r="B42" s="301" t="s">
        <v>749</v>
      </c>
      <c r="C42" s="302" t="s">
        <v>746</v>
      </c>
      <c r="D42" s="303"/>
      <c r="E42" s="344">
        <v>199000</v>
      </c>
      <c r="F42" s="239"/>
    </row>
    <row r="43" spans="1:6" ht="17.25" thickBot="1">
      <c r="A43" s="236">
        <v>38</v>
      </c>
      <c r="B43" s="301" t="s">
        <v>665</v>
      </c>
      <c r="C43" s="302" t="s">
        <v>746</v>
      </c>
      <c r="D43" s="303"/>
      <c r="E43" s="344">
        <v>86000</v>
      </c>
      <c r="F43" s="239"/>
    </row>
    <row r="44" spans="1:6" ht="17.25" thickBot="1">
      <c r="A44" s="236">
        <v>39</v>
      </c>
      <c r="B44" s="301" t="s">
        <v>750</v>
      </c>
      <c r="C44" s="302" t="s">
        <v>746</v>
      </c>
      <c r="D44" s="303"/>
      <c r="E44" s="344">
        <v>119000</v>
      </c>
      <c r="F44" s="239"/>
    </row>
    <row r="45" spans="1:6" ht="17.25" thickBot="1">
      <c r="A45" s="236">
        <v>40</v>
      </c>
      <c r="B45" s="301" t="s">
        <v>751</v>
      </c>
      <c r="C45" s="302" t="s">
        <v>746</v>
      </c>
      <c r="D45" s="303"/>
      <c r="E45" s="344">
        <v>78000</v>
      </c>
      <c r="F45" s="239"/>
    </row>
    <row r="46" spans="1:6" ht="17.25" thickBot="1">
      <c r="A46" s="236">
        <v>41</v>
      </c>
      <c r="B46" s="301" t="s">
        <v>752</v>
      </c>
      <c r="C46" s="302" t="s">
        <v>746</v>
      </c>
      <c r="D46" s="303"/>
      <c r="E46" s="344">
        <v>62000</v>
      </c>
      <c r="F46" s="239"/>
    </row>
    <row r="47" spans="1:6" ht="15.75" thickBot="1">
      <c r="A47" s="356" t="s">
        <v>676</v>
      </c>
      <c r="B47" s="357"/>
      <c r="C47" s="315"/>
      <c r="D47" s="316">
        <v>9009000</v>
      </c>
      <c r="E47" s="350">
        <v>19147000</v>
      </c>
      <c r="F47" s="317"/>
    </row>
    <row r="48" spans="1:6" ht="15.75" customHeight="1" thickBot="1">
      <c r="A48" s="356" t="s">
        <v>753</v>
      </c>
      <c r="B48" s="357"/>
      <c r="C48" s="318"/>
      <c r="D48" s="358">
        <v>28156000</v>
      </c>
      <c r="E48" s="359"/>
      <c r="F48" s="317"/>
    </row>
    <row r="49" spans="1:8">
      <c r="A49" s="319" t="s">
        <v>754</v>
      </c>
    </row>
    <row r="50" spans="1:8">
      <c r="A50" s="319"/>
    </row>
    <row r="51" spans="1:8" ht="16.5">
      <c r="A51" s="322"/>
      <c r="B51" s="248"/>
    </row>
    <row r="52" spans="1:8">
      <c r="A52" s="328"/>
    </row>
    <row r="53" spans="1:8">
      <c r="A53" s="320"/>
    </row>
    <row r="54" spans="1:8">
      <c r="A54" s="330"/>
    </row>
    <row r="55" spans="1:8" ht="16.5">
      <c r="A55" s="324" t="s">
        <v>759</v>
      </c>
    </row>
    <row r="56" spans="1:8">
      <c r="A56" s="331"/>
    </row>
    <row r="57" spans="1:8" ht="15.75">
      <c r="A57" s="295" t="s">
        <v>679</v>
      </c>
    </row>
    <row r="58" spans="1:8" ht="15.75">
      <c r="A58" s="296" t="s">
        <v>760</v>
      </c>
    </row>
    <row r="59" spans="1:8" ht="15.75" thickBot="1">
      <c r="A59" s="329"/>
    </row>
    <row r="60" spans="1:8" ht="28.5" customHeight="1" thickBot="1">
      <c r="A60" s="353" t="s">
        <v>0</v>
      </c>
      <c r="B60" s="353" t="s">
        <v>121</v>
      </c>
      <c r="C60" s="353" t="s">
        <v>632</v>
      </c>
      <c r="D60" s="325" t="s">
        <v>633</v>
      </c>
      <c r="E60" s="354"/>
      <c r="F60" s="353" t="s">
        <v>634</v>
      </c>
    </row>
    <row r="61" spans="1:8" ht="17.25" thickBot="1">
      <c r="A61" s="355"/>
      <c r="B61" s="355"/>
      <c r="C61" s="355"/>
      <c r="D61" s="299" t="s">
        <v>739</v>
      </c>
      <c r="E61" s="343" t="s">
        <v>740</v>
      </c>
      <c r="F61" s="355"/>
    </row>
    <row r="62" spans="1:8" ht="16.5" thickBot="1">
      <c r="A62" s="255">
        <v>1</v>
      </c>
      <c r="B62" s="332" t="s">
        <v>262</v>
      </c>
      <c r="C62" s="333" t="s">
        <v>668</v>
      </c>
      <c r="D62" s="334"/>
      <c r="E62" s="351">
        <v>40000</v>
      </c>
      <c r="F62" s="258"/>
      <c r="G62">
        <v>1000</v>
      </c>
      <c r="H62" s="116">
        <f>E62*G62</f>
        <v>40000000</v>
      </c>
    </row>
    <row r="63" spans="1:8" ht="16.5" thickBot="1">
      <c r="A63" s="255">
        <v>2</v>
      </c>
      <c r="B63" s="332" t="s">
        <v>693</v>
      </c>
      <c r="C63" s="333" t="s">
        <v>668</v>
      </c>
      <c r="D63" s="334">
        <v>240</v>
      </c>
      <c r="E63" s="351">
        <v>0</v>
      </c>
      <c r="F63" s="258"/>
      <c r="G63">
        <v>1000</v>
      </c>
      <c r="H63" s="116">
        <f t="shared" ref="H63:H90" si="0">E63*G63</f>
        <v>0</v>
      </c>
    </row>
    <row r="64" spans="1:8" ht="16.5" thickBot="1">
      <c r="A64" s="255">
        <v>3</v>
      </c>
      <c r="B64" s="332" t="s">
        <v>671</v>
      </c>
      <c r="C64" s="333" t="s">
        <v>668</v>
      </c>
      <c r="D64" s="334">
        <v>60</v>
      </c>
      <c r="E64" s="351">
        <v>0</v>
      </c>
      <c r="F64" s="258"/>
      <c r="G64">
        <v>1000</v>
      </c>
      <c r="H64" s="116">
        <f t="shared" si="0"/>
        <v>0</v>
      </c>
    </row>
    <row r="65" spans="1:8" ht="16.5" thickBot="1">
      <c r="A65" s="255">
        <v>4</v>
      </c>
      <c r="B65" s="332" t="s">
        <v>672</v>
      </c>
      <c r="C65" s="333" t="s">
        <v>668</v>
      </c>
      <c r="D65" s="334">
        <v>20</v>
      </c>
      <c r="E65" s="351">
        <v>0</v>
      </c>
      <c r="F65" s="258"/>
      <c r="G65">
        <v>1000</v>
      </c>
      <c r="H65" s="116">
        <f t="shared" si="0"/>
        <v>0</v>
      </c>
    </row>
    <row r="66" spans="1:8" ht="16.5" thickBot="1">
      <c r="A66" s="255">
        <v>5</v>
      </c>
      <c r="B66" s="332" t="s">
        <v>732</v>
      </c>
      <c r="C66" s="333" t="s">
        <v>668</v>
      </c>
      <c r="D66" s="334">
        <v>70</v>
      </c>
      <c r="E66" s="351">
        <v>0</v>
      </c>
      <c r="F66" s="258"/>
      <c r="G66">
        <v>1000</v>
      </c>
      <c r="H66" s="116">
        <f t="shared" si="0"/>
        <v>0</v>
      </c>
    </row>
    <row r="67" spans="1:8" ht="16.5" thickBot="1">
      <c r="A67" s="255">
        <v>6</v>
      </c>
      <c r="B67" s="332" t="s">
        <v>692</v>
      </c>
      <c r="C67" s="333" t="s">
        <v>668</v>
      </c>
      <c r="D67" s="334">
        <v>160</v>
      </c>
      <c r="E67" s="351">
        <v>0</v>
      </c>
      <c r="F67" s="258"/>
      <c r="G67">
        <v>1000</v>
      </c>
      <c r="H67" s="116">
        <f t="shared" si="0"/>
        <v>0</v>
      </c>
    </row>
    <row r="68" spans="1:8" ht="16.5" thickBot="1">
      <c r="A68" s="255">
        <v>7</v>
      </c>
      <c r="B68" s="332" t="s">
        <v>138</v>
      </c>
      <c r="C68" s="333" t="s">
        <v>653</v>
      </c>
      <c r="D68" s="334"/>
      <c r="E68" s="351">
        <v>80000</v>
      </c>
      <c r="F68" s="258"/>
      <c r="G68">
        <v>1000</v>
      </c>
      <c r="H68" s="116">
        <f t="shared" si="0"/>
        <v>80000000</v>
      </c>
    </row>
    <row r="69" spans="1:8" ht="16.5" thickBot="1">
      <c r="A69" s="255">
        <v>8</v>
      </c>
      <c r="B69" s="332" t="s">
        <v>656</v>
      </c>
      <c r="C69" s="333" t="s">
        <v>653</v>
      </c>
      <c r="D69" s="334">
        <v>40</v>
      </c>
      <c r="E69" s="351">
        <v>0</v>
      </c>
      <c r="F69" s="258"/>
      <c r="G69">
        <v>1000</v>
      </c>
      <c r="H69" s="116">
        <f t="shared" si="0"/>
        <v>0</v>
      </c>
    </row>
    <row r="70" spans="1:8" ht="16.5" thickBot="1">
      <c r="A70" s="255">
        <v>9</v>
      </c>
      <c r="B70" s="332" t="s">
        <v>730</v>
      </c>
      <c r="C70" s="333" t="s">
        <v>653</v>
      </c>
      <c r="D70" s="334">
        <v>40</v>
      </c>
      <c r="E70" s="351">
        <v>0</v>
      </c>
      <c r="F70" s="258"/>
      <c r="G70">
        <v>1000</v>
      </c>
      <c r="H70" s="116">
        <f t="shared" si="0"/>
        <v>0</v>
      </c>
    </row>
    <row r="71" spans="1:8" ht="16.5" thickBot="1">
      <c r="A71" s="255">
        <v>10</v>
      </c>
      <c r="B71" s="332" t="s">
        <v>147</v>
      </c>
      <c r="C71" s="333" t="s">
        <v>653</v>
      </c>
      <c r="D71" s="334"/>
      <c r="E71" s="351">
        <v>280000</v>
      </c>
      <c r="F71" s="258"/>
      <c r="G71">
        <v>1000</v>
      </c>
      <c r="H71" s="116">
        <f t="shared" si="0"/>
        <v>280000000</v>
      </c>
    </row>
    <row r="72" spans="1:8" ht="16.5" thickBot="1">
      <c r="A72" s="255">
        <v>11</v>
      </c>
      <c r="B72" s="332" t="s">
        <v>60</v>
      </c>
      <c r="C72" s="333" t="s">
        <v>653</v>
      </c>
      <c r="D72" s="334"/>
      <c r="E72" s="351">
        <v>180000</v>
      </c>
      <c r="F72" s="258"/>
      <c r="G72">
        <v>1000</v>
      </c>
      <c r="H72" s="116">
        <f t="shared" si="0"/>
        <v>180000000</v>
      </c>
    </row>
    <row r="73" spans="1:8" ht="16.5" thickBot="1">
      <c r="A73" s="255">
        <v>12</v>
      </c>
      <c r="B73" s="332" t="s">
        <v>56</v>
      </c>
      <c r="C73" s="333" t="s">
        <v>653</v>
      </c>
      <c r="D73" s="334"/>
      <c r="E73" s="351">
        <v>40000</v>
      </c>
      <c r="F73" s="258"/>
      <c r="G73">
        <v>1000</v>
      </c>
      <c r="H73" s="116">
        <f t="shared" si="0"/>
        <v>40000000</v>
      </c>
    </row>
    <row r="74" spans="1:8" ht="16.5" thickBot="1">
      <c r="A74" s="255">
        <v>13</v>
      </c>
      <c r="B74" s="332" t="s">
        <v>722</v>
      </c>
      <c r="C74" s="333" t="s">
        <v>646</v>
      </c>
      <c r="D74" s="334">
        <v>100</v>
      </c>
      <c r="E74" s="351">
        <v>0</v>
      </c>
      <c r="F74" s="258"/>
      <c r="G74">
        <v>1000</v>
      </c>
      <c r="H74" s="116">
        <f t="shared" si="0"/>
        <v>0</v>
      </c>
    </row>
    <row r="75" spans="1:8" ht="16.5" thickBot="1">
      <c r="A75" s="255">
        <v>14</v>
      </c>
      <c r="B75" s="332" t="s">
        <v>148</v>
      </c>
      <c r="C75" s="333" t="s">
        <v>646</v>
      </c>
      <c r="D75" s="334"/>
      <c r="E75" s="351">
        <v>20000</v>
      </c>
      <c r="F75" s="258"/>
      <c r="G75">
        <v>1000</v>
      </c>
      <c r="H75" s="116">
        <f t="shared" si="0"/>
        <v>20000000</v>
      </c>
    </row>
    <row r="76" spans="1:8" ht="16.5" thickBot="1">
      <c r="A76" s="255">
        <v>15</v>
      </c>
      <c r="B76" s="332" t="s">
        <v>723</v>
      </c>
      <c r="C76" s="333" t="s">
        <v>646</v>
      </c>
      <c r="D76" s="334">
        <v>240</v>
      </c>
      <c r="E76" s="351">
        <v>0</v>
      </c>
      <c r="F76" s="258"/>
      <c r="G76">
        <v>1000</v>
      </c>
      <c r="H76" s="116">
        <f t="shared" si="0"/>
        <v>0</v>
      </c>
    </row>
    <row r="77" spans="1:8" ht="16.5" thickBot="1">
      <c r="A77" s="255">
        <v>16</v>
      </c>
      <c r="B77" s="332" t="s">
        <v>72</v>
      </c>
      <c r="C77" s="333" t="s">
        <v>674</v>
      </c>
      <c r="D77" s="334"/>
      <c r="E77" s="351">
        <v>120000</v>
      </c>
      <c r="F77" s="258"/>
      <c r="G77">
        <v>1000</v>
      </c>
      <c r="H77" s="116">
        <f t="shared" si="0"/>
        <v>120000000</v>
      </c>
    </row>
    <row r="78" spans="1:8" ht="16.5" thickBot="1">
      <c r="A78" s="255">
        <v>17</v>
      </c>
      <c r="B78" s="332" t="s">
        <v>76</v>
      </c>
      <c r="C78" s="333" t="s">
        <v>674</v>
      </c>
      <c r="D78" s="334"/>
      <c r="E78" s="351">
        <v>40000</v>
      </c>
      <c r="F78" s="258"/>
      <c r="G78">
        <v>1000</v>
      </c>
      <c r="H78" s="116">
        <f t="shared" si="0"/>
        <v>40000000</v>
      </c>
    </row>
    <row r="79" spans="1:8" ht="16.5" thickBot="1">
      <c r="A79" s="255">
        <v>18</v>
      </c>
      <c r="B79" s="332" t="s">
        <v>150</v>
      </c>
      <c r="C79" s="333" t="s">
        <v>674</v>
      </c>
      <c r="D79" s="334"/>
      <c r="E79" s="351">
        <v>80000</v>
      </c>
      <c r="F79" s="258"/>
      <c r="G79">
        <v>1000</v>
      </c>
      <c r="H79" s="116">
        <f t="shared" si="0"/>
        <v>80000000</v>
      </c>
    </row>
    <row r="80" spans="1:8" ht="16.5" thickBot="1">
      <c r="A80" s="255">
        <v>19</v>
      </c>
      <c r="B80" s="332" t="s">
        <v>149</v>
      </c>
      <c r="C80" s="333" t="s">
        <v>674</v>
      </c>
      <c r="D80" s="334"/>
      <c r="E80" s="351">
        <v>25000</v>
      </c>
      <c r="F80" s="258"/>
      <c r="G80">
        <v>1000</v>
      </c>
      <c r="H80" s="116">
        <f t="shared" si="0"/>
        <v>25000000</v>
      </c>
    </row>
    <row r="81" spans="1:8" ht="16.5" thickBot="1">
      <c r="A81" s="255">
        <v>20</v>
      </c>
      <c r="B81" s="332" t="s">
        <v>78</v>
      </c>
      <c r="C81" s="333" t="s">
        <v>649</v>
      </c>
      <c r="D81" s="334"/>
      <c r="E81" s="351">
        <v>40000</v>
      </c>
      <c r="F81" s="258"/>
      <c r="G81">
        <v>1000</v>
      </c>
      <c r="H81" s="116">
        <f t="shared" si="0"/>
        <v>40000000</v>
      </c>
    </row>
    <row r="82" spans="1:8" ht="16.5" thickBot="1">
      <c r="A82" s="255">
        <v>21</v>
      </c>
      <c r="B82" s="332" t="s">
        <v>81</v>
      </c>
      <c r="C82" s="333" t="s">
        <v>649</v>
      </c>
      <c r="D82" s="334"/>
      <c r="E82" s="351">
        <v>40000</v>
      </c>
      <c r="F82" s="258"/>
      <c r="G82">
        <v>1000</v>
      </c>
      <c r="H82" s="116">
        <f t="shared" si="0"/>
        <v>40000000</v>
      </c>
    </row>
    <row r="83" spans="1:8" ht="16.5" thickBot="1">
      <c r="A83" s="255">
        <v>22</v>
      </c>
      <c r="B83" s="332" t="s">
        <v>684</v>
      </c>
      <c r="C83" s="333" t="s">
        <v>649</v>
      </c>
      <c r="D83" s="334">
        <v>120</v>
      </c>
      <c r="E83" s="351">
        <v>0</v>
      </c>
      <c r="F83" s="258"/>
      <c r="G83">
        <v>1000</v>
      </c>
      <c r="H83" s="116">
        <f t="shared" si="0"/>
        <v>0</v>
      </c>
    </row>
    <row r="84" spans="1:8" ht="16.5" thickBot="1">
      <c r="A84" s="255">
        <v>23</v>
      </c>
      <c r="B84" s="332" t="s">
        <v>205</v>
      </c>
      <c r="C84" s="333" t="s">
        <v>649</v>
      </c>
      <c r="D84" s="334"/>
      <c r="E84" s="351">
        <v>320000</v>
      </c>
      <c r="F84" s="258"/>
      <c r="G84">
        <v>1000</v>
      </c>
      <c r="H84" s="116">
        <f t="shared" si="0"/>
        <v>320000000</v>
      </c>
    </row>
    <row r="85" spans="1:8" ht="16.5" thickBot="1">
      <c r="A85" s="255">
        <v>24</v>
      </c>
      <c r="B85" s="332" t="s">
        <v>686</v>
      </c>
      <c r="C85" s="333" t="s">
        <v>649</v>
      </c>
      <c r="D85" s="334">
        <v>80</v>
      </c>
      <c r="E85" s="351">
        <v>0</v>
      </c>
      <c r="F85" s="258"/>
      <c r="G85">
        <v>1000</v>
      </c>
      <c r="H85" s="116">
        <f t="shared" si="0"/>
        <v>0</v>
      </c>
    </row>
    <row r="86" spans="1:8" ht="16.5" thickBot="1">
      <c r="A86" s="255">
        <v>25</v>
      </c>
      <c r="B86" s="332" t="s">
        <v>91</v>
      </c>
      <c r="C86" s="333" t="s">
        <v>650</v>
      </c>
      <c r="D86" s="334"/>
      <c r="E86" s="351">
        <v>40000</v>
      </c>
      <c r="F86" s="258"/>
      <c r="G86">
        <v>1000</v>
      </c>
      <c r="H86" s="116">
        <f t="shared" si="0"/>
        <v>40000000</v>
      </c>
    </row>
    <row r="87" spans="1:8" ht="16.5" thickBot="1">
      <c r="A87" s="255">
        <v>26</v>
      </c>
      <c r="B87" s="332" t="s">
        <v>169</v>
      </c>
      <c r="C87" s="333" t="s">
        <v>642</v>
      </c>
      <c r="D87" s="334"/>
      <c r="E87" s="351">
        <v>70000</v>
      </c>
      <c r="F87" s="258"/>
      <c r="G87">
        <v>1000</v>
      </c>
      <c r="H87" s="116">
        <f t="shared" si="0"/>
        <v>70000000</v>
      </c>
    </row>
    <row r="88" spans="1:8" ht="16.5" thickBot="1">
      <c r="A88" s="255">
        <v>27</v>
      </c>
      <c r="B88" s="332" t="s">
        <v>715</v>
      </c>
      <c r="C88" s="333" t="s">
        <v>642</v>
      </c>
      <c r="D88" s="334">
        <v>40</v>
      </c>
      <c r="E88" s="351">
        <v>0</v>
      </c>
      <c r="F88" s="258"/>
      <c r="G88">
        <v>1000</v>
      </c>
      <c r="H88" s="116">
        <f t="shared" si="0"/>
        <v>0</v>
      </c>
    </row>
    <row r="89" spans="1:8" ht="16.5" thickBot="1">
      <c r="A89" s="255">
        <v>28</v>
      </c>
      <c r="B89" s="332" t="s">
        <v>637</v>
      </c>
      <c r="C89" s="333" t="s">
        <v>636</v>
      </c>
      <c r="D89" s="334">
        <v>80</v>
      </c>
      <c r="E89" s="351">
        <v>0</v>
      </c>
      <c r="F89" s="258"/>
      <c r="G89">
        <v>1000</v>
      </c>
      <c r="H89" s="116">
        <f t="shared" si="0"/>
        <v>0</v>
      </c>
    </row>
    <row r="90" spans="1:8" ht="16.5" thickBot="1">
      <c r="A90" s="255">
        <v>29</v>
      </c>
      <c r="B90" s="332" t="s">
        <v>641</v>
      </c>
      <c r="C90" s="333" t="s">
        <v>636</v>
      </c>
      <c r="D90" s="334">
        <v>60</v>
      </c>
      <c r="E90" s="351">
        <v>0</v>
      </c>
      <c r="F90" s="258"/>
      <c r="G90">
        <v>1000</v>
      </c>
      <c r="H90" s="116">
        <f t="shared" si="0"/>
        <v>0</v>
      </c>
    </row>
    <row r="91" spans="1:8" ht="16.5" thickBot="1">
      <c r="A91" s="360" t="s">
        <v>676</v>
      </c>
      <c r="B91" s="361"/>
      <c r="C91" s="336"/>
      <c r="D91" s="337" t="s">
        <v>761</v>
      </c>
      <c r="E91" s="352" t="s">
        <v>762</v>
      </c>
      <c r="F91" s="337"/>
    </row>
    <row r="92" spans="1:8" ht="16.5" customHeight="1" thickBot="1">
      <c r="A92" s="360" t="s">
        <v>753</v>
      </c>
      <c r="B92" s="361"/>
      <c r="C92" s="336"/>
      <c r="D92" s="362" t="s">
        <v>763</v>
      </c>
      <c r="E92" s="363"/>
      <c r="F92" s="337"/>
    </row>
    <row r="93" spans="1:8" ht="15.75">
      <c r="A93" s="338" t="s">
        <v>764</v>
      </c>
    </row>
    <row r="94" spans="1:8">
      <c r="A94" s="339"/>
    </row>
    <row r="95" spans="1:8" ht="16.5">
      <c r="A95" s="324"/>
    </row>
    <row r="96" spans="1:8">
      <c r="A96" s="320"/>
    </row>
    <row r="97" spans="1:1">
      <c r="A97" s="341"/>
    </row>
  </sheetData>
  <pageMargins left="0.7" right="0.7" top="0.75" bottom="0.75" header="0.3" footer="0.3"/>
  <pageSetup paperSize="9"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8"/>
  <sheetViews>
    <sheetView topLeftCell="A82" workbookViewId="0">
      <selection activeCell="G23" sqref="G23"/>
    </sheetView>
  </sheetViews>
  <sheetFormatPr defaultRowHeight="15"/>
  <cols>
    <col min="1" max="1" width="9.140625" customWidth="1"/>
    <col min="2" max="2" width="23.5703125" customWidth="1"/>
    <col min="3" max="3" width="18" customWidth="1"/>
    <col min="4" max="4" width="21.42578125" customWidth="1"/>
    <col min="5" max="5" width="9.140625" customWidth="1"/>
  </cols>
  <sheetData>
    <row r="1" spans="1:5" ht="15.75">
      <c r="A1" s="205" t="s">
        <v>766</v>
      </c>
    </row>
    <row r="2" spans="1:5" ht="15.75">
      <c r="A2" s="232" t="s">
        <v>767</v>
      </c>
    </row>
    <row r="3" spans="1:5" ht="16.5" thickBot="1">
      <c r="A3" s="232"/>
    </row>
    <row r="4" spans="1:5" ht="57.75" customHeight="1" thickBot="1">
      <c r="A4" s="233" t="s">
        <v>0</v>
      </c>
      <c r="B4" s="234" t="s">
        <v>121</v>
      </c>
      <c r="C4" s="234" t="s">
        <v>632</v>
      </c>
      <c r="D4" s="234" t="s">
        <v>633</v>
      </c>
      <c r="E4" s="235" t="s">
        <v>634</v>
      </c>
    </row>
    <row r="5" spans="1:5" ht="30.75" customHeight="1" thickBot="1">
      <c r="A5" s="236">
        <v>1</v>
      </c>
      <c r="B5" s="237" t="s">
        <v>768</v>
      </c>
      <c r="C5" s="236" t="s">
        <v>769</v>
      </c>
      <c r="D5" s="238">
        <v>5000</v>
      </c>
      <c r="E5" s="239"/>
    </row>
    <row r="6" spans="1:5" ht="45.75" customHeight="1" thickBot="1">
      <c r="A6" s="236">
        <v>2</v>
      </c>
      <c r="B6" s="237" t="s">
        <v>770</v>
      </c>
      <c r="C6" s="236" t="s">
        <v>769</v>
      </c>
      <c r="D6" s="238">
        <v>5000</v>
      </c>
      <c r="E6" s="239"/>
    </row>
    <row r="7" spans="1:5" ht="45.75" customHeight="1" thickBot="1">
      <c r="A7" s="236">
        <v>3</v>
      </c>
      <c r="B7" s="237" t="s">
        <v>771</v>
      </c>
      <c r="C7" s="236" t="s">
        <v>769</v>
      </c>
      <c r="D7" s="238">
        <v>5000</v>
      </c>
      <c r="E7" s="239"/>
    </row>
    <row r="8" spans="1:5" ht="45.75" customHeight="1" thickBot="1">
      <c r="A8" s="236">
        <v>4</v>
      </c>
      <c r="B8" s="237" t="s">
        <v>772</v>
      </c>
      <c r="C8" s="236" t="s">
        <v>773</v>
      </c>
      <c r="D8" s="238">
        <v>5000</v>
      </c>
      <c r="E8" s="239"/>
    </row>
    <row r="9" spans="1:5" ht="45.75" customHeight="1" thickBot="1">
      <c r="A9" s="236">
        <v>5</v>
      </c>
      <c r="B9" s="237" t="s">
        <v>22</v>
      </c>
      <c r="C9" s="236" t="s">
        <v>774</v>
      </c>
      <c r="D9" s="238">
        <v>5000</v>
      </c>
      <c r="E9" s="239"/>
    </row>
    <row r="10" spans="1:5" ht="45.75" customHeight="1" thickBot="1">
      <c r="A10" s="236">
        <v>6</v>
      </c>
      <c r="B10" s="237" t="s">
        <v>757</v>
      </c>
      <c r="C10" s="236" t="s">
        <v>735</v>
      </c>
      <c r="D10" s="238">
        <v>10000</v>
      </c>
      <c r="E10" s="239"/>
    </row>
    <row r="11" spans="1:5" ht="30.75" customHeight="1" thickBot="1">
      <c r="A11" s="236">
        <v>7</v>
      </c>
      <c r="B11" s="237" t="s">
        <v>775</v>
      </c>
      <c r="C11" s="236" t="s">
        <v>642</v>
      </c>
      <c r="D11" s="238">
        <v>255000</v>
      </c>
      <c r="E11" s="239"/>
    </row>
    <row r="12" spans="1:5" ht="45.75" customHeight="1" thickBot="1">
      <c r="A12" s="236">
        <v>8</v>
      </c>
      <c r="B12" s="237" t="s">
        <v>776</v>
      </c>
      <c r="C12" s="236" t="s">
        <v>642</v>
      </c>
      <c r="D12" s="238">
        <v>255000</v>
      </c>
      <c r="E12" s="239"/>
    </row>
    <row r="13" spans="1:5" ht="45.75" customHeight="1" thickBot="1">
      <c r="A13" s="236">
        <v>9</v>
      </c>
      <c r="B13" s="237" t="s">
        <v>682</v>
      </c>
      <c r="C13" s="236" t="s">
        <v>642</v>
      </c>
      <c r="D13" s="238">
        <v>15000</v>
      </c>
      <c r="E13" s="239"/>
    </row>
    <row r="14" spans="1:5" ht="45.75" customHeight="1" thickBot="1">
      <c r="A14" s="236">
        <v>10</v>
      </c>
      <c r="B14" s="237" t="s">
        <v>777</v>
      </c>
      <c r="C14" s="236" t="s">
        <v>642</v>
      </c>
      <c r="D14" s="238">
        <v>90000</v>
      </c>
      <c r="E14" s="239"/>
    </row>
    <row r="15" spans="1:5" ht="30.75" customHeight="1" thickBot="1">
      <c r="A15" s="236">
        <v>11</v>
      </c>
      <c r="B15" s="237" t="s">
        <v>778</v>
      </c>
      <c r="C15" s="236" t="s">
        <v>642</v>
      </c>
      <c r="D15" s="238">
        <v>315000</v>
      </c>
      <c r="E15" s="239"/>
    </row>
    <row r="16" spans="1:5" ht="30.75" customHeight="1" thickBot="1">
      <c r="A16" s="236">
        <v>12</v>
      </c>
      <c r="B16" s="237" t="s">
        <v>779</v>
      </c>
      <c r="C16" s="236" t="s">
        <v>642</v>
      </c>
      <c r="D16" s="238">
        <v>5000</v>
      </c>
      <c r="E16" s="239"/>
    </row>
    <row r="17" spans="1:5" ht="45.75" customHeight="1" thickBot="1">
      <c r="A17" s="236">
        <v>13</v>
      </c>
      <c r="B17" s="237" t="s">
        <v>780</v>
      </c>
      <c r="C17" s="236" t="s">
        <v>642</v>
      </c>
      <c r="D17" s="238">
        <v>5000</v>
      </c>
      <c r="E17" s="239"/>
    </row>
    <row r="18" spans="1:5" ht="45.75" customHeight="1" thickBot="1">
      <c r="A18" s="236">
        <v>14</v>
      </c>
      <c r="B18" s="237" t="s">
        <v>207</v>
      </c>
      <c r="C18" s="236" t="s">
        <v>642</v>
      </c>
      <c r="D18" s="238">
        <v>5000</v>
      </c>
      <c r="E18" s="239"/>
    </row>
    <row r="19" spans="1:5" ht="30.75" customHeight="1" thickBot="1">
      <c r="A19" s="236">
        <v>15</v>
      </c>
      <c r="B19" s="237" t="s">
        <v>644</v>
      </c>
      <c r="C19" s="236" t="s">
        <v>642</v>
      </c>
      <c r="D19" s="238">
        <v>15000</v>
      </c>
      <c r="E19" s="239"/>
    </row>
    <row r="20" spans="1:5" ht="30.75" customHeight="1" thickBot="1">
      <c r="A20" s="236">
        <v>16</v>
      </c>
      <c r="B20" s="237" t="s">
        <v>153</v>
      </c>
      <c r="C20" s="236" t="s">
        <v>642</v>
      </c>
      <c r="D20" s="238">
        <v>10000</v>
      </c>
      <c r="E20" s="239"/>
    </row>
    <row r="21" spans="1:5" ht="45.75" customHeight="1" thickBot="1">
      <c r="A21" s="236">
        <v>17</v>
      </c>
      <c r="B21" s="237" t="s">
        <v>86</v>
      </c>
      <c r="C21" s="236" t="s">
        <v>642</v>
      </c>
      <c r="D21" s="238">
        <v>15000</v>
      </c>
      <c r="E21" s="239"/>
    </row>
    <row r="22" spans="1:5" ht="45.75" customHeight="1" thickBot="1">
      <c r="A22" s="236">
        <v>18</v>
      </c>
      <c r="B22" s="237" t="s">
        <v>681</v>
      </c>
      <c r="C22" s="236" t="s">
        <v>642</v>
      </c>
      <c r="D22" s="238">
        <v>15000</v>
      </c>
      <c r="E22" s="239"/>
    </row>
    <row r="23" spans="1:5" ht="45.75" customHeight="1" thickBot="1">
      <c r="A23" s="236">
        <v>19</v>
      </c>
      <c r="B23" s="237" t="s">
        <v>641</v>
      </c>
      <c r="C23" s="236" t="s">
        <v>717</v>
      </c>
      <c r="D23" s="238">
        <v>365000</v>
      </c>
      <c r="E23" s="239"/>
    </row>
    <row r="24" spans="1:5" ht="45.75" customHeight="1" thickBot="1">
      <c r="A24" s="236">
        <v>20</v>
      </c>
      <c r="B24" s="237" t="s">
        <v>781</v>
      </c>
      <c r="C24" s="236" t="s">
        <v>717</v>
      </c>
      <c r="D24" s="238">
        <v>100000</v>
      </c>
      <c r="E24" s="239"/>
    </row>
    <row r="25" spans="1:5" ht="30.75" customHeight="1" thickBot="1">
      <c r="A25" s="236">
        <v>21</v>
      </c>
      <c r="B25" s="237" t="s">
        <v>782</v>
      </c>
      <c r="C25" s="236" t="s">
        <v>717</v>
      </c>
      <c r="D25" s="238">
        <v>10000</v>
      </c>
      <c r="E25" s="239"/>
    </row>
    <row r="26" spans="1:5" ht="45.75" customHeight="1" thickBot="1">
      <c r="A26" s="236">
        <v>22</v>
      </c>
      <c r="B26" s="237" t="s">
        <v>106</v>
      </c>
      <c r="C26" s="236" t="s">
        <v>717</v>
      </c>
      <c r="D26" s="238">
        <v>15000</v>
      </c>
      <c r="E26" s="239"/>
    </row>
    <row r="27" spans="1:5" ht="45.75" customHeight="1" thickBot="1">
      <c r="A27" s="236">
        <v>23</v>
      </c>
      <c r="B27" s="237" t="s">
        <v>783</v>
      </c>
      <c r="C27" s="236" t="s">
        <v>717</v>
      </c>
      <c r="D27" s="238">
        <v>130000</v>
      </c>
      <c r="E27" s="239"/>
    </row>
    <row r="28" spans="1:5" ht="30.75" customHeight="1" thickBot="1">
      <c r="A28" s="236">
        <v>24</v>
      </c>
      <c r="B28" s="237" t="s">
        <v>784</v>
      </c>
      <c r="C28" s="236" t="s">
        <v>717</v>
      </c>
      <c r="D28" s="238">
        <v>290000</v>
      </c>
      <c r="E28" s="239"/>
    </row>
    <row r="29" spans="1:5" ht="45.75" customHeight="1" thickBot="1">
      <c r="A29" s="236">
        <v>25</v>
      </c>
      <c r="B29" s="237" t="s">
        <v>785</v>
      </c>
      <c r="C29" s="236" t="s">
        <v>717</v>
      </c>
      <c r="D29" s="238">
        <v>140000</v>
      </c>
      <c r="E29" s="239"/>
    </row>
    <row r="30" spans="1:5" ht="45.75" customHeight="1" thickBot="1">
      <c r="A30" s="236">
        <v>26</v>
      </c>
      <c r="B30" s="237" t="s">
        <v>786</v>
      </c>
      <c r="C30" s="236" t="s">
        <v>717</v>
      </c>
      <c r="D30" s="238">
        <v>205000</v>
      </c>
      <c r="E30" s="239"/>
    </row>
    <row r="31" spans="1:5" ht="45.75" customHeight="1" thickBot="1">
      <c r="A31" s="236">
        <v>27</v>
      </c>
      <c r="B31" s="237" t="s">
        <v>96</v>
      </c>
      <c r="C31" s="236" t="s">
        <v>717</v>
      </c>
      <c r="D31" s="238">
        <v>40000</v>
      </c>
      <c r="E31" s="239"/>
    </row>
    <row r="32" spans="1:5" ht="30.75" customHeight="1" thickBot="1">
      <c r="A32" s="236">
        <v>28</v>
      </c>
      <c r="B32" s="237" t="s">
        <v>787</v>
      </c>
      <c r="C32" s="236" t="s">
        <v>717</v>
      </c>
      <c r="D32" s="238">
        <v>60000</v>
      </c>
      <c r="E32" s="239"/>
    </row>
    <row r="33" spans="1:5" ht="45.75" customHeight="1" thickBot="1">
      <c r="A33" s="236">
        <v>29</v>
      </c>
      <c r="B33" s="237" t="s">
        <v>635</v>
      </c>
      <c r="C33" s="236" t="s">
        <v>717</v>
      </c>
      <c r="D33" s="238">
        <v>5000</v>
      </c>
      <c r="E33" s="239"/>
    </row>
    <row r="34" spans="1:5" ht="45.75" customHeight="1" thickBot="1">
      <c r="A34" s="236">
        <v>30</v>
      </c>
      <c r="B34" s="237" t="s">
        <v>788</v>
      </c>
      <c r="C34" s="236" t="s">
        <v>649</v>
      </c>
      <c r="D34" s="238">
        <v>370000</v>
      </c>
      <c r="E34" s="239"/>
    </row>
    <row r="35" spans="1:5" ht="45.75" customHeight="1" thickBot="1">
      <c r="A35" s="236">
        <v>31</v>
      </c>
      <c r="B35" s="237" t="s">
        <v>27</v>
      </c>
      <c r="C35" s="236" t="s">
        <v>649</v>
      </c>
      <c r="D35" s="238">
        <v>65000</v>
      </c>
      <c r="E35" s="239"/>
    </row>
    <row r="36" spans="1:5" ht="45.75" customHeight="1" thickBot="1">
      <c r="A36" s="236">
        <v>32</v>
      </c>
      <c r="B36" s="237" t="s">
        <v>205</v>
      </c>
      <c r="C36" s="236" t="s">
        <v>649</v>
      </c>
      <c r="D36" s="238">
        <v>145000</v>
      </c>
      <c r="E36" s="239"/>
    </row>
    <row r="37" spans="1:5" ht="45.75" customHeight="1" thickBot="1">
      <c r="A37" s="236">
        <v>33</v>
      </c>
      <c r="B37" s="237" t="s">
        <v>685</v>
      </c>
      <c r="C37" s="236" t="s">
        <v>649</v>
      </c>
      <c r="D37" s="238">
        <v>55000</v>
      </c>
      <c r="E37" s="239"/>
    </row>
    <row r="38" spans="1:5" ht="30.75" customHeight="1" thickBot="1">
      <c r="A38" s="236">
        <v>34</v>
      </c>
      <c r="B38" s="237" t="s">
        <v>789</v>
      </c>
      <c r="C38" s="236" t="s">
        <v>649</v>
      </c>
      <c r="D38" s="238">
        <v>95000</v>
      </c>
      <c r="E38" s="239"/>
    </row>
    <row r="39" spans="1:5" ht="45.75" customHeight="1" thickBot="1">
      <c r="A39" s="236">
        <v>35</v>
      </c>
      <c r="B39" s="237" t="s">
        <v>81</v>
      </c>
      <c r="C39" s="236" t="s">
        <v>649</v>
      </c>
      <c r="D39" s="238">
        <v>50000</v>
      </c>
      <c r="E39" s="239"/>
    </row>
    <row r="40" spans="1:5" ht="45.75" customHeight="1" thickBot="1">
      <c r="A40" s="236">
        <v>36</v>
      </c>
      <c r="B40" s="237" t="s">
        <v>686</v>
      </c>
      <c r="C40" s="236" t="s">
        <v>649</v>
      </c>
      <c r="D40" s="238">
        <v>20000</v>
      </c>
      <c r="E40" s="239"/>
    </row>
    <row r="41" spans="1:5" ht="45.75" customHeight="1" thickBot="1">
      <c r="A41" s="236">
        <v>37</v>
      </c>
      <c r="B41" s="237" t="s">
        <v>691</v>
      </c>
      <c r="C41" s="236" t="s">
        <v>649</v>
      </c>
      <c r="D41" s="238">
        <v>150000</v>
      </c>
      <c r="E41" s="239"/>
    </row>
    <row r="42" spans="1:5" ht="45.75" customHeight="1" thickBot="1">
      <c r="A42" s="236">
        <v>38</v>
      </c>
      <c r="B42" s="237" t="s">
        <v>790</v>
      </c>
      <c r="C42" s="236" t="s">
        <v>649</v>
      </c>
      <c r="D42" s="238">
        <v>25000</v>
      </c>
      <c r="E42" s="239"/>
    </row>
    <row r="43" spans="1:5" ht="30.75" customHeight="1" thickBot="1">
      <c r="A43" s="236">
        <v>39</v>
      </c>
      <c r="B43" s="237" t="s">
        <v>791</v>
      </c>
      <c r="C43" s="236" t="s">
        <v>649</v>
      </c>
      <c r="D43" s="238">
        <v>10000</v>
      </c>
      <c r="E43" s="239"/>
    </row>
    <row r="44" spans="1:5" ht="45.75" customHeight="1" thickBot="1">
      <c r="A44" s="236">
        <v>40</v>
      </c>
      <c r="B44" s="237" t="s">
        <v>684</v>
      </c>
      <c r="C44" s="236" t="s">
        <v>649</v>
      </c>
      <c r="D44" s="238">
        <v>20000</v>
      </c>
      <c r="E44" s="239"/>
    </row>
    <row r="45" spans="1:5" ht="30.75" customHeight="1" thickBot="1">
      <c r="A45" s="236">
        <v>41</v>
      </c>
      <c r="B45" s="237" t="s">
        <v>221</v>
      </c>
      <c r="C45" s="236" t="s">
        <v>649</v>
      </c>
      <c r="D45" s="238">
        <v>35000</v>
      </c>
      <c r="E45" s="239"/>
    </row>
    <row r="46" spans="1:5" ht="45.75" customHeight="1" thickBot="1">
      <c r="A46" s="236">
        <v>42</v>
      </c>
      <c r="B46" s="237" t="s">
        <v>792</v>
      </c>
      <c r="C46" s="236" t="s">
        <v>649</v>
      </c>
      <c r="D46" s="238">
        <v>35000</v>
      </c>
      <c r="E46" s="239"/>
    </row>
    <row r="47" spans="1:5" ht="30.75" customHeight="1" thickBot="1">
      <c r="A47" s="236">
        <v>43</v>
      </c>
      <c r="B47" s="237" t="s">
        <v>793</v>
      </c>
      <c r="C47" s="236" t="s">
        <v>649</v>
      </c>
      <c r="D47" s="238">
        <v>50000</v>
      </c>
      <c r="E47" s="239"/>
    </row>
    <row r="48" spans="1:5" ht="45.75" customHeight="1" thickBot="1">
      <c r="A48" s="236">
        <v>44</v>
      </c>
      <c r="B48" s="237" t="s">
        <v>648</v>
      </c>
      <c r="C48" s="236" t="s">
        <v>649</v>
      </c>
      <c r="D48" s="238">
        <v>10000</v>
      </c>
      <c r="E48" s="239"/>
    </row>
    <row r="49" spans="1:5" ht="45.75" customHeight="1" thickBot="1">
      <c r="A49" s="236">
        <v>45</v>
      </c>
      <c r="B49" s="237" t="s">
        <v>794</v>
      </c>
      <c r="C49" s="236" t="s">
        <v>649</v>
      </c>
      <c r="D49" s="238">
        <v>35000</v>
      </c>
      <c r="E49" s="239"/>
    </row>
    <row r="50" spans="1:5" ht="30.75" customHeight="1" thickBot="1">
      <c r="A50" s="236">
        <v>46</v>
      </c>
      <c r="B50" s="237" t="s">
        <v>795</v>
      </c>
      <c r="C50" s="236" t="s">
        <v>649</v>
      </c>
      <c r="D50" s="238">
        <v>15000</v>
      </c>
      <c r="E50" s="239"/>
    </row>
    <row r="51" spans="1:5" ht="45.75" customHeight="1" thickBot="1">
      <c r="A51" s="236">
        <v>47</v>
      </c>
      <c r="B51" s="237" t="s">
        <v>647</v>
      </c>
      <c r="C51" s="236" t="s">
        <v>646</v>
      </c>
      <c r="D51" s="238">
        <v>280000</v>
      </c>
      <c r="E51" s="239"/>
    </row>
    <row r="52" spans="1:5" ht="30.75" customHeight="1" thickBot="1">
      <c r="A52" s="236">
        <v>48</v>
      </c>
      <c r="B52" s="237" t="s">
        <v>796</v>
      </c>
      <c r="C52" s="236" t="s">
        <v>646</v>
      </c>
      <c r="D52" s="238">
        <v>160000</v>
      </c>
      <c r="E52" s="239"/>
    </row>
    <row r="53" spans="1:5" ht="45.75" customHeight="1" thickBot="1">
      <c r="A53" s="236">
        <v>49</v>
      </c>
      <c r="B53" s="237" t="s">
        <v>722</v>
      </c>
      <c r="C53" s="236" t="s">
        <v>646</v>
      </c>
      <c r="D53" s="238">
        <v>200000</v>
      </c>
      <c r="E53" s="239"/>
    </row>
    <row r="54" spans="1:5" ht="45.75" customHeight="1" thickBot="1">
      <c r="A54" s="236">
        <v>50</v>
      </c>
      <c r="B54" s="237" t="s">
        <v>683</v>
      </c>
      <c r="C54" s="236" t="s">
        <v>646</v>
      </c>
      <c r="D54" s="238">
        <v>15000</v>
      </c>
      <c r="E54" s="239"/>
    </row>
    <row r="55" spans="1:5" ht="45.75" customHeight="1" thickBot="1">
      <c r="A55" s="236">
        <v>51</v>
      </c>
      <c r="B55" s="237" t="s">
        <v>148</v>
      </c>
      <c r="C55" s="236" t="s">
        <v>646</v>
      </c>
      <c r="D55" s="238">
        <v>260000</v>
      </c>
      <c r="E55" s="239"/>
    </row>
    <row r="56" spans="1:5" ht="30.75" customHeight="1" thickBot="1">
      <c r="A56" s="236">
        <v>52</v>
      </c>
      <c r="B56" s="237" t="s">
        <v>797</v>
      </c>
      <c r="C56" s="236" t="s">
        <v>646</v>
      </c>
      <c r="D56" s="238">
        <v>65000</v>
      </c>
      <c r="E56" s="239"/>
    </row>
    <row r="57" spans="1:5" ht="45.75" customHeight="1" thickBot="1">
      <c r="A57" s="236">
        <v>53</v>
      </c>
      <c r="B57" s="237" t="s">
        <v>168</v>
      </c>
      <c r="C57" s="236" t="s">
        <v>646</v>
      </c>
      <c r="D57" s="238">
        <v>340000</v>
      </c>
      <c r="E57" s="239"/>
    </row>
    <row r="58" spans="1:5" ht="60.75" customHeight="1" thickBot="1">
      <c r="A58" s="236">
        <v>54</v>
      </c>
      <c r="B58" s="237" t="s">
        <v>798</v>
      </c>
      <c r="C58" s="236" t="s">
        <v>646</v>
      </c>
      <c r="D58" s="238">
        <v>50000</v>
      </c>
      <c r="E58" s="239"/>
    </row>
    <row r="59" spans="1:5" ht="45.75" customHeight="1" thickBot="1">
      <c r="A59" s="236">
        <v>55</v>
      </c>
      <c r="B59" s="237" t="s">
        <v>725</v>
      </c>
      <c r="C59" s="236" t="s">
        <v>646</v>
      </c>
      <c r="D59" s="238">
        <v>55000</v>
      </c>
      <c r="E59" s="239"/>
    </row>
    <row r="60" spans="1:5" ht="30.75" customHeight="1" thickBot="1">
      <c r="A60" s="236">
        <v>56</v>
      </c>
      <c r="B60" s="237" t="s">
        <v>723</v>
      </c>
      <c r="C60" s="236" t="s">
        <v>646</v>
      </c>
      <c r="D60" s="238">
        <v>280000</v>
      </c>
      <c r="E60" s="239"/>
    </row>
    <row r="61" spans="1:5" ht="45.75" customHeight="1" thickBot="1">
      <c r="A61" s="236">
        <v>57</v>
      </c>
      <c r="B61" s="237" t="s">
        <v>65</v>
      </c>
      <c r="C61" s="236" t="s">
        <v>646</v>
      </c>
      <c r="D61" s="238">
        <v>10000</v>
      </c>
      <c r="E61" s="239"/>
    </row>
    <row r="62" spans="1:5" ht="30.75" customHeight="1" thickBot="1">
      <c r="A62" s="236">
        <v>58</v>
      </c>
      <c r="B62" s="237" t="s">
        <v>799</v>
      </c>
      <c r="C62" s="236" t="s">
        <v>650</v>
      </c>
      <c r="D62" s="238">
        <v>105000</v>
      </c>
      <c r="E62" s="239"/>
    </row>
    <row r="63" spans="1:5" ht="30.75" customHeight="1" thickBot="1">
      <c r="A63" s="236">
        <v>59</v>
      </c>
      <c r="B63" s="237" t="s">
        <v>800</v>
      </c>
      <c r="C63" s="236" t="s">
        <v>650</v>
      </c>
      <c r="D63" s="238">
        <v>20000</v>
      </c>
      <c r="E63" s="239"/>
    </row>
    <row r="64" spans="1:5" ht="30.75" customHeight="1" thickBot="1">
      <c r="A64" s="236">
        <v>60</v>
      </c>
      <c r="B64" s="237" t="s">
        <v>801</v>
      </c>
      <c r="C64" s="236" t="s">
        <v>650</v>
      </c>
      <c r="D64" s="238">
        <v>110000</v>
      </c>
      <c r="E64" s="239"/>
    </row>
    <row r="65" spans="1:5" ht="45.75" customHeight="1" thickBot="1">
      <c r="A65" s="236">
        <v>61</v>
      </c>
      <c r="B65" s="237" t="s">
        <v>802</v>
      </c>
      <c r="C65" s="236" t="s">
        <v>650</v>
      </c>
      <c r="D65" s="238">
        <v>200000</v>
      </c>
      <c r="E65" s="239"/>
    </row>
    <row r="66" spans="1:5" ht="30.75" customHeight="1" thickBot="1">
      <c r="A66" s="236">
        <v>62</v>
      </c>
      <c r="B66" s="237" t="s">
        <v>803</v>
      </c>
      <c r="C66" s="236" t="s">
        <v>650</v>
      </c>
      <c r="D66" s="238">
        <v>515000</v>
      </c>
      <c r="E66" s="239"/>
    </row>
    <row r="67" spans="1:5" ht="30.75" customHeight="1" thickBot="1">
      <c r="A67" s="236">
        <v>63</v>
      </c>
      <c r="B67" s="237" t="s">
        <v>804</v>
      </c>
      <c r="C67" s="236" t="s">
        <v>650</v>
      </c>
      <c r="D67" s="238">
        <v>100000</v>
      </c>
      <c r="E67" s="239"/>
    </row>
    <row r="68" spans="1:5" ht="45.75" customHeight="1" thickBot="1">
      <c r="A68" s="236">
        <v>64</v>
      </c>
      <c r="B68" s="237" t="s">
        <v>805</v>
      </c>
      <c r="C68" s="236" t="s">
        <v>650</v>
      </c>
      <c r="D68" s="238">
        <v>5000</v>
      </c>
      <c r="E68" s="239"/>
    </row>
    <row r="69" spans="1:5" ht="30.75" customHeight="1" thickBot="1">
      <c r="A69" s="236">
        <v>65</v>
      </c>
      <c r="B69" s="237" t="s">
        <v>806</v>
      </c>
      <c r="C69" s="236" t="s">
        <v>650</v>
      </c>
      <c r="D69" s="238">
        <v>25000</v>
      </c>
      <c r="E69" s="239"/>
    </row>
    <row r="70" spans="1:5" ht="30.75" customHeight="1" thickBot="1">
      <c r="A70" s="236">
        <v>66</v>
      </c>
      <c r="B70" s="237" t="s">
        <v>688</v>
      </c>
      <c r="C70" s="236" t="s">
        <v>650</v>
      </c>
      <c r="D70" s="238">
        <v>90000</v>
      </c>
      <c r="E70" s="239"/>
    </row>
    <row r="71" spans="1:5" ht="30.75" customHeight="1" thickBot="1">
      <c r="A71" s="236">
        <v>67</v>
      </c>
      <c r="B71" s="237" t="s">
        <v>91</v>
      </c>
      <c r="C71" s="236" t="s">
        <v>650</v>
      </c>
      <c r="D71" s="238">
        <v>70000</v>
      </c>
      <c r="E71" s="239"/>
    </row>
    <row r="72" spans="1:5" ht="45.75" customHeight="1" thickBot="1">
      <c r="A72" s="236">
        <v>68</v>
      </c>
      <c r="B72" s="237" t="s">
        <v>83</v>
      </c>
      <c r="C72" s="236" t="s">
        <v>650</v>
      </c>
      <c r="D72" s="238">
        <v>30000</v>
      </c>
      <c r="E72" s="239"/>
    </row>
    <row r="73" spans="1:5" ht="30.75" customHeight="1" thickBot="1">
      <c r="A73" s="236">
        <v>69</v>
      </c>
      <c r="B73" s="237" t="s">
        <v>807</v>
      </c>
      <c r="C73" s="236" t="s">
        <v>650</v>
      </c>
      <c r="D73" s="238">
        <v>5000</v>
      </c>
      <c r="E73" s="239"/>
    </row>
    <row r="74" spans="1:5" ht="30.75" customHeight="1" thickBot="1">
      <c r="A74" s="236">
        <v>70</v>
      </c>
      <c r="B74" s="237" t="s">
        <v>651</v>
      </c>
      <c r="C74" s="236" t="s">
        <v>650</v>
      </c>
      <c r="D74" s="238">
        <v>10000</v>
      </c>
      <c r="E74" s="239"/>
    </row>
    <row r="75" spans="1:5" ht="45.75" customHeight="1" thickBot="1">
      <c r="A75" s="236">
        <v>71</v>
      </c>
      <c r="B75" s="237" t="s">
        <v>728</v>
      </c>
      <c r="C75" s="236" t="s">
        <v>650</v>
      </c>
      <c r="D75" s="238">
        <v>5000</v>
      </c>
      <c r="E75" s="239"/>
    </row>
    <row r="76" spans="1:5" ht="45.75" customHeight="1" thickBot="1">
      <c r="A76" s="236">
        <v>72</v>
      </c>
      <c r="B76" s="237" t="s">
        <v>727</v>
      </c>
      <c r="C76" s="236" t="s">
        <v>650</v>
      </c>
      <c r="D76" s="238">
        <v>5000</v>
      </c>
      <c r="E76" s="239"/>
    </row>
    <row r="77" spans="1:5" ht="45.75" customHeight="1" thickBot="1">
      <c r="A77" s="236">
        <v>73</v>
      </c>
      <c r="B77" s="237" t="s">
        <v>138</v>
      </c>
      <c r="C77" s="236" t="s">
        <v>653</v>
      </c>
      <c r="D77" s="238">
        <v>130000</v>
      </c>
      <c r="E77" s="239"/>
    </row>
    <row r="78" spans="1:5" ht="30.75" customHeight="1" thickBot="1">
      <c r="A78" s="236">
        <v>74</v>
      </c>
      <c r="B78" s="237" t="s">
        <v>659</v>
      </c>
      <c r="C78" s="236" t="s">
        <v>653</v>
      </c>
      <c r="D78" s="238">
        <v>380000</v>
      </c>
      <c r="E78" s="239"/>
    </row>
    <row r="79" spans="1:5" ht="30.75" customHeight="1" thickBot="1">
      <c r="A79" s="236">
        <v>75</v>
      </c>
      <c r="B79" s="237" t="s">
        <v>147</v>
      </c>
      <c r="C79" s="236" t="s">
        <v>653</v>
      </c>
      <c r="D79" s="238">
        <v>10000</v>
      </c>
      <c r="E79" s="239"/>
    </row>
    <row r="80" spans="1:5" ht="45.75" customHeight="1" thickBot="1">
      <c r="A80" s="236">
        <v>76</v>
      </c>
      <c r="B80" s="237" t="s">
        <v>44</v>
      </c>
      <c r="C80" s="236" t="s">
        <v>653</v>
      </c>
      <c r="D80" s="238">
        <v>125000</v>
      </c>
      <c r="E80" s="239"/>
    </row>
    <row r="81" spans="1:5" ht="30.75" customHeight="1" thickBot="1">
      <c r="A81" s="236">
        <v>77</v>
      </c>
      <c r="B81" s="237" t="s">
        <v>146</v>
      </c>
      <c r="C81" s="236" t="s">
        <v>653</v>
      </c>
      <c r="D81" s="238">
        <v>415000</v>
      </c>
      <c r="E81" s="239"/>
    </row>
    <row r="82" spans="1:5" ht="45.75" customHeight="1" thickBot="1">
      <c r="A82" s="236">
        <v>78</v>
      </c>
      <c r="B82" s="237" t="s">
        <v>48</v>
      </c>
      <c r="C82" s="236" t="s">
        <v>653</v>
      </c>
      <c r="D82" s="238">
        <v>75000</v>
      </c>
      <c r="E82" s="239"/>
    </row>
    <row r="83" spans="1:5" ht="45.75" customHeight="1" thickBot="1">
      <c r="A83" s="236">
        <v>79</v>
      </c>
      <c r="B83" s="237" t="s">
        <v>657</v>
      </c>
      <c r="C83" s="236" t="s">
        <v>653</v>
      </c>
      <c r="D83" s="238">
        <v>5000</v>
      </c>
      <c r="E83" s="239"/>
    </row>
    <row r="84" spans="1:5" ht="30.75" customHeight="1" thickBot="1">
      <c r="A84" s="236">
        <v>80</v>
      </c>
      <c r="B84" s="237" t="s">
        <v>658</v>
      </c>
      <c r="C84" s="236" t="s">
        <v>653</v>
      </c>
      <c r="D84" s="238">
        <v>20000</v>
      </c>
      <c r="E84" s="239"/>
    </row>
    <row r="85" spans="1:5" ht="45.75" customHeight="1" thickBot="1">
      <c r="A85" s="236">
        <v>81</v>
      </c>
      <c r="B85" s="237" t="s">
        <v>690</v>
      </c>
      <c r="C85" s="236" t="s">
        <v>653</v>
      </c>
      <c r="D85" s="238">
        <v>55000</v>
      </c>
      <c r="E85" s="239"/>
    </row>
    <row r="86" spans="1:5" ht="30.75" customHeight="1" thickBot="1">
      <c r="A86" s="236">
        <v>82</v>
      </c>
      <c r="B86" s="237" t="s">
        <v>655</v>
      </c>
      <c r="C86" s="236" t="s">
        <v>653</v>
      </c>
      <c r="D86" s="238">
        <v>60000</v>
      </c>
      <c r="E86" s="239"/>
    </row>
    <row r="87" spans="1:5" ht="45.75" customHeight="1" thickBot="1">
      <c r="A87" s="236">
        <v>83</v>
      </c>
      <c r="B87" s="237" t="s">
        <v>52</v>
      </c>
      <c r="C87" s="236" t="s">
        <v>653</v>
      </c>
      <c r="D87" s="238">
        <v>100000</v>
      </c>
      <c r="E87" s="239"/>
    </row>
    <row r="88" spans="1:5" ht="30.75" customHeight="1" thickBot="1">
      <c r="A88" s="236">
        <v>84</v>
      </c>
      <c r="B88" s="237" t="s">
        <v>98</v>
      </c>
      <c r="C88" s="236" t="s">
        <v>653</v>
      </c>
      <c r="D88" s="238">
        <v>20000</v>
      </c>
      <c r="E88" s="239"/>
    </row>
    <row r="89" spans="1:5" ht="30.75" customHeight="1" thickBot="1">
      <c r="A89" s="236">
        <v>85</v>
      </c>
      <c r="B89" s="237" t="s">
        <v>808</v>
      </c>
      <c r="C89" s="236" t="s">
        <v>653</v>
      </c>
      <c r="D89" s="238">
        <v>95000</v>
      </c>
      <c r="E89" s="239"/>
    </row>
    <row r="90" spans="1:5" ht="45.75" customHeight="1" thickBot="1">
      <c r="A90" s="236">
        <v>86</v>
      </c>
      <c r="B90" s="237" t="s">
        <v>689</v>
      </c>
      <c r="C90" s="236" t="s">
        <v>653</v>
      </c>
      <c r="D90" s="238">
        <v>25000</v>
      </c>
      <c r="E90" s="239"/>
    </row>
    <row r="91" spans="1:5" ht="45.75" customHeight="1" thickBot="1">
      <c r="A91" s="236">
        <v>87</v>
      </c>
      <c r="B91" s="237" t="s">
        <v>60</v>
      </c>
      <c r="C91" s="236" t="s">
        <v>653</v>
      </c>
      <c r="D91" s="238">
        <v>20000</v>
      </c>
      <c r="E91" s="239"/>
    </row>
    <row r="92" spans="1:5" ht="30.75" customHeight="1" thickBot="1">
      <c r="A92" s="236">
        <v>88</v>
      </c>
      <c r="B92" s="237" t="s">
        <v>46</v>
      </c>
      <c r="C92" s="236" t="s">
        <v>653</v>
      </c>
      <c r="D92" s="238">
        <v>20000</v>
      </c>
      <c r="E92" s="239"/>
    </row>
    <row r="93" spans="1:5" ht="30.75" customHeight="1" thickBot="1">
      <c r="A93" s="236">
        <v>89</v>
      </c>
      <c r="B93" s="237" t="s">
        <v>29</v>
      </c>
      <c r="C93" s="236" t="s">
        <v>653</v>
      </c>
      <c r="D93" s="238">
        <v>5000</v>
      </c>
      <c r="E93" s="239"/>
    </row>
    <row r="94" spans="1:5" ht="45.75" customHeight="1" thickBot="1">
      <c r="A94" s="236">
        <v>90</v>
      </c>
      <c r="B94" s="237" t="s">
        <v>670</v>
      </c>
      <c r="C94" s="236" t="s">
        <v>668</v>
      </c>
      <c r="D94" s="238">
        <v>70000</v>
      </c>
      <c r="E94" s="239"/>
    </row>
    <row r="95" spans="1:5" ht="45.75" customHeight="1" thickBot="1">
      <c r="A95" s="236">
        <v>91</v>
      </c>
      <c r="B95" s="237" t="s">
        <v>809</v>
      </c>
      <c r="C95" s="236" t="s">
        <v>668</v>
      </c>
      <c r="D95" s="238">
        <v>180000</v>
      </c>
      <c r="E95" s="239"/>
    </row>
    <row r="96" spans="1:5" ht="30.75" customHeight="1" thickBot="1">
      <c r="A96" s="236">
        <v>92</v>
      </c>
      <c r="B96" s="237" t="s">
        <v>810</v>
      </c>
      <c r="C96" s="236" t="s">
        <v>668</v>
      </c>
      <c r="D96" s="238">
        <v>100000</v>
      </c>
      <c r="E96" s="239"/>
    </row>
    <row r="97" spans="1:5" ht="60.75" customHeight="1" thickBot="1">
      <c r="A97" s="236">
        <v>93</v>
      </c>
      <c r="B97" s="237" t="s">
        <v>811</v>
      </c>
      <c r="C97" s="236" t="s">
        <v>668</v>
      </c>
      <c r="D97" s="238">
        <v>15000</v>
      </c>
      <c r="E97" s="239"/>
    </row>
    <row r="98" spans="1:5" ht="45.75" customHeight="1" thickBot="1">
      <c r="A98" s="236">
        <v>94</v>
      </c>
      <c r="B98" s="237" t="s">
        <v>25</v>
      </c>
      <c r="C98" s="236" t="s">
        <v>668</v>
      </c>
      <c r="D98" s="238">
        <v>100000</v>
      </c>
      <c r="E98" s="239"/>
    </row>
    <row r="99" spans="1:5" ht="45.75" customHeight="1" thickBot="1">
      <c r="A99" s="236">
        <v>95</v>
      </c>
      <c r="B99" s="237" t="s">
        <v>262</v>
      </c>
      <c r="C99" s="236" t="s">
        <v>668</v>
      </c>
      <c r="D99" s="238">
        <v>45000</v>
      </c>
      <c r="E99" s="239"/>
    </row>
    <row r="100" spans="1:5" ht="30.75" customHeight="1" thickBot="1">
      <c r="A100" s="236">
        <v>96</v>
      </c>
      <c r="B100" s="237" t="s">
        <v>812</v>
      </c>
      <c r="C100" s="236" t="s">
        <v>668</v>
      </c>
      <c r="D100" s="238">
        <v>65000</v>
      </c>
      <c r="E100" s="239"/>
    </row>
    <row r="101" spans="1:5" ht="30.75" customHeight="1" thickBot="1">
      <c r="A101" s="236">
        <v>97</v>
      </c>
      <c r="B101" s="237" t="s">
        <v>813</v>
      </c>
      <c r="C101" s="236" t="s">
        <v>668</v>
      </c>
      <c r="D101" s="238">
        <v>20000</v>
      </c>
      <c r="E101" s="239"/>
    </row>
    <row r="102" spans="1:5" ht="45.75" customHeight="1" thickBot="1">
      <c r="A102" s="236">
        <v>98</v>
      </c>
      <c r="B102" s="237" t="s">
        <v>732</v>
      </c>
      <c r="C102" s="236" t="s">
        <v>668</v>
      </c>
      <c r="D102" s="238">
        <v>135000</v>
      </c>
      <c r="E102" s="239"/>
    </row>
    <row r="103" spans="1:5" ht="45.75" customHeight="1" thickBot="1">
      <c r="A103" s="236">
        <v>99</v>
      </c>
      <c r="B103" s="237" t="s">
        <v>814</v>
      </c>
      <c r="C103" s="236" t="s">
        <v>668</v>
      </c>
      <c r="D103" s="238">
        <v>20000</v>
      </c>
      <c r="E103" s="239"/>
    </row>
    <row r="104" spans="1:5" ht="45.75" customHeight="1" thickBot="1">
      <c r="A104" s="236">
        <v>100</v>
      </c>
      <c r="B104" s="237" t="s">
        <v>815</v>
      </c>
      <c r="C104" s="236" t="s">
        <v>668</v>
      </c>
      <c r="D104" s="238">
        <v>195000</v>
      </c>
      <c r="E104" s="239"/>
    </row>
    <row r="105" spans="1:5" ht="45.75" customHeight="1" thickBot="1">
      <c r="A105" s="236">
        <v>101</v>
      </c>
      <c r="B105" s="237" t="s">
        <v>816</v>
      </c>
      <c r="C105" s="236" t="s">
        <v>668</v>
      </c>
      <c r="D105" s="238">
        <v>30000</v>
      </c>
      <c r="E105" s="239"/>
    </row>
    <row r="106" spans="1:5" ht="30.75" customHeight="1" thickBot="1">
      <c r="A106" s="236">
        <v>102</v>
      </c>
      <c r="B106" s="237" t="s">
        <v>817</v>
      </c>
      <c r="C106" s="236" t="s">
        <v>668</v>
      </c>
      <c r="D106" s="238">
        <v>10000</v>
      </c>
      <c r="E106" s="239"/>
    </row>
    <row r="107" spans="1:5" ht="30.75" customHeight="1" thickBot="1">
      <c r="A107" s="236">
        <v>103</v>
      </c>
      <c r="B107" s="237" t="s">
        <v>693</v>
      </c>
      <c r="C107" s="236" t="s">
        <v>668</v>
      </c>
      <c r="D107" s="238">
        <v>95000</v>
      </c>
      <c r="E107" s="239"/>
    </row>
    <row r="108" spans="1:5" ht="60.75" customHeight="1" thickBot="1">
      <c r="A108" s="236">
        <v>104</v>
      </c>
      <c r="B108" s="237" t="s">
        <v>692</v>
      </c>
      <c r="C108" s="236" t="s">
        <v>668</v>
      </c>
      <c r="D108" s="238">
        <v>15000</v>
      </c>
      <c r="E108" s="239"/>
    </row>
    <row r="109" spans="1:5" ht="45.75" customHeight="1" thickBot="1">
      <c r="A109" s="236">
        <v>105</v>
      </c>
      <c r="B109" s="237" t="s">
        <v>295</v>
      </c>
      <c r="C109" s="236" t="s">
        <v>668</v>
      </c>
      <c r="D109" s="238">
        <v>15000</v>
      </c>
      <c r="E109" s="239"/>
    </row>
    <row r="110" spans="1:5" ht="45.75" customHeight="1" thickBot="1">
      <c r="A110" s="236">
        <v>106</v>
      </c>
      <c r="B110" s="237" t="s">
        <v>39</v>
      </c>
      <c r="C110" s="236" t="s">
        <v>668</v>
      </c>
      <c r="D110" s="238">
        <v>25000</v>
      </c>
      <c r="E110" s="239"/>
    </row>
    <row r="111" spans="1:5" ht="30.75" customHeight="1" thickBot="1">
      <c r="A111" s="236">
        <v>107</v>
      </c>
      <c r="B111" s="237" t="s">
        <v>818</v>
      </c>
      <c r="C111" s="236" t="s">
        <v>668</v>
      </c>
      <c r="D111" s="238">
        <v>15000</v>
      </c>
      <c r="E111" s="239"/>
    </row>
    <row r="112" spans="1:5" ht="30.75" customHeight="1" thickBot="1">
      <c r="A112" s="236">
        <v>108</v>
      </c>
      <c r="B112" s="237" t="s">
        <v>819</v>
      </c>
      <c r="C112" s="236" t="s">
        <v>674</v>
      </c>
      <c r="D112" s="238">
        <v>80000</v>
      </c>
      <c r="E112" s="239"/>
    </row>
    <row r="113" spans="1:5" ht="45.75" customHeight="1" thickBot="1">
      <c r="A113" s="236">
        <v>109</v>
      </c>
      <c r="B113" s="237" t="s">
        <v>675</v>
      </c>
      <c r="C113" s="236" t="s">
        <v>674</v>
      </c>
      <c r="D113" s="238">
        <v>230000</v>
      </c>
      <c r="E113" s="239"/>
    </row>
    <row r="114" spans="1:5" ht="45.75" customHeight="1" thickBot="1">
      <c r="A114" s="236">
        <v>110</v>
      </c>
      <c r="B114" s="237" t="s">
        <v>820</v>
      </c>
      <c r="C114" s="236" t="s">
        <v>674</v>
      </c>
      <c r="D114" s="238">
        <v>275000</v>
      </c>
      <c r="E114" s="239"/>
    </row>
    <row r="115" spans="1:5" ht="30.75" customHeight="1" thickBot="1">
      <c r="A115" s="236">
        <v>111</v>
      </c>
      <c r="B115" s="237" t="s">
        <v>741</v>
      </c>
      <c r="C115" s="236" t="s">
        <v>674</v>
      </c>
      <c r="D115" s="238">
        <v>365000</v>
      </c>
      <c r="E115" s="239"/>
    </row>
    <row r="116" spans="1:5" ht="30.75" customHeight="1" thickBot="1">
      <c r="A116" s="236">
        <v>112</v>
      </c>
      <c r="B116" s="237" t="s">
        <v>821</v>
      </c>
      <c r="C116" s="236" t="s">
        <v>674</v>
      </c>
      <c r="D116" s="238">
        <v>325000</v>
      </c>
      <c r="E116" s="239"/>
    </row>
    <row r="117" spans="1:5" ht="30.75" customHeight="1" thickBot="1">
      <c r="A117" s="236">
        <v>113</v>
      </c>
      <c r="B117" s="237" t="s">
        <v>72</v>
      </c>
      <c r="C117" s="236" t="s">
        <v>674</v>
      </c>
      <c r="D117" s="238">
        <v>15000</v>
      </c>
      <c r="E117" s="239"/>
    </row>
    <row r="118" spans="1:5" ht="30.75" customHeight="1" thickBot="1">
      <c r="A118" s="236">
        <v>114</v>
      </c>
      <c r="B118" s="237" t="s">
        <v>149</v>
      </c>
      <c r="C118" s="236" t="s">
        <v>674</v>
      </c>
      <c r="D118" s="238">
        <v>25000</v>
      </c>
      <c r="E118" s="239"/>
    </row>
    <row r="119" spans="1:5" ht="45.75" customHeight="1" thickBot="1">
      <c r="A119" s="236">
        <v>115</v>
      </c>
      <c r="B119" s="237" t="s">
        <v>150</v>
      </c>
      <c r="C119" s="236" t="s">
        <v>674</v>
      </c>
      <c r="D119" s="238">
        <v>145000</v>
      </c>
      <c r="E119" s="239"/>
    </row>
    <row r="120" spans="1:5" ht="45.75" customHeight="1" thickBot="1">
      <c r="A120" s="236">
        <v>116</v>
      </c>
      <c r="B120" s="237" t="s">
        <v>182</v>
      </c>
      <c r="C120" s="236" t="s">
        <v>674</v>
      </c>
      <c r="D120" s="238">
        <v>125000</v>
      </c>
      <c r="E120" s="239"/>
    </row>
    <row r="121" spans="1:5" ht="30.75" customHeight="1" thickBot="1">
      <c r="A121" s="236">
        <v>117</v>
      </c>
      <c r="B121" s="237" t="s">
        <v>822</v>
      </c>
      <c r="C121" s="236" t="s">
        <v>674</v>
      </c>
      <c r="D121" s="238">
        <v>85000</v>
      </c>
      <c r="E121" s="239"/>
    </row>
    <row r="122" spans="1:5" ht="45.75" customHeight="1" thickBot="1">
      <c r="A122" s="236">
        <v>118</v>
      </c>
      <c r="B122" s="237" t="s">
        <v>76</v>
      </c>
      <c r="C122" s="236" t="s">
        <v>674</v>
      </c>
      <c r="D122" s="238">
        <v>40000</v>
      </c>
      <c r="E122" s="239"/>
    </row>
    <row r="123" spans="1:5" ht="15.75" thickBot="1">
      <c r="A123" s="236">
        <v>119</v>
      </c>
      <c r="B123" s="237" t="s">
        <v>823</v>
      </c>
      <c r="C123" s="236" t="s">
        <v>674</v>
      </c>
      <c r="D123" s="238">
        <v>5000</v>
      </c>
      <c r="E123" s="239"/>
    </row>
    <row r="124" spans="1:5" ht="15.75" thickBot="1">
      <c r="A124" s="286" t="s">
        <v>676</v>
      </c>
      <c r="B124" s="287"/>
      <c r="C124" s="241"/>
      <c r="D124" s="242">
        <v>11015000</v>
      </c>
      <c r="E124" s="243"/>
    </row>
    <row r="125" spans="1:5" ht="15.75">
      <c r="A125" s="365" t="s">
        <v>824</v>
      </c>
    </row>
    <row r="126" spans="1:5">
      <c r="A126" s="244"/>
    </row>
    <row r="127" spans="1:5">
      <c r="A127" s="244"/>
    </row>
    <row r="128" spans="1:5">
      <c r="A128" s="244"/>
    </row>
    <row r="129" spans="1:1">
      <c r="A129" s="244"/>
    </row>
    <row r="130" spans="1:1">
      <c r="A130" s="244"/>
    </row>
    <row r="131" spans="1:1">
      <c r="A131" s="244"/>
    </row>
    <row r="132" spans="1:1">
      <c r="A132" s="244"/>
    </row>
    <row r="133" spans="1:1">
      <c r="A133" s="244"/>
    </row>
    <row r="134" spans="1:1">
      <c r="A134" s="244"/>
    </row>
    <row r="135" spans="1:1">
      <c r="A135" s="244"/>
    </row>
    <row r="136" spans="1:1">
      <c r="A136" s="244"/>
    </row>
    <row r="137" spans="1:1">
      <c r="A137" s="284"/>
    </row>
    <row r="138" spans="1:1">
      <c r="A138" s="366"/>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election activeCell="G23" sqref="G23"/>
    </sheetView>
  </sheetViews>
  <sheetFormatPr defaultRowHeight="15"/>
  <cols>
    <col min="1" max="1" width="9.140625" customWidth="1"/>
    <col min="2" max="2" width="29.140625" customWidth="1"/>
    <col min="3" max="3" width="9.140625" customWidth="1"/>
    <col min="4" max="4" width="15.5703125" customWidth="1"/>
    <col min="5" max="5" width="16.5703125" customWidth="1"/>
    <col min="6" max="6" width="9.140625" customWidth="1"/>
  </cols>
  <sheetData>
    <row r="1" spans="1:6" ht="15.75">
      <c r="A1" s="205" t="s">
        <v>766</v>
      </c>
    </row>
    <row r="2" spans="1:6" ht="15.75">
      <c r="A2" s="232" t="s">
        <v>825</v>
      </c>
    </row>
    <row r="3" spans="1:6" ht="17.25" thickBot="1">
      <c r="A3" s="250"/>
    </row>
    <row r="4" spans="1:6" ht="28.5" customHeight="1" thickBot="1">
      <c r="A4" s="374" t="s">
        <v>0</v>
      </c>
      <c r="B4" s="374" t="s">
        <v>121</v>
      </c>
      <c r="C4" s="374" t="s">
        <v>632</v>
      </c>
      <c r="D4" s="233" t="s">
        <v>633</v>
      </c>
      <c r="E4" s="375"/>
      <c r="F4" s="374" t="s">
        <v>634</v>
      </c>
    </row>
    <row r="5" spans="1:6" ht="17.25" thickBot="1">
      <c r="A5" s="376"/>
      <c r="B5" s="376"/>
      <c r="C5" s="376"/>
      <c r="D5" s="367" t="s">
        <v>739</v>
      </c>
      <c r="E5" s="300" t="s">
        <v>740</v>
      </c>
      <c r="F5" s="376"/>
    </row>
    <row r="6" spans="1:6" ht="17.25" thickBot="1">
      <c r="A6" s="236">
        <v>1</v>
      </c>
      <c r="B6" s="368" t="s">
        <v>98</v>
      </c>
      <c r="C6" s="369" t="s">
        <v>717</v>
      </c>
      <c r="D6" s="292"/>
      <c r="E6" s="370">
        <v>80000</v>
      </c>
      <c r="F6" s="239"/>
    </row>
    <row r="7" spans="1:6" ht="66.75" customHeight="1" thickBot="1">
      <c r="A7" s="236">
        <v>2</v>
      </c>
      <c r="B7" s="368" t="s">
        <v>19</v>
      </c>
      <c r="C7" s="369" t="s">
        <v>717</v>
      </c>
      <c r="D7" s="292"/>
      <c r="E7" s="370">
        <v>20000</v>
      </c>
      <c r="F7" s="239"/>
    </row>
    <row r="8" spans="1:6" ht="50.25" customHeight="1" thickBot="1">
      <c r="A8" s="236">
        <v>3</v>
      </c>
      <c r="B8" s="368" t="s">
        <v>744</v>
      </c>
      <c r="C8" s="369" t="s">
        <v>717</v>
      </c>
      <c r="D8" s="371">
        <v>40000</v>
      </c>
      <c r="E8" s="372"/>
      <c r="F8" s="239"/>
    </row>
    <row r="9" spans="1:6" ht="50.25" customHeight="1" thickBot="1">
      <c r="A9" s="236">
        <v>4</v>
      </c>
      <c r="B9" s="368" t="s">
        <v>81</v>
      </c>
      <c r="C9" s="369" t="s">
        <v>649</v>
      </c>
      <c r="D9" s="292"/>
      <c r="E9" s="370">
        <v>100000</v>
      </c>
      <c r="F9" s="239"/>
    </row>
    <row r="10" spans="1:6" ht="50.25" customHeight="1" thickBot="1">
      <c r="A10" s="236">
        <v>5</v>
      </c>
      <c r="B10" s="368" t="s">
        <v>91</v>
      </c>
      <c r="C10" s="369" t="s">
        <v>650</v>
      </c>
      <c r="D10" s="292"/>
      <c r="E10" s="370">
        <v>60000</v>
      </c>
      <c r="F10" s="239"/>
    </row>
    <row r="11" spans="1:6" ht="66.75" customHeight="1" thickBot="1">
      <c r="A11" s="236">
        <v>6</v>
      </c>
      <c r="B11" s="368" t="s">
        <v>83</v>
      </c>
      <c r="C11" s="369" t="s">
        <v>650</v>
      </c>
      <c r="D11" s="292"/>
      <c r="E11" s="370">
        <v>40000</v>
      </c>
      <c r="F11" s="239"/>
    </row>
    <row r="12" spans="1:6" ht="50.25" customHeight="1" thickBot="1">
      <c r="A12" s="236">
        <v>7</v>
      </c>
      <c r="B12" s="368" t="s">
        <v>52</v>
      </c>
      <c r="C12" s="369" t="s">
        <v>650</v>
      </c>
      <c r="D12" s="292"/>
      <c r="E12" s="370">
        <v>60000</v>
      </c>
      <c r="F12" s="239"/>
    </row>
    <row r="13" spans="1:6" ht="66.75" customHeight="1" thickBot="1">
      <c r="A13" s="236">
        <v>8</v>
      </c>
      <c r="B13" s="368" t="s">
        <v>25</v>
      </c>
      <c r="C13" s="369" t="s">
        <v>668</v>
      </c>
      <c r="D13" s="292"/>
      <c r="E13" s="370">
        <v>60000</v>
      </c>
      <c r="F13" s="239"/>
    </row>
    <row r="14" spans="1:6" ht="50.25" customHeight="1" thickBot="1">
      <c r="A14" s="236">
        <v>9</v>
      </c>
      <c r="B14" s="368" t="s">
        <v>39</v>
      </c>
      <c r="C14" s="369" t="s">
        <v>668</v>
      </c>
      <c r="D14" s="292"/>
      <c r="E14" s="370">
        <v>20000</v>
      </c>
      <c r="F14" s="239"/>
    </row>
    <row r="15" spans="1:6" ht="33.75" customHeight="1" thickBot="1">
      <c r="A15" s="236">
        <v>10</v>
      </c>
      <c r="B15" s="368" t="s">
        <v>72</v>
      </c>
      <c r="C15" s="369" t="s">
        <v>674</v>
      </c>
      <c r="D15" s="292"/>
      <c r="E15" s="370">
        <v>80000</v>
      </c>
      <c r="F15" s="239"/>
    </row>
    <row r="16" spans="1:6" ht="66.75" customHeight="1" thickBot="1">
      <c r="A16" s="236">
        <v>11</v>
      </c>
      <c r="B16" s="368" t="s">
        <v>76</v>
      </c>
      <c r="C16" s="369" t="s">
        <v>674</v>
      </c>
      <c r="D16" s="292"/>
      <c r="E16" s="370">
        <v>40000</v>
      </c>
      <c r="F16" s="239"/>
    </row>
    <row r="17" spans="1:6" ht="50.25" customHeight="1" thickBot="1">
      <c r="A17" s="236">
        <v>12</v>
      </c>
      <c r="B17" s="368" t="s">
        <v>822</v>
      </c>
      <c r="C17" s="369" t="s">
        <v>674</v>
      </c>
      <c r="D17" s="292"/>
      <c r="E17" s="370">
        <v>60000</v>
      </c>
      <c r="F17" s="239"/>
    </row>
    <row r="18" spans="1:6" ht="66.75" customHeight="1" thickBot="1">
      <c r="A18" s="236">
        <v>13</v>
      </c>
      <c r="B18" s="368" t="s">
        <v>747</v>
      </c>
      <c r="C18" s="240" t="s">
        <v>661</v>
      </c>
      <c r="D18" s="371">
        <v>20000</v>
      </c>
      <c r="E18" s="372"/>
      <c r="F18" s="239"/>
    </row>
    <row r="19" spans="1:6" ht="17.25" thickBot="1">
      <c r="A19" s="236">
        <v>14</v>
      </c>
      <c r="B19" s="368" t="s">
        <v>662</v>
      </c>
      <c r="C19" s="240" t="s">
        <v>661</v>
      </c>
      <c r="D19" s="371">
        <v>20000</v>
      </c>
      <c r="E19" s="372"/>
      <c r="F19" s="239"/>
    </row>
    <row r="20" spans="1:6" ht="15.75" thickBot="1">
      <c r="A20" s="286" t="s">
        <v>676</v>
      </c>
      <c r="B20" s="377"/>
      <c r="C20" s="318"/>
      <c r="D20" s="373">
        <v>80000</v>
      </c>
      <c r="E20" s="373">
        <v>620000</v>
      </c>
      <c r="F20" s="243"/>
    </row>
    <row r="21" spans="1:6" ht="15.75" customHeight="1" thickBot="1">
      <c r="A21" s="286" t="s">
        <v>753</v>
      </c>
      <c r="B21" s="377"/>
      <c r="C21" s="318"/>
      <c r="D21" s="378">
        <v>700000</v>
      </c>
      <c r="E21" s="379"/>
      <c r="F21" s="243"/>
    </row>
    <row r="22" spans="1:6">
      <c r="A22" s="244" t="s">
        <v>826</v>
      </c>
    </row>
    <row r="23" spans="1:6">
      <c r="A23" s="244"/>
    </row>
    <row r="24" spans="1:6">
      <c r="A24" s="244"/>
    </row>
    <row r="25" spans="1:6">
      <c r="A25" s="244"/>
    </row>
    <row r="26" spans="1:6">
      <c r="A26" s="244"/>
    </row>
    <row r="27" spans="1:6">
      <c r="A27" s="284"/>
    </row>
    <row r="28" spans="1:6">
      <c r="A28" s="244"/>
    </row>
    <row r="29" spans="1:6">
      <c r="A29" s="28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7"/>
  <sheetViews>
    <sheetView workbookViewId="0">
      <selection activeCell="A28" sqref="A28:J28"/>
    </sheetView>
  </sheetViews>
  <sheetFormatPr defaultRowHeight="15"/>
  <cols>
    <col min="1" max="1" width="9.140625" customWidth="1"/>
    <col min="2" max="2" width="24.7109375" customWidth="1"/>
    <col min="3" max="3" width="15.42578125" customWidth="1"/>
    <col min="4" max="4" width="14.5703125" customWidth="1"/>
    <col min="5" max="5" width="14.7109375" customWidth="1"/>
    <col min="6" max="6" width="9.140625" customWidth="1"/>
  </cols>
  <sheetData>
    <row r="1" spans="1:6" ht="15.75">
      <c r="A1" s="205" t="s">
        <v>712</v>
      </c>
    </row>
    <row r="2" spans="1:6" ht="15.75">
      <c r="A2" s="232" t="s">
        <v>827</v>
      </c>
    </row>
    <row r="3" spans="1:6" ht="16.5" thickBot="1">
      <c r="A3" s="232"/>
    </row>
    <row r="4" spans="1:6" ht="31.5" customHeight="1" thickBot="1">
      <c r="A4" s="380" t="s">
        <v>0</v>
      </c>
      <c r="B4" s="380" t="s">
        <v>121</v>
      </c>
      <c r="C4" s="380" t="s">
        <v>632</v>
      </c>
      <c r="D4" s="398" t="s">
        <v>633</v>
      </c>
      <c r="E4" s="399"/>
      <c r="F4" s="380" t="s">
        <v>699</v>
      </c>
    </row>
    <row r="5" spans="1:6" ht="16.5" thickBot="1">
      <c r="A5" s="400"/>
      <c r="B5" s="400"/>
      <c r="C5" s="400"/>
      <c r="D5" s="381" t="s">
        <v>828</v>
      </c>
      <c r="E5" s="381" t="s">
        <v>829</v>
      </c>
      <c r="F5" s="400"/>
    </row>
    <row r="6" spans="1:6" ht="16.5" thickBot="1">
      <c r="A6" s="382">
        <v>1</v>
      </c>
      <c r="B6" s="383" t="s">
        <v>154</v>
      </c>
      <c r="C6" s="384" t="s">
        <v>636</v>
      </c>
      <c r="D6" s="314" t="s">
        <v>830</v>
      </c>
      <c r="E6" s="313">
        <v>371000</v>
      </c>
      <c r="F6" s="386"/>
    </row>
    <row r="7" spans="1:6" ht="30.75" customHeight="1" thickBot="1">
      <c r="A7" s="382">
        <v>2</v>
      </c>
      <c r="B7" s="383" t="s">
        <v>744</v>
      </c>
      <c r="C7" s="384" t="s">
        <v>636</v>
      </c>
      <c r="D7" s="313">
        <v>1310000</v>
      </c>
      <c r="E7" s="386"/>
      <c r="F7" s="386"/>
    </row>
    <row r="8" spans="1:6" ht="30.75" customHeight="1" thickBot="1">
      <c r="A8" s="382">
        <v>3</v>
      </c>
      <c r="B8" s="383" t="s">
        <v>98</v>
      </c>
      <c r="C8" s="384" t="s">
        <v>636</v>
      </c>
      <c r="D8" s="312"/>
      <c r="E8" s="313">
        <v>80000</v>
      </c>
      <c r="F8" s="387"/>
    </row>
    <row r="9" spans="1:6" ht="30.75" customHeight="1" thickBot="1">
      <c r="A9" s="382">
        <v>4</v>
      </c>
      <c r="B9" s="383" t="s">
        <v>640</v>
      </c>
      <c r="C9" s="384" t="s">
        <v>636</v>
      </c>
      <c r="D9" s="313">
        <v>135000</v>
      </c>
      <c r="E9" s="386"/>
      <c r="F9" s="386"/>
    </row>
    <row r="10" spans="1:6" ht="45.75" customHeight="1" thickBot="1">
      <c r="A10" s="382">
        <v>5</v>
      </c>
      <c r="B10" s="383" t="s">
        <v>641</v>
      </c>
      <c r="C10" s="384" t="s">
        <v>636</v>
      </c>
      <c r="D10" s="313">
        <v>102000</v>
      </c>
      <c r="E10" s="386"/>
      <c r="F10" s="386"/>
    </row>
    <row r="11" spans="1:6" ht="45.75" customHeight="1" thickBot="1">
      <c r="A11" s="382">
        <v>6</v>
      </c>
      <c r="B11" s="383" t="s">
        <v>168</v>
      </c>
      <c r="C11" s="384" t="s">
        <v>646</v>
      </c>
      <c r="D11" s="312"/>
      <c r="E11" s="313">
        <v>42000</v>
      </c>
      <c r="F11" s="386"/>
    </row>
    <row r="12" spans="1:6" ht="30.75" customHeight="1" thickBot="1">
      <c r="A12" s="382">
        <v>7</v>
      </c>
      <c r="B12" s="383" t="s">
        <v>187</v>
      </c>
      <c r="C12" s="384" t="s">
        <v>649</v>
      </c>
      <c r="D12" s="312"/>
      <c r="E12" s="313">
        <v>1355000</v>
      </c>
      <c r="F12" s="387"/>
    </row>
    <row r="13" spans="1:6" ht="30.75" customHeight="1" thickBot="1">
      <c r="A13" s="382">
        <v>8</v>
      </c>
      <c r="B13" s="383" t="s">
        <v>152</v>
      </c>
      <c r="C13" s="384" t="s">
        <v>649</v>
      </c>
      <c r="D13" s="312"/>
      <c r="E13" s="313">
        <v>1037000</v>
      </c>
      <c r="F13" s="387"/>
    </row>
    <row r="14" spans="1:6" ht="45.75" customHeight="1" thickBot="1">
      <c r="A14" s="382">
        <v>9</v>
      </c>
      <c r="B14" s="383" t="s">
        <v>81</v>
      </c>
      <c r="C14" s="384" t="s">
        <v>649</v>
      </c>
      <c r="D14" s="312"/>
      <c r="E14" s="313">
        <v>11000</v>
      </c>
      <c r="F14" s="386"/>
    </row>
    <row r="15" spans="1:6" ht="45.75" customHeight="1" thickBot="1">
      <c r="A15" s="382">
        <v>10</v>
      </c>
      <c r="B15" s="383" t="s">
        <v>27</v>
      </c>
      <c r="C15" s="384" t="s">
        <v>649</v>
      </c>
      <c r="D15" s="312"/>
      <c r="E15" s="313">
        <v>23000</v>
      </c>
      <c r="F15" s="387"/>
    </row>
    <row r="16" spans="1:6" ht="45.75" customHeight="1" thickBot="1">
      <c r="A16" s="382">
        <v>11</v>
      </c>
      <c r="B16" s="383" t="s">
        <v>831</v>
      </c>
      <c r="C16" s="384" t="s">
        <v>649</v>
      </c>
      <c r="D16" s="312"/>
      <c r="E16" s="313">
        <v>9000</v>
      </c>
      <c r="F16" s="387"/>
    </row>
    <row r="17" spans="1:6" ht="60.75" customHeight="1" thickBot="1">
      <c r="A17" s="382">
        <v>12</v>
      </c>
      <c r="B17" s="383" t="s">
        <v>89</v>
      </c>
      <c r="C17" s="384" t="s">
        <v>650</v>
      </c>
      <c r="D17" s="312"/>
      <c r="E17" s="313">
        <v>42000</v>
      </c>
      <c r="F17" s="387"/>
    </row>
    <row r="18" spans="1:6" ht="30.75" customHeight="1" thickBot="1">
      <c r="A18" s="382">
        <v>13</v>
      </c>
      <c r="B18" s="383" t="s">
        <v>765</v>
      </c>
      <c r="C18" s="384" t="s">
        <v>650</v>
      </c>
      <c r="D18" s="312"/>
      <c r="E18" s="313">
        <v>63000</v>
      </c>
      <c r="F18" s="387"/>
    </row>
    <row r="19" spans="1:6" ht="45.75" customHeight="1" thickBot="1">
      <c r="A19" s="382">
        <v>14</v>
      </c>
      <c r="B19" s="383" t="s">
        <v>728</v>
      </c>
      <c r="C19" s="384" t="s">
        <v>650</v>
      </c>
      <c r="D19" s="313">
        <v>436000</v>
      </c>
      <c r="E19" s="386"/>
      <c r="F19" s="387"/>
    </row>
    <row r="20" spans="1:6" ht="30.75" customHeight="1" thickBot="1">
      <c r="A20" s="382">
        <v>15</v>
      </c>
      <c r="B20" s="383" t="s">
        <v>91</v>
      </c>
      <c r="C20" s="384" t="s">
        <v>650</v>
      </c>
      <c r="D20" s="312"/>
      <c r="E20" s="313">
        <v>86000</v>
      </c>
      <c r="F20" s="387"/>
    </row>
    <row r="21" spans="1:6" ht="45.75" customHeight="1" thickBot="1">
      <c r="A21" s="382">
        <v>16</v>
      </c>
      <c r="B21" s="383" t="s">
        <v>83</v>
      </c>
      <c r="C21" s="384" t="s">
        <v>650</v>
      </c>
      <c r="D21" s="312"/>
      <c r="E21" s="313">
        <v>34000</v>
      </c>
      <c r="F21" s="387"/>
    </row>
    <row r="22" spans="1:6" ht="30.75" customHeight="1" thickBot="1">
      <c r="A22" s="382">
        <v>17</v>
      </c>
      <c r="B22" s="383" t="s">
        <v>688</v>
      </c>
      <c r="C22" s="384" t="s">
        <v>650</v>
      </c>
      <c r="D22" s="313">
        <v>147000</v>
      </c>
      <c r="E22" s="386"/>
      <c r="F22" s="387"/>
    </row>
    <row r="23" spans="1:6" ht="30.75" customHeight="1" thickBot="1">
      <c r="A23" s="382">
        <v>18</v>
      </c>
      <c r="B23" s="383" t="s">
        <v>651</v>
      </c>
      <c r="C23" s="384" t="s">
        <v>650</v>
      </c>
      <c r="D23" s="313">
        <v>105000</v>
      </c>
      <c r="E23" s="386"/>
      <c r="F23" s="387"/>
    </row>
    <row r="24" spans="1:6" ht="45.75" customHeight="1" thickBot="1">
      <c r="A24" s="382">
        <v>19</v>
      </c>
      <c r="B24" s="383" t="s">
        <v>727</v>
      </c>
      <c r="C24" s="384" t="s">
        <v>650</v>
      </c>
      <c r="D24" s="313">
        <v>185000</v>
      </c>
      <c r="E24" s="386"/>
      <c r="F24" s="387"/>
    </row>
    <row r="25" spans="1:6" ht="45.75" customHeight="1" thickBot="1">
      <c r="A25" s="382">
        <v>20</v>
      </c>
      <c r="B25" s="383" t="s">
        <v>56</v>
      </c>
      <c r="C25" s="384" t="s">
        <v>653</v>
      </c>
      <c r="D25" s="312"/>
      <c r="E25" s="313">
        <v>636000</v>
      </c>
      <c r="F25" s="387"/>
    </row>
    <row r="26" spans="1:6" ht="45.75" customHeight="1" thickBot="1">
      <c r="A26" s="382">
        <v>21</v>
      </c>
      <c r="B26" s="383" t="s">
        <v>50</v>
      </c>
      <c r="C26" s="384" t="s">
        <v>653</v>
      </c>
      <c r="D26" s="312"/>
      <c r="E26" s="313">
        <v>795000</v>
      </c>
      <c r="F26" s="387"/>
    </row>
    <row r="27" spans="1:6" ht="30.75" customHeight="1" thickBot="1">
      <c r="A27" s="382">
        <v>22</v>
      </c>
      <c r="B27" s="383" t="s">
        <v>731</v>
      </c>
      <c r="C27" s="384" t="s">
        <v>653</v>
      </c>
      <c r="D27" s="313">
        <v>105000</v>
      </c>
      <c r="E27" s="386"/>
      <c r="F27" s="387"/>
    </row>
    <row r="28" spans="1:6" ht="45.75" customHeight="1" thickBot="1">
      <c r="A28" s="382">
        <v>23</v>
      </c>
      <c r="B28" s="383" t="s">
        <v>60</v>
      </c>
      <c r="C28" s="384" t="s">
        <v>653</v>
      </c>
      <c r="D28" s="314" t="s">
        <v>832</v>
      </c>
      <c r="E28" s="313">
        <v>94000</v>
      </c>
      <c r="F28" s="387"/>
    </row>
    <row r="29" spans="1:6" ht="30.75" customHeight="1" thickBot="1">
      <c r="A29" s="382">
        <v>24</v>
      </c>
      <c r="B29" s="383" t="s">
        <v>659</v>
      </c>
      <c r="C29" s="384" t="s">
        <v>653</v>
      </c>
      <c r="D29" s="313">
        <v>60000</v>
      </c>
      <c r="E29" s="386"/>
      <c r="F29" s="387"/>
    </row>
    <row r="30" spans="1:6" ht="30.75" customHeight="1" thickBot="1">
      <c r="A30" s="382">
        <v>25</v>
      </c>
      <c r="B30" s="383" t="s">
        <v>745</v>
      </c>
      <c r="C30" s="384" t="s">
        <v>661</v>
      </c>
      <c r="D30" s="313">
        <v>24000</v>
      </c>
      <c r="E30" s="386"/>
      <c r="F30" s="387"/>
    </row>
    <row r="31" spans="1:6" ht="45.75" customHeight="1" thickBot="1">
      <c r="A31" s="382">
        <v>26</v>
      </c>
      <c r="B31" s="383" t="s">
        <v>664</v>
      </c>
      <c r="C31" s="384" t="s">
        <v>661</v>
      </c>
      <c r="D31" s="312"/>
      <c r="E31" s="313">
        <v>8000</v>
      </c>
      <c r="F31" s="387"/>
    </row>
    <row r="32" spans="1:6" ht="45.75" customHeight="1" thickBot="1">
      <c r="A32" s="382">
        <v>27</v>
      </c>
      <c r="B32" s="383" t="s">
        <v>752</v>
      </c>
      <c r="C32" s="384" t="s">
        <v>661</v>
      </c>
      <c r="D32" s="312"/>
      <c r="E32" s="313">
        <v>31000</v>
      </c>
      <c r="F32" s="387"/>
    </row>
    <row r="33" spans="1:6" ht="45.75" customHeight="1" thickBot="1">
      <c r="A33" s="382">
        <v>28</v>
      </c>
      <c r="B33" s="383" t="s">
        <v>749</v>
      </c>
      <c r="C33" s="384" t="s">
        <v>661</v>
      </c>
      <c r="D33" s="312"/>
      <c r="E33" s="313">
        <v>24000</v>
      </c>
      <c r="F33" s="387"/>
    </row>
    <row r="34" spans="1:6" ht="30.75" customHeight="1" thickBot="1">
      <c r="A34" s="382">
        <v>29</v>
      </c>
      <c r="B34" s="383" t="s">
        <v>750</v>
      </c>
      <c r="C34" s="384" t="s">
        <v>661</v>
      </c>
      <c r="D34" s="312"/>
      <c r="E34" s="313">
        <v>15000</v>
      </c>
      <c r="F34" s="387"/>
    </row>
    <row r="35" spans="1:6" ht="45.75" customHeight="1" thickBot="1">
      <c r="A35" s="382">
        <v>30</v>
      </c>
      <c r="B35" s="383" t="s">
        <v>691</v>
      </c>
      <c r="C35" s="384" t="s">
        <v>668</v>
      </c>
      <c r="D35" s="313">
        <v>75000</v>
      </c>
      <c r="E35" s="386"/>
      <c r="F35" s="387"/>
    </row>
    <row r="36" spans="1:6" ht="45.75" customHeight="1" thickBot="1">
      <c r="A36" s="382">
        <v>31</v>
      </c>
      <c r="B36" s="383" t="s">
        <v>39</v>
      </c>
      <c r="C36" s="384" t="s">
        <v>668</v>
      </c>
      <c r="D36" s="312"/>
      <c r="E36" s="313">
        <v>237000</v>
      </c>
      <c r="F36" s="387"/>
    </row>
    <row r="37" spans="1:6" ht="45.75" customHeight="1" thickBot="1">
      <c r="A37" s="382">
        <v>32</v>
      </c>
      <c r="B37" s="383" t="s">
        <v>31</v>
      </c>
      <c r="C37" s="384" t="s">
        <v>668</v>
      </c>
      <c r="D37" s="312"/>
      <c r="E37" s="313">
        <v>21000</v>
      </c>
      <c r="F37" s="387"/>
    </row>
    <row r="38" spans="1:6" ht="30.75" customHeight="1" thickBot="1">
      <c r="A38" s="382">
        <v>33</v>
      </c>
      <c r="B38" s="383" t="s">
        <v>213</v>
      </c>
      <c r="C38" s="384" t="s">
        <v>668</v>
      </c>
      <c r="D38" s="312"/>
      <c r="E38" s="313">
        <v>40000</v>
      </c>
      <c r="F38" s="387"/>
    </row>
    <row r="39" spans="1:6" ht="45.75" customHeight="1" thickBot="1">
      <c r="A39" s="382">
        <v>34</v>
      </c>
      <c r="B39" s="383" t="s">
        <v>295</v>
      </c>
      <c r="C39" s="384" t="s">
        <v>668</v>
      </c>
      <c r="D39" s="312"/>
      <c r="E39" s="313">
        <v>26000</v>
      </c>
      <c r="F39" s="387"/>
    </row>
    <row r="40" spans="1:6" ht="60.75" customHeight="1" thickBot="1">
      <c r="A40" s="382">
        <v>35</v>
      </c>
      <c r="B40" s="383" t="s">
        <v>435</v>
      </c>
      <c r="C40" s="384" t="s">
        <v>668</v>
      </c>
      <c r="D40" s="312"/>
      <c r="E40" s="313">
        <v>86000</v>
      </c>
      <c r="F40" s="387"/>
    </row>
    <row r="41" spans="1:6" ht="30.75" customHeight="1" thickBot="1">
      <c r="A41" s="382">
        <v>36</v>
      </c>
      <c r="B41" s="383" t="s">
        <v>742</v>
      </c>
      <c r="C41" s="384" t="s">
        <v>674</v>
      </c>
      <c r="D41" s="313">
        <v>2199000</v>
      </c>
      <c r="E41" s="386"/>
      <c r="F41" s="387"/>
    </row>
    <row r="42" spans="1:6" ht="45.75" customHeight="1" thickBot="1">
      <c r="A42" s="382">
        <v>37</v>
      </c>
      <c r="B42" s="383" t="s">
        <v>743</v>
      </c>
      <c r="C42" s="384" t="s">
        <v>674</v>
      </c>
      <c r="D42" s="313">
        <v>311000</v>
      </c>
      <c r="E42" s="386"/>
      <c r="F42" s="387"/>
    </row>
    <row r="43" spans="1:6" ht="45.75" customHeight="1" thickBot="1">
      <c r="A43" s="382">
        <v>38</v>
      </c>
      <c r="B43" s="383" t="s">
        <v>76</v>
      </c>
      <c r="C43" s="384" t="s">
        <v>674</v>
      </c>
      <c r="D43" s="314" t="s">
        <v>830</v>
      </c>
      <c r="E43" s="313">
        <v>116000</v>
      </c>
      <c r="F43" s="387"/>
    </row>
    <row r="44" spans="1:6" ht="16.5" thickBot="1">
      <c r="A44" s="382">
        <v>39</v>
      </c>
      <c r="B44" s="383" t="s">
        <v>741</v>
      </c>
      <c r="C44" s="384" t="s">
        <v>674</v>
      </c>
      <c r="D44" s="313">
        <v>124000</v>
      </c>
      <c r="E44" s="386"/>
      <c r="F44" s="387"/>
    </row>
    <row r="45" spans="1:6" ht="16.5" thickBot="1">
      <c r="A45" s="401" t="s">
        <v>758</v>
      </c>
      <c r="B45" s="402"/>
      <c r="C45" s="336"/>
      <c r="D45" s="388">
        <v>5318000</v>
      </c>
      <c r="E45" s="388">
        <v>5282000</v>
      </c>
      <c r="F45" s="389"/>
    </row>
    <row r="46" spans="1:6" ht="16.5" customHeight="1" thickBot="1">
      <c r="A46" s="401" t="s">
        <v>833</v>
      </c>
      <c r="B46" s="402"/>
      <c r="C46" s="336"/>
      <c r="D46" s="403">
        <v>10600000</v>
      </c>
      <c r="E46" s="404"/>
      <c r="F46" s="390"/>
    </row>
    <row r="47" spans="1:6" ht="15.75">
      <c r="A47" s="365" t="s">
        <v>834</v>
      </c>
    </row>
    <row r="48" spans="1:6" ht="15.75">
      <c r="A48" s="205"/>
    </row>
    <row r="49" spans="1:4" ht="15.75">
      <c r="A49" s="205" t="s">
        <v>705</v>
      </c>
    </row>
    <row r="50" spans="1:4" ht="15.75">
      <c r="A50" s="232" t="s">
        <v>835</v>
      </c>
    </row>
    <row r="51" spans="1:4" ht="17.25" thickBot="1">
      <c r="A51" s="250"/>
    </row>
    <row r="52" spans="1:4" ht="63.75" customHeight="1" thickBot="1">
      <c r="A52" s="265" t="s">
        <v>0</v>
      </c>
      <c r="B52" s="266" t="s">
        <v>632</v>
      </c>
      <c r="C52" s="266" t="s">
        <v>633</v>
      </c>
      <c r="D52" s="267" t="s">
        <v>699</v>
      </c>
    </row>
    <row r="53" spans="1:4" ht="83.25" customHeight="1" thickBot="1">
      <c r="A53" s="278">
        <v>1</v>
      </c>
      <c r="B53" s="391" t="s">
        <v>836</v>
      </c>
      <c r="C53" s="392">
        <v>2000000</v>
      </c>
      <c r="D53" s="393"/>
    </row>
    <row r="54" spans="1:4" ht="33.75" thickBot="1">
      <c r="A54" s="240">
        <v>2</v>
      </c>
      <c r="B54" s="368" t="s">
        <v>837</v>
      </c>
      <c r="C54" s="394">
        <v>1000000</v>
      </c>
      <c r="D54" s="395"/>
    </row>
    <row r="55" spans="1:4" ht="17.25" thickBot="1">
      <c r="A55" s="405" t="s">
        <v>676</v>
      </c>
      <c r="B55" s="406"/>
      <c r="C55" s="276" t="s">
        <v>710</v>
      </c>
      <c r="D55" s="396"/>
    </row>
    <row r="56" spans="1:4" ht="16.5">
      <c r="A56" s="397" t="s">
        <v>711</v>
      </c>
    </row>
    <row r="57" spans="1:4">
      <c r="A57" s="24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topLeftCell="A4" workbookViewId="0">
      <selection activeCell="A28" sqref="A28:J28"/>
    </sheetView>
  </sheetViews>
  <sheetFormatPr defaultRowHeight="15"/>
  <cols>
    <col min="1" max="1" width="9.140625" customWidth="1"/>
    <col min="2" max="2" width="31.42578125" customWidth="1"/>
    <col min="3" max="3" width="16.28515625" customWidth="1"/>
    <col min="4" max="4" width="17.42578125" customWidth="1"/>
    <col min="5" max="5" width="16.28515625" customWidth="1"/>
    <col min="6" max="7" width="9.140625" customWidth="1"/>
  </cols>
  <sheetData>
    <row r="1" spans="1:7" ht="15.75">
      <c r="A1" s="205" t="s">
        <v>712</v>
      </c>
    </row>
    <row r="2" spans="1:7" ht="15.75">
      <c r="A2" s="232" t="s">
        <v>838</v>
      </c>
    </row>
    <row r="3" spans="1:7" ht="16.5" thickBot="1">
      <c r="A3" s="232"/>
    </row>
    <row r="4" spans="1:7" ht="16.5" customHeight="1" thickBot="1">
      <c r="A4" s="380" t="s">
        <v>0</v>
      </c>
      <c r="B4" s="380" t="s">
        <v>121</v>
      </c>
      <c r="C4" s="380" t="s">
        <v>632</v>
      </c>
      <c r="D4" s="398" t="s">
        <v>633</v>
      </c>
      <c r="E4" s="410"/>
      <c r="F4" s="399"/>
      <c r="G4" s="380" t="s">
        <v>699</v>
      </c>
    </row>
    <row r="5" spans="1:7" ht="16.5" thickBot="1">
      <c r="A5" s="400"/>
      <c r="B5" s="400"/>
      <c r="C5" s="400"/>
      <c r="D5" s="381" t="s">
        <v>828</v>
      </c>
      <c r="E5" s="381" t="s">
        <v>829</v>
      </c>
      <c r="F5" s="381" t="s">
        <v>839</v>
      </c>
      <c r="G5" s="400"/>
    </row>
    <row r="6" spans="1:7" ht="17.25" thickBot="1">
      <c r="A6" s="382">
        <v>1</v>
      </c>
      <c r="B6" s="383" t="s">
        <v>637</v>
      </c>
      <c r="C6" s="407" t="s">
        <v>717</v>
      </c>
      <c r="D6" s="313">
        <v>15000</v>
      </c>
      <c r="E6" s="386"/>
      <c r="F6" s="386"/>
      <c r="G6" s="386"/>
    </row>
    <row r="7" spans="1:7" ht="45.75" customHeight="1" thickBot="1">
      <c r="A7" s="382">
        <v>2</v>
      </c>
      <c r="B7" s="383" t="s">
        <v>27</v>
      </c>
      <c r="C7" s="407" t="s">
        <v>649</v>
      </c>
      <c r="D7" s="314"/>
      <c r="E7" s="408">
        <v>30000</v>
      </c>
      <c r="F7" s="386"/>
      <c r="G7" s="386"/>
    </row>
    <row r="8" spans="1:7" ht="45.75" customHeight="1" thickBot="1">
      <c r="A8" s="382">
        <v>3</v>
      </c>
      <c r="B8" s="383" t="s">
        <v>81</v>
      </c>
      <c r="C8" s="407" t="s">
        <v>649</v>
      </c>
      <c r="D8" s="314"/>
      <c r="E8" s="409">
        <v>30000</v>
      </c>
      <c r="F8" s="387"/>
      <c r="G8" s="387"/>
    </row>
    <row r="9" spans="1:7" ht="30.75" customHeight="1" thickBot="1">
      <c r="A9" s="382">
        <v>4</v>
      </c>
      <c r="B9" s="383" t="s">
        <v>221</v>
      </c>
      <c r="C9" s="407" t="s">
        <v>649</v>
      </c>
      <c r="D9" s="314"/>
      <c r="E9" s="409">
        <v>15000</v>
      </c>
      <c r="F9" s="386"/>
      <c r="G9" s="386"/>
    </row>
    <row r="10" spans="1:7" ht="45.75" customHeight="1" thickBot="1">
      <c r="A10" s="382">
        <v>5</v>
      </c>
      <c r="B10" s="383" t="s">
        <v>683</v>
      </c>
      <c r="C10" s="407" t="s">
        <v>646</v>
      </c>
      <c r="D10" s="313">
        <v>260000</v>
      </c>
      <c r="E10" s="386"/>
      <c r="F10" s="386"/>
      <c r="G10" s="386"/>
    </row>
    <row r="11" spans="1:7" ht="45.75" customHeight="1" thickBot="1">
      <c r="A11" s="382">
        <v>6</v>
      </c>
      <c r="B11" s="383" t="s">
        <v>727</v>
      </c>
      <c r="C11" s="407" t="s">
        <v>650</v>
      </c>
      <c r="D11" s="313">
        <v>30000</v>
      </c>
      <c r="E11" s="312"/>
      <c r="F11" s="386"/>
      <c r="G11" s="386"/>
    </row>
    <row r="12" spans="1:7" ht="30.75" customHeight="1" thickBot="1">
      <c r="A12" s="382">
        <v>7</v>
      </c>
      <c r="B12" s="383" t="s">
        <v>91</v>
      </c>
      <c r="C12" s="407" t="s">
        <v>650</v>
      </c>
      <c r="D12" s="383"/>
      <c r="E12" s="409">
        <v>135000</v>
      </c>
      <c r="F12" s="387"/>
      <c r="G12" s="387"/>
    </row>
    <row r="13" spans="1:7" ht="30.75" customHeight="1" thickBot="1">
      <c r="A13" s="382">
        <v>8</v>
      </c>
      <c r="B13" s="383" t="s">
        <v>655</v>
      </c>
      <c r="C13" s="407" t="s">
        <v>653</v>
      </c>
      <c r="D13" s="313">
        <v>15000</v>
      </c>
      <c r="E13" s="312"/>
      <c r="F13" s="387"/>
      <c r="G13" s="387"/>
    </row>
    <row r="14" spans="1:7" ht="30.75" customHeight="1" thickBot="1">
      <c r="A14" s="382">
        <v>9</v>
      </c>
      <c r="B14" s="383" t="s">
        <v>147</v>
      </c>
      <c r="C14" s="407" t="s">
        <v>653</v>
      </c>
      <c r="D14" s="314"/>
      <c r="E14" s="409">
        <v>100000</v>
      </c>
      <c r="F14" s="386"/>
      <c r="G14" s="386"/>
    </row>
    <row r="15" spans="1:7" ht="45.75" customHeight="1" thickBot="1">
      <c r="A15" s="382">
        <v>10</v>
      </c>
      <c r="B15" s="383" t="s">
        <v>138</v>
      </c>
      <c r="C15" s="407" t="s">
        <v>653</v>
      </c>
      <c r="D15" s="314"/>
      <c r="E15" s="409">
        <v>30000</v>
      </c>
      <c r="F15" s="387"/>
      <c r="G15" s="387"/>
    </row>
    <row r="16" spans="1:7" ht="30.75" customHeight="1" thickBot="1">
      <c r="A16" s="382">
        <v>11</v>
      </c>
      <c r="B16" s="383" t="s">
        <v>29</v>
      </c>
      <c r="C16" s="407" t="s">
        <v>668</v>
      </c>
      <c r="D16" s="314"/>
      <c r="E16" s="408">
        <v>30000</v>
      </c>
      <c r="F16" s="387"/>
      <c r="G16" s="387"/>
    </row>
    <row r="17" spans="1:7" ht="45.75" customHeight="1" thickBot="1">
      <c r="A17" s="382">
        <v>12</v>
      </c>
      <c r="B17" s="383" t="s">
        <v>262</v>
      </c>
      <c r="C17" s="407" t="s">
        <v>668</v>
      </c>
      <c r="D17" s="314"/>
      <c r="E17" s="409">
        <v>45000</v>
      </c>
      <c r="F17" s="387"/>
      <c r="G17" s="387"/>
    </row>
    <row r="18" spans="1:7" ht="45.75" customHeight="1" thickBot="1">
      <c r="A18" s="382">
        <v>13</v>
      </c>
      <c r="B18" s="383" t="s">
        <v>76</v>
      </c>
      <c r="C18" s="407" t="s">
        <v>674</v>
      </c>
      <c r="D18" s="314"/>
      <c r="E18" s="409">
        <v>45000</v>
      </c>
      <c r="F18" s="387"/>
      <c r="G18" s="387"/>
    </row>
    <row r="19" spans="1:7" ht="45.75" customHeight="1" thickBot="1">
      <c r="A19" s="382">
        <v>14</v>
      </c>
      <c r="B19" s="383" t="s">
        <v>840</v>
      </c>
      <c r="C19" s="407" t="s">
        <v>841</v>
      </c>
      <c r="D19" s="314"/>
      <c r="E19" s="383"/>
      <c r="F19" s="313">
        <v>15000</v>
      </c>
      <c r="G19" s="387"/>
    </row>
    <row r="20" spans="1:7" ht="45.75" customHeight="1" thickBot="1">
      <c r="A20" s="382">
        <v>15</v>
      </c>
      <c r="B20" s="383" t="s">
        <v>842</v>
      </c>
      <c r="C20" s="407" t="s">
        <v>841</v>
      </c>
      <c r="D20" s="314"/>
      <c r="E20" s="383"/>
      <c r="F20" s="313">
        <v>105000</v>
      </c>
      <c r="G20" s="387"/>
    </row>
    <row r="21" spans="1:7" ht="30.75" customHeight="1" thickBot="1">
      <c r="A21" s="382">
        <v>16</v>
      </c>
      <c r="B21" s="383" t="s">
        <v>843</v>
      </c>
      <c r="C21" s="407" t="s">
        <v>841</v>
      </c>
      <c r="D21" s="314"/>
      <c r="E21" s="383"/>
      <c r="F21" s="313">
        <v>15000</v>
      </c>
      <c r="G21" s="387"/>
    </row>
    <row r="22" spans="1:7" ht="30.75" customHeight="1" thickBot="1">
      <c r="A22" s="382">
        <v>17</v>
      </c>
      <c r="B22" s="383" t="s">
        <v>844</v>
      </c>
      <c r="C22" s="407" t="s">
        <v>841</v>
      </c>
      <c r="D22" s="314"/>
      <c r="E22" s="383"/>
      <c r="F22" s="313">
        <v>15000</v>
      </c>
      <c r="G22" s="387"/>
    </row>
    <row r="23" spans="1:7" ht="45.75" customHeight="1" thickBot="1">
      <c r="A23" s="382">
        <v>18</v>
      </c>
      <c r="B23" s="383" t="s">
        <v>845</v>
      </c>
      <c r="C23" s="407" t="s">
        <v>841</v>
      </c>
      <c r="D23" s="314"/>
      <c r="E23" s="383"/>
      <c r="F23" s="313">
        <v>15000</v>
      </c>
      <c r="G23" s="387"/>
    </row>
    <row r="24" spans="1:7" ht="30.75" customHeight="1" thickBot="1">
      <c r="A24" s="382">
        <v>19</v>
      </c>
      <c r="B24" s="383" t="s">
        <v>846</v>
      </c>
      <c r="C24" s="407" t="s">
        <v>841</v>
      </c>
      <c r="D24" s="314"/>
      <c r="E24" s="383"/>
      <c r="F24" s="313">
        <v>30000</v>
      </c>
      <c r="G24" s="387"/>
    </row>
    <row r="25" spans="1:7" ht="45.75" customHeight="1" thickBot="1">
      <c r="A25" s="382">
        <v>20</v>
      </c>
      <c r="B25" s="383" t="s">
        <v>847</v>
      </c>
      <c r="C25" s="407" t="s">
        <v>841</v>
      </c>
      <c r="D25" s="314"/>
      <c r="E25" s="383"/>
      <c r="F25" s="313">
        <v>60000</v>
      </c>
      <c r="G25" s="387"/>
    </row>
    <row r="26" spans="1:7" ht="45.75" customHeight="1" thickBot="1">
      <c r="A26" s="382">
        <v>21</v>
      </c>
      <c r="B26" s="383" t="s">
        <v>848</v>
      </c>
      <c r="C26" s="407" t="s">
        <v>841</v>
      </c>
      <c r="D26" s="314"/>
      <c r="E26" s="383"/>
      <c r="F26" s="313">
        <v>30000</v>
      </c>
      <c r="G26" s="387"/>
    </row>
    <row r="27" spans="1:7" ht="30.75" customHeight="1" thickBot="1">
      <c r="A27" s="382">
        <v>22</v>
      </c>
      <c r="B27" s="383" t="s">
        <v>849</v>
      </c>
      <c r="C27" s="407" t="s">
        <v>841</v>
      </c>
      <c r="D27" s="314"/>
      <c r="E27" s="383"/>
      <c r="F27" s="313">
        <v>15000</v>
      </c>
      <c r="G27" s="387"/>
    </row>
    <row r="28" spans="1:7" ht="45.75" customHeight="1" thickBot="1">
      <c r="A28" s="382">
        <v>23</v>
      </c>
      <c r="B28" s="383" t="s">
        <v>850</v>
      </c>
      <c r="C28" s="407" t="s">
        <v>841</v>
      </c>
      <c r="D28" s="314"/>
      <c r="E28" s="383"/>
      <c r="F28" s="313">
        <v>15000</v>
      </c>
      <c r="G28" s="387"/>
    </row>
    <row r="29" spans="1:7" ht="45.75" customHeight="1" thickBot="1">
      <c r="A29" s="382">
        <v>24</v>
      </c>
      <c r="B29" s="383" t="s">
        <v>851</v>
      </c>
      <c r="C29" s="407" t="s">
        <v>841</v>
      </c>
      <c r="D29" s="314"/>
      <c r="E29" s="383"/>
      <c r="F29" s="313">
        <v>15000</v>
      </c>
      <c r="G29" s="387"/>
    </row>
    <row r="30" spans="1:7" ht="45.75" customHeight="1" thickBot="1">
      <c r="A30" s="382">
        <v>25</v>
      </c>
      <c r="B30" s="383" t="s">
        <v>771</v>
      </c>
      <c r="C30" s="407" t="s">
        <v>841</v>
      </c>
      <c r="D30" s="314"/>
      <c r="E30" s="383"/>
      <c r="F30" s="313">
        <v>45000</v>
      </c>
      <c r="G30" s="387"/>
    </row>
    <row r="31" spans="1:7" ht="45.75" customHeight="1" thickBot="1">
      <c r="A31" s="382">
        <v>26</v>
      </c>
      <c r="B31" s="383" t="s">
        <v>852</v>
      </c>
      <c r="C31" s="407" t="s">
        <v>841</v>
      </c>
      <c r="D31" s="314"/>
      <c r="E31" s="383"/>
      <c r="F31" s="313">
        <v>60000</v>
      </c>
      <c r="G31" s="387"/>
    </row>
    <row r="32" spans="1:7" ht="45.75" customHeight="1" thickBot="1">
      <c r="A32" s="382">
        <v>27</v>
      </c>
      <c r="B32" s="383" t="s">
        <v>853</v>
      </c>
      <c r="C32" s="407" t="s">
        <v>841</v>
      </c>
      <c r="D32" s="314"/>
      <c r="E32" s="383"/>
      <c r="F32" s="313">
        <v>75000</v>
      </c>
      <c r="G32" s="387"/>
    </row>
    <row r="33" spans="1:7" ht="30.75" customHeight="1" thickBot="1">
      <c r="A33" s="382">
        <v>28</v>
      </c>
      <c r="B33" s="383" t="s">
        <v>854</v>
      </c>
      <c r="C33" s="407" t="s">
        <v>841</v>
      </c>
      <c r="D33" s="314"/>
      <c r="E33" s="383"/>
      <c r="F33" s="313">
        <v>15000</v>
      </c>
      <c r="G33" s="387"/>
    </row>
    <row r="34" spans="1:7" ht="45.75" customHeight="1" thickBot="1">
      <c r="A34" s="382">
        <v>29</v>
      </c>
      <c r="B34" s="383" t="s">
        <v>855</v>
      </c>
      <c r="C34" s="407" t="s">
        <v>841</v>
      </c>
      <c r="D34" s="314"/>
      <c r="E34" s="383"/>
      <c r="F34" s="313">
        <v>15000</v>
      </c>
      <c r="G34" s="387"/>
    </row>
    <row r="35" spans="1:7" ht="60.75" customHeight="1" thickBot="1">
      <c r="A35" s="382">
        <v>30</v>
      </c>
      <c r="B35" s="383" t="s">
        <v>856</v>
      </c>
      <c r="C35" s="407" t="s">
        <v>841</v>
      </c>
      <c r="D35" s="314"/>
      <c r="E35" s="383"/>
      <c r="F35" s="313">
        <v>15000</v>
      </c>
      <c r="G35" s="387"/>
    </row>
    <row r="36" spans="1:7" ht="30.75" customHeight="1" thickBot="1">
      <c r="A36" s="382">
        <v>31</v>
      </c>
      <c r="B36" s="383" t="s">
        <v>857</v>
      </c>
      <c r="C36" s="407" t="s">
        <v>841</v>
      </c>
      <c r="D36" s="314"/>
      <c r="E36" s="383"/>
      <c r="F36" s="313">
        <v>15000</v>
      </c>
      <c r="G36" s="387"/>
    </row>
    <row r="37" spans="1:7" ht="45.75" customHeight="1" thickBot="1">
      <c r="A37" s="382">
        <v>32</v>
      </c>
      <c r="B37" s="383" t="s">
        <v>858</v>
      </c>
      <c r="C37" s="407" t="s">
        <v>841</v>
      </c>
      <c r="D37" s="314"/>
      <c r="E37" s="383"/>
      <c r="F37" s="313">
        <v>15000</v>
      </c>
      <c r="G37" s="387"/>
    </row>
    <row r="38" spans="1:7" ht="30.75" customHeight="1" thickBot="1">
      <c r="A38" s="382">
        <v>33</v>
      </c>
      <c r="B38" s="383" t="s">
        <v>859</v>
      </c>
      <c r="C38" s="407" t="s">
        <v>841</v>
      </c>
      <c r="D38" s="314"/>
      <c r="E38" s="383"/>
      <c r="F38" s="313">
        <v>15000</v>
      </c>
      <c r="G38" s="387"/>
    </row>
    <row r="39" spans="1:7" ht="45.75" customHeight="1" thickBot="1">
      <c r="A39" s="382">
        <v>34</v>
      </c>
      <c r="B39" s="383" t="s">
        <v>860</v>
      </c>
      <c r="C39" s="407" t="s">
        <v>841</v>
      </c>
      <c r="D39" s="314"/>
      <c r="E39" s="383"/>
      <c r="F39" s="313">
        <v>15000</v>
      </c>
      <c r="G39" s="387"/>
    </row>
    <row r="40" spans="1:7" ht="30.75" customHeight="1" thickBot="1">
      <c r="A40" s="382">
        <v>35</v>
      </c>
      <c r="B40" s="383" t="s">
        <v>861</v>
      </c>
      <c r="C40" s="407" t="s">
        <v>841</v>
      </c>
      <c r="D40" s="314"/>
      <c r="E40" s="383"/>
      <c r="F40" s="313">
        <v>30000</v>
      </c>
      <c r="G40" s="387"/>
    </row>
    <row r="41" spans="1:7" ht="45.75" customHeight="1" thickBot="1">
      <c r="A41" s="382">
        <v>36</v>
      </c>
      <c r="B41" s="383" t="s">
        <v>862</v>
      </c>
      <c r="C41" s="407" t="s">
        <v>841</v>
      </c>
      <c r="D41" s="314"/>
      <c r="E41" s="383"/>
      <c r="F41" s="313">
        <v>45000</v>
      </c>
      <c r="G41" s="387"/>
    </row>
    <row r="42" spans="1:7" ht="17.25" thickBot="1">
      <c r="A42" s="382">
        <v>37</v>
      </c>
      <c r="B42" s="383" t="s">
        <v>863</v>
      </c>
      <c r="C42" s="407" t="s">
        <v>841</v>
      </c>
      <c r="D42" s="314"/>
      <c r="E42" s="383"/>
      <c r="F42" s="313">
        <v>15000</v>
      </c>
      <c r="G42" s="387"/>
    </row>
    <row r="43" spans="1:7" ht="16.5" thickBot="1">
      <c r="A43" s="401" t="s">
        <v>758</v>
      </c>
      <c r="B43" s="402"/>
      <c r="C43" s="336"/>
      <c r="D43" s="388">
        <v>320000</v>
      </c>
      <c r="E43" s="388">
        <v>460000</v>
      </c>
      <c r="F43" s="388">
        <v>705000</v>
      </c>
      <c r="G43" s="389"/>
    </row>
    <row r="44" spans="1:7" ht="16.5" customHeight="1" thickBot="1">
      <c r="A44" s="401" t="s">
        <v>864</v>
      </c>
      <c r="B44" s="402"/>
      <c r="C44" s="336"/>
      <c r="D44" s="403">
        <v>1485000</v>
      </c>
      <c r="E44" s="404"/>
      <c r="F44" s="390"/>
      <c r="G44" s="390"/>
    </row>
    <row r="45" spans="1:7" ht="15.75">
      <c r="A45" s="364" t="s">
        <v>865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topLeftCell="A25" workbookViewId="0">
      <selection activeCell="A28" sqref="A28:J28"/>
    </sheetView>
  </sheetViews>
  <sheetFormatPr defaultRowHeight="15"/>
  <cols>
    <col min="1" max="1" width="9.140625" customWidth="1"/>
    <col min="2" max="2" width="41" customWidth="1"/>
    <col min="3" max="4" width="9.140625" customWidth="1"/>
    <col min="5" max="5" width="17.7109375" customWidth="1"/>
    <col min="6" max="6" width="9.140625" customWidth="1"/>
  </cols>
  <sheetData>
    <row r="1" spans="1:6" ht="15.75">
      <c r="A1" s="205" t="s">
        <v>766</v>
      </c>
    </row>
    <row r="2" spans="1:6" ht="16.5">
      <c r="A2" s="250" t="s">
        <v>866</v>
      </c>
    </row>
    <row r="3" spans="1:6" ht="17.25" thickBot="1">
      <c r="A3" s="250"/>
    </row>
    <row r="4" spans="1:6" ht="31.5" customHeight="1" thickBot="1">
      <c r="A4" s="420" t="s">
        <v>0</v>
      </c>
      <c r="B4" s="420" t="s">
        <v>121</v>
      </c>
      <c r="C4" s="420" t="s">
        <v>632</v>
      </c>
      <c r="D4" s="252" t="s">
        <v>633</v>
      </c>
      <c r="E4" s="421"/>
      <c r="F4" s="420" t="s">
        <v>634</v>
      </c>
    </row>
    <row r="5" spans="1:6" ht="16.5" thickBot="1">
      <c r="A5" s="422"/>
      <c r="B5" s="422"/>
      <c r="C5" s="422"/>
      <c r="D5" s="411" t="s">
        <v>828</v>
      </c>
      <c r="E5" s="412" t="s">
        <v>829</v>
      </c>
      <c r="F5" s="422"/>
    </row>
    <row r="6" spans="1:6" ht="16.5" thickBot="1">
      <c r="A6" s="273">
        <v>1</v>
      </c>
      <c r="B6" s="237" t="s">
        <v>98</v>
      </c>
      <c r="C6" s="236" t="s">
        <v>636</v>
      </c>
      <c r="D6" s="413"/>
      <c r="E6" s="414">
        <v>105000</v>
      </c>
      <c r="F6" s="413"/>
    </row>
    <row r="7" spans="1:6" ht="45.75" customHeight="1" thickBot="1">
      <c r="A7" s="273">
        <v>2</v>
      </c>
      <c r="B7" s="237" t="s">
        <v>210</v>
      </c>
      <c r="C7" s="236" t="s">
        <v>636</v>
      </c>
      <c r="D7" s="413"/>
      <c r="E7" s="414">
        <v>270000</v>
      </c>
      <c r="F7" s="413"/>
    </row>
    <row r="8" spans="1:6" ht="45.75" customHeight="1" thickBot="1">
      <c r="A8" s="273">
        <v>3</v>
      </c>
      <c r="B8" s="237" t="s">
        <v>19</v>
      </c>
      <c r="C8" s="236" t="s">
        <v>636</v>
      </c>
      <c r="D8" s="413"/>
      <c r="E8" s="414">
        <v>45000</v>
      </c>
      <c r="F8" s="413"/>
    </row>
    <row r="9" spans="1:6" ht="45.75" customHeight="1" thickBot="1">
      <c r="A9" s="273">
        <v>4</v>
      </c>
      <c r="B9" s="237" t="s">
        <v>635</v>
      </c>
      <c r="C9" s="236" t="s">
        <v>636</v>
      </c>
      <c r="D9" s="238">
        <v>15000</v>
      </c>
      <c r="E9" s="415"/>
      <c r="F9" s="413"/>
    </row>
    <row r="10" spans="1:6" ht="30.75" customHeight="1" thickBot="1">
      <c r="A10" s="273">
        <v>5</v>
      </c>
      <c r="B10" s="237" t="s">
        <v>644</v>
      </c>
      <c r="C10" s="236" t="s">
        <v>642</v>
      </c>
      <c r="D10" s="413"/>
      <c r="E10" s="414">
        <v>15000</v>
      </c>
      <c r="F10" s="413"/>
    </row>
    <row r="11" spans="1:6" ht="45.75" customHeight="1" thickBot="1">
      <c r="A11" s="273">
        <v>6</v>
      </c>
      <c r="B11" s="237" t="s">
        <v>715</v>
      </c>
      <c r="C11" s="236" t="s">
        <v>642</v>
      </c>
      <c r="D11" s="238">
        <v>15000</v>
      </c>
      <c r="E11" s="415"/>
      <c r="F11" s="413"/>
    </row>
    <row r="12" spans="1:6" ht="45.75" customHeight="1" thickBot="1">
      <c r="A12" s="273">
        <v>7</v>
      </c>
      <c r="B12" s="237" t="s">
        <v>86</v>
      </c>
      <c r="C12" s="236" t="s">
        <v>642</v>
      </c>
      <c r="D12" s="413"/>
      <c r="E12" s="414">
        <v>120000</v>
      </c>
      <c r="F12" s="413"/>
    </row>
    <row r="13" spans="1:6" ht="30.75" customHeight="1" thickBot="1">
      <c r="A13" s="273">
        <v>8</v>
      </c>
      <c r="B13" s="237" t="s">
        <v>645</v>
      </c>
      <c r="C13" s="236" t="s">
        <v>642</v>
      </c>
      <c r="D13" s="238">
        <v>30000</v>
      </c>
      <c r="E13" s="415"/>
      <c r="F13" s="413"/>
    </row>
    <row r="14" spans="1:6" ht="45.75" customHeight="1" thickBot="1">
      <c r="A14" s="273">
        <v>9</v>
      </c>
      <c r="B14" s="237" t="s">
        <v>65</v>
      </c>
      <c r="C14" s="236" t="s">
        <v>646</v>
      </c>
      <c r="D14" s="413"/>
      <c r="E14" s="414">
        <v>315000</v>
      </c>
      <c r="F14" s="413"/>
    </row>
    <row r="15" spans="1:6" ht="60.75" customHeight="1" thickBot="1">
      <c r="A15" s="273">
        <v>10</v>
      </c>
      <c r="B15" s="237" t="s">
        <v>289</v>
      </c>
      <c r="C15" s="236" t="s">
        <v>646</v>
      </c>
      <c r="D15" s="413"/>
      <c r="E15" s="414">
        <v>570000</v>
      </c>
      <c r="F15" s="413"/>
    </row>
    <row r="16" spans="1:6" ht="45.75" customHeight="1" thickBot="1">
      <c r="A16" s="273">
        <v>11</v>
      </c>
      <c r="B16" s="237" t="s">
        <v>168</v>
      </c>
      <c r="C16" s="236" t="s">
        <v>646</v>
      </c>
      <c r="D16" s="413"/>
      <c r="E16" s="414">
        <v>30000</v>
      </c>
      <c r="F16" s="413"/>
    </row>
    <row r="17" spans="1:6" ht="45.75" customHeight="1" thickBot="1">
      <c r="A17" s="273">
        <v>12</v>
      </c>
      <c r="B17" s="237" t="s">
        <v>282</v>
      </c>
      <c r="C17" s="236" t="s">
        <v>646</v>
      </c>
      <c r="D17" s="413"/>
      <c r="E17" s="414">
        <v>30000</v>
      </c>
      <c r="F17" s="413"/>
    </row>
    <row r="18" spans="1:6" ht="45.75" customHeight="1" thickBot="1">
      <c r="A18" s="273">
        <v>13</v>
      </c>
      <c r="B18" s="237" t="s">
        <v>647</v>
      </c>
      <c r="C18" s="236" t="s">
        <v>646</v>
      </c>
      <c r="D18" s="238">
        <v>15000</v>
      </c>
      <c r="E18" s="415"/>
      <c r="F18" s="413"/>
    </row>
    <row r="19" spans="1:6" ht="30.75" customHeight="1" thickBot="1">
      <c r="A19" s="273">
        <v>14</v>
      </c>
      <c r="B19" s="237" t="s">
        <v>221</v>
      </c>
      <c r="C19" s="236" t="s">
        <v>649</v>
      </c>
      <c r="D19" s="413"/>
      <c r="E19" s="414">
        <v>30000</v>
      </c>
      <c r="F19" s="413"/>
    </row>
    <row r="20" spans="1:6" ht="30.75" customHeight="1" thickBot="1">
      <c r="A20" s="273">
        <v>15</v>
      </c>
      <c r="B20" s="237" t="s">
        <v>152</v>
      </c>
      <c r="C20" s="236" t="s">
        <v>649</v>
      </c>
      <c r="D20" s="413"/>
      <c r="E20" s="414">
        <v>15000</v>
      </c>
      <c r="F20" s="413"/>
    </row>
    <row r="21" spans="1:6" ht="45.75" customHeight="1" thickBot="1">
      <c r="A21" s="273">
        <v>16</v>
      </c>
      <c r="B21" s="237" t="s">
        <v>27</v>
      </c>
      <c r="C21" s="236" t="s">
        <v>649</v>
      </c>
      <c r="D21" s="413"/>
      <c r="E21" s="414">
        <v>15000</v>
      </c>
      <c r="F21" s="413"/>
    </row>
    <row r="22" spans="1:6" ht="45.75" customHeight="1" thickBot="1">
      <c r="A22" s="273">
        <v>17</v>
      </c>
      <c r="B22" s="237" t="s">
        <v>687</v>
      </c>
      <c r="C22" s="236" t="s">
        <v>649</v>
      </c>
      <c r="D22" s="238">
        <v>15000</v>
      </c>
      <c r="E22" s="415"/>
      <c r="F22" s="413"/>
    </row>
    <row r="23" spans="1:6" ht="45.75" customHeight="1" thickBot="1">
      <c r="A23" s="273">
        <v>18</v>
      </c>
      <c r="B23" s="237" t="s">
        <v>83</v>
      </c>
      <c r="C23" s="236" t="s">
        <v>650</v>
      </c>
      <c r="D23" s="413"/>
      <c r="E23" s="414">
        <v>45000</v>
      </c>
      <c r="F23" s="413"/>
    </row>
    <row r="24" spans="1:6" ht="45.75" customHeight="1" thickBot="1">
      <c r="A24" s="273">
        <v>19</v>
      </c>
      <c r="B24" s="237" t="s">
        <v>52</v>
      </c>
      <c r="C24" s="236" t="s">
        <v>653</v>
      </c>
      <c r="D24" s="413"/>
      <c r="E24" s="414">
        <v>75000</v>
      </c>
      <c r="F24" s="413"/>
    </row>
    <row r="25" spans="1:6" ht="30.75" customHeight="1" thickBot="1">
      <c r="A25" s="273">
        <v>20</v>
      </c>
      <c r="B25" s="237" t="s">
        <v>46</v>
      </c>
      <c r="C25" s="236" t="s">
        <v>653</v>
      </c>
      <c r="D25" s="413"/>
      <c r="E25" s="414">
        <v>60000</v>
      </c>
      <c r="F25" s="413"/>
    </row>
    <row r="26" spans="1:6" ht="45.75" customHeight="1" thickBot="1">
      <c r="A26" s="273">
        <v>21</v>
      </c>
      <c r="B26" s="237" t="s">
        <v>50</v>
      </c>
      <c r="C26" s="236" t="s">
        <v>653</v>
      </c>
      <c r="D26" s="413"/>
      <c r="E26" s="414">
        <v>30000</v>
      </c>
      <c r="F26" s="413"/>
    </row>
    <row r="27" spans="1:6" ht="45.75" customHeight="1" thickBot="1">
      <c r="A27" s="273">
        <v>22</v>
      </c>
      <c r="B27" s="237" t="s">
        <v>138</v>
      </c>
      <c r="C27" s="236" t="s">
        <v>653</v>
      </c>
      <c r="D27" s="413"/>
      <c r="E27" s="414">
        <v>30000</v>
      </c>
      <c r="F27" s="413"/>
    </row>
    <row r="28" spans="1:6" ht="45.75" customHeight="1" thickBot="1">
      <c r="A28" s="273">
        <v>23</v>
      </c>
      <c r="B28" s="237" t="s">
        <v>56</v>
      </c>
      <c r="C28" s="236" t="s">
        <v>653</v>
      </c>
      <c r="D28" s="413"/>
      <c r="E28" s="414">
        <v>30000</v>
      </c>
      <c r="F28" s="413"/>
    </row>
    <row r="29" spans="1:6" ht="45.75" customHeight="1" thickBot="1">
      <c r="A29" s="273">
        <v>24</v>
      </c>
      <c r="B29" s="237" t="s">
        <v>48</v>
      </c>
      <c r="C29" s="236" t="s">
        <v>653</v>
      </c>
      <c r="D29" s="413"/>
      <c r="E29" s="414">
        <v>45000</v>
      </c>
      <c r="F29" s="413"/>
    </row>
    <row r="30" spans="1:6" ht="45.75" customHeight="1" thickBot="1">
      <c r="A30" s="273">
        <v>25</v>
      </c>
      <c r="B30" s="237" t="s">
        <v>295</v>
      </c>
      <c r="C30" s="236" t="s">
        <v>668</v>
      </c>
      <c r="D30" s="413"/>
      <c r="E30" s="414">
        <v>60000</v>
      </c>
      <c r="F30" s="413"/>
    </row>
    <row r="31" spans="1:6" ht="30.75" customHeight="1" thickBot="1">
      <c r="A31" s="273">
        <v>26</v>
      </c>
      <c r="B31" s="237" t="s">
        <v>213</v>
      </c>
      <c r="C31" s="236" t="s">
        <v>668</v>
      </c>
      <c r="D31" s="413"/>
      <c r="E31" s="414">
        <v>30000</v>
      </c>
      <c r="F31" s="413"/>
    </row>
    <row r="32" spans="1:6" ht="45.75" customHeight="1" thickBot="1">
      <c r="A32" s="273">
        <v>27</v>
      </c>
      <c r="B32" s="237" t="s">
        <v>39</v>
      </c>
      <c r="C32" s="236" t="s">
        <v>668</v>
      </c>
      <c r="D32" s="413"/>
      <c r="E32" s="414">
        <v>30000</v>
      </c>
      <c r="F32" s="413"/>
    </row>
    <row r="33" spans="1:6" ht="30.75" customHeight="1" thickBot="1">
      <c r="A33" s="273">
        <v>28</v>
      </c>
      <c r="B33" s="237" t="s">
        <v>29</v>
      </c>
      <c r="C33" s="236" t="s">
        <v>668</v>
      </c>
      <c r="D33" s="413"/>
      <c r="E33" s="414">
        <v>90000</v>
      </c>
      <c r="F33" s="413"/>
    </row>
    <row r="34" spans="1:6" ht="45.75" customHeight="1" thickBot="1">
      <c r="A34" s="273">
        <v>29</v>
      </c>
      <c r="B34" s="237" t="s">
        <v>31</v>
      </c>
      <c r="C34" s="236" t="s">
        <v>668</v>
      </c>
      <c r="D34" s="413"/>
      <c r="E34" s="414">
        <v>45000</v>
      </c>
      <c r="F34" s="413"/>
    </row>
    <row r="35" spans="1:6" ht="45.75" customHeight="1" thickBot="1">
      <c r="A35" s="273">
        <v>30</v>
      </c>
      <c r="B35" s="237" t="s">
        <v>262</v>
      </c>
      <c r="C35" s="236" t="s">
        <v>668</v>
      </c>
      <c r="D35" s="413"/>
      <c r="E35" s="414">
        <v>15000</v>
      </c>
      <c r="F35" s="413"/>
    </row>
    <row r="36" spans="1:6" ht="45.75" customHeight="1" thickBot="1">
      <c r="A36" s="273">
        <v>31</v>
      </c>
      <c r="B36" s="237" t="s">
        <v>672</v>
      </c>
      <c r="C36" s="236" t="s">
        <v>668</v>
      </c>
      <c r="D36" s="238">
        <v>45000</v>
      </c>
      <c r="E36" s="415"/>
      <c r="F36" s="413"/>
    </row>
    <row r="37" spans="1:6" ht="60.75" customHeight="1" thickBot="1">
      <c r="A37" s="273">
        <v>32</v>
      </c>
      <c r="B37" s="237" t="s">
        <v>435</v>
      </c>
      <c r="C37" s="236" t="s">
        <v>668</v>
      </c>
      <c r="D37" s="413"/>
      <c r="E37" s="414">
        <v>30000</v>
      </c>
      <c r="F37" s="413"/>
    </row>
    <row r="38" spans="1:6" ht="45.75" customHeight="1" thickBot="1">
      <c r="A38" s="273">
        <v>33</v>
      </c>
      <c r="B38" s="237" t="s">
        <v>76</v>
      </c>
      <c r="C38" s="236" t="s">
        <v>674</v>
      </c>
      <c r="D38" s="413"/>
      <c r="E38" s="414">
        <v>30000</v>
      </c>
      <c r="F38" s="413"/>
    </row>
    <row r="39" spans="1:6" ht="17.25" thickBot="1">
      <c r="A39" s="273">
        <v>34</v>
      </c>
      <c r="B39" s="237" t="s">
        <v>742</v>
      </c>
      <c r="C39" s="236" t="s">
        <v>674</v>
      </c>
      <c r="D39" s="238">
        <v>15000</v>
      </c>
      <c r="E39" s="415"/>
      <c r="F39" s="413"/>
    </row>
    <row r="40" spans="1:6" ht="16.5" thickBot="1">
      <c r="A40" s="288" t="s">
        <v>758</v>
      </c>
      <c r="B40" s="289"/>
      <c r="C40" s="260"/>
      <c r="D40" s="416">
        <v>150000</v>
      </c>
      <c r="E40" s="417">
        <v>2205000</v>
      </c>
      <c r="F40" s="418"/>
    </row>
    <row r="41" spans="1:6" ht="16.5" customHeight="1" thickBot="1">
      <c r="A41" s="288" t="s">
        <v>833</v>
      </c>
      <c r="B41" s="289"/>
      <c r="C41" s="260"/>
      <c r="D41" s="423">
        <v>2355000</v>
      </c>
      <c r="E41" s="424"/>
      <c r="F41" s="418"/>
    </row>
    <row r="42" spans="1:6">
      <c r="A42" s="244" t="s">
        <v>867</v>
      </c>
    </row>
    <row r="43" spans="1:6" ht="15.75">
      <c r="A43" s="419"/>
    </row>
    <row r="44" spans="1:6" ht="15.75">
      <c r="A44" s="419"/>
    </row>
    <row r="45" spans="1:6" ht="15.75">
      <c r="A45" s="419"/>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0"/>
  <sheetViews>
    <sheetView topLeftCell="A124" workbookViewId="0">
      <selection activeCell="A28" sqref="A28:J28"/>
    </sheetView>
  </sheetViews>
  <sheetFormatPr defaultRowHeight="15"/>
  <cols>
    <col min="1" max="1" width="13" customWidth="1"/>
    <col min="2" max="2" width="29" customWidth="1"/>
    <col min="3" max="3" width="9.140625" customWidth="1"/>
    <col min="4" max="4" width="19.5703125" customWidth="1"/>
    <col min="5" max="5" width="9.140625" customWidth="1"/>
  </cols>
  <sheetData>
    <row r="1" spans="1:5" ht="16.5">
      <c r="A1" s="324" t="s">
        <v>868</v>
      </c>
    </row>
    <row r="2" spans="1:5" ht="15.75">
      <c r="A2" s="295" t="s">
        <v>630</v>
      </c>
    </row>
    <row r="3" spans="1:5" ht="16.5" thickBot="1">
      <c r="A3" s="296" t="s">
        <v>869</v>
      </c>
    </row>
    <row r="4" spans="1:5" ht="57.75" customHeight="1" thickBot="1">
      <c r="A4" s="325" t="s">
        <v>0</v>
      </c>
      <c r="B4" s="298" t="s">
        <v>121</v>
      </c>
      <c r="C4" s="298" t="s">
        <v>632</v>
      </c>
      <c r="D4" s="298" t="s">
        <v>633</v>
      </c>
      <c r="E4" s="326" t="s">
        <v>634</v>
      </c>
    </row>
    <row r="5" spans="1:5" ht="45.75" customHeight="1" thickBot="1">
      <c r="A5" s="236">
        <v>1</v>
      </c>
      <c r="B5" s="301" t="s">
        <v>638</v>
      </c>
      <c r="C5" s="302" t="s">
        <v>636</v>
      </c>
      <c r="D5" s="238">
        <v>324000</v>
      </c>
      <c r="E5" s="239"/>
    </row>
    <row r="6" spans="1:5" ht="60.75" customHeight="1" thickBot="1">
      <c r="A6" s="236">
        <v>2</v>
      </c>
      <c r="B6" s="301" t="s">
        <v>154</v>
      </c>
      <c r="C6" s="302" t="s">
        <v>636</v>
      </c>
      <c r="D6" s="238">
        <v>83000</v>
      </c>
      <c r="E6" s="239"/>
    </row>
    <row r="7" spans="1:5" ht="30.75" customHeight="1" thickBot="1">
      <c r="A7" s="236">
        <v>3</v>
      </c>
      <c r="B7" s="301" t="s">
        <v>744</v>
      </c>
      <c r="C7" s="302" t="s">
        <v>636</v>
      </c>
      <c r="D7" s="238">
        <v>662000</v>
      </c>
      <c r="E7" s="239"/>
    </row>
    <row r="8" spans="1:5" ht="30.75" customHeight="1" thickBot="1">
      <c r="A8" s="236">
        <v>4</v>
      </c>
      <c r="B8" s="301" t="s">
        <v>98</v>
      </c>
      <c r="C8" s="302" t="s">
        <v>636</v>
      </c>
      <c r="D8" s="238">
        <v>351000</v>
      </c>
      <c r="E8" s="239"/>
    </row>
    <row r="9" spans="1:5" ht="45.75" customHeight="1" thickBot="1">
      <c r="A9" s="236">
        <v>5</v>
      </c>
      <c r="B9" s="301" t="s">
        <v>100</v>
      </c>
      <c r="C9" s="302" t="s">
        <v>636</v>
      </c>
      <c r="D9" s="238">
        <v>30000</v>
      </c>
      <c r="E9" s="239"/>
    </row>
    <row r="10" spans="1:5" ht="45.75" customHeight="1" thickBot="1">
      <c r="A10" s="236">
        <v>6</v>
      </c>
      <c r="B10" s="301" t="s">
        <v>641</v>
      </c>
      <c r="C10" s="302" t="s">
        <v>636</v>
      </c>
      <c r="D10" s="238">
        <v>155000</v>
      </c>
      <c r="E10" s="239"/>
    </row>
    <row r="11" spans="1:5" ht="45.75" customHeight="1" thickBot="1">
      <c r="A11" s="236">
        <v>7</v>
      </c>
      <c r="B11" s="301" t="s">
        <v>106</v>
      </c>
      <c r="C11" s="302" t="s">
        <v>636</v>
      </c>
      <c r="D11" s="238">
        <v>87000</v>
      </c>
      <c r="E11" s="239"/>
    </row>
    <row r="12" spans="1:5" ht="45.75" customHeight="1" thickBot="1">
      <c r="A12" s="236">
        <v>8</v>
      </c>
      <c r="B12" s="301" t="s">
        <v>755</v>
      </c>
      <c r="C12" s="302" t="s">
        <v>642</v>
      </c>
      <c r="D12" s="238">
        <v>126000</v>
      </c>
      <c r="E12" s="239"/>
    </row>
    <row r="13" spans="1:5" ht="45.75" customHeight="1" thickBot="1">
      <c r="A13" s="236">
        <v>9</v>
      </c>
      <c r="B13" s="301" t="s">
        <v>94</v>
      </c>
      <c r="C13" s="302" t="s">
        <v>642</v>
      </c>
      <c r="D13" s="238">
        <v>300000</v>
      </c>
      <c r="E13" s="239"/>
    </row>
    <row r="14" spans="1:5" ht="45.75" customHeight="1" thickBot="1">
      <c r="A14" s="236">
        <v>10</v>
      </c>
      <c r="B14" s="301" t="s">
        <v>643</v>
      </c>
      <c r="C14" s="302" t="s">
        <v>642</v>
      </c>
      <c r="D14" s="238">
        <v>213000</v>
      </c>
      <c r="E14" s="239"/>
    </row>
    <row r="15" spans="1:5" ht="45.75" customHeight="1" thickBot="1">
      <c r="A15" s="236">
        <v>11</v>
      </c>
      <c r="B15" s="301" t="s">
        <v>715</v>
      </c>
      <c r="C15" s="302" t="s">
        <v>642</v>
      </c>
      <c r="D15" s="238">
        <v>117000</v>
      </c>
      <c r="E15" s="239"/>
    </row>
    <row r="16" spans="1:5" ht="45.75" customHeight="1" thickBot="1">
      <c r="A16" s="236">
        <v>12</v>
      </c>
      <c r="B16" s="301" t="s">
        <v>86</v>
      </c>
      <c r="C16" s="302" t="s">
        <v>642</v>
      </c>
      <c r="D16" s="238">
        <v>178000</v>
      </c>
      <c r="E16" s="239"/>
    </row>
    <row r="17" spans="1:5" ht="45.75" customHeight="1" thickBot="1">
      <c r="A17" s="236">
        <v>13</v>
      </c>
      <c r="B17" s="301" t="s">
        <v>682</v>
      </c>
      <c r="C17" s="302" t="s">
        <v>642</v>
      </c>
      <c r="D17" s="238">
        <v>300000</v>
      </c>
      <c r="E17" s="239"/>
    </row>
    <row r="18" spans="1:5" ht="30.75" customHeight="1" thickBot="1">
      <c r="A18" s="236">
        <v>14</v>
      </c>
      <c r="B18" s="301" t="s">
        <v>870</v>
      </c>
      <c r="C18" s="302" t="s">
        <v>642</v>
      </c>
      <c r="D18" s="238">
        <v>47000</v>
      </c>
      <c r="E18" s="239"/>
    </row>
    <row r="19" spans="1:5" ht="45.75" customHeight="1" thickBot="1">
      <c r="A19" s="236">
        <v>15</v>
      </c>
      <c r="B19" s="301" t="s">
        <v>282</v>
      </c>
      <c r="C19" s="302" t="s">
        <v>646</v>
      </c>
      <c r="D19" s="238">
        <v>63000</v>
      </c>
      <c r="E19" s="239"/>
    </row>
    <row r="20" spans="1:5" ht="45.75" customHeight="1" thickBot="1">
      <c r="A20" s="236">
        <v>16</v>
      </c>
      <c r="B20" s="301" t="s">
        <v>647</v>
      </c>
      <c r="C20" s="302" t="s">
        <v>646</v>
      </c>
      <c r="D20" s="238">
        <v>268000</v>
      </c>
      <c r="E20" s="239"/>
    </row>
    <row r="21" spans="1:5" ht="45.75" customHeight="1" thickBot="1">
      <c r="A21" s="236">
        <v>17</v>
      </c>
      <c r="B21" s="301" t="s">
        <v>168</v>
      </c>
      <c r="C21" s="302" t="s">
        <v>646</v>
      </c>
      <c r="D21" s="238">
        <v>203000</v>
      </c>
      <c r="E21" s="239"/>
    </row>
    <row r="22" spans="1:5" ht="45.75" customHeight="1" thickBot="1">
      <c r="A22" s="236">
        <v>18</v>
      </c>
      <c r="B22" s="301" t="s">
        <v>648</v>
      </c>
      <c r="C22" s="302" t="s">
        <v>649</v>
      </c>
      <c r="D22" s="238">
        <v>89000</v>
      </c>
      <c r="E22" s="239"/>
    </row>
    <row r="23" spans="1:5" ht="45.75" customHeight="1" thickBot="1">
      <c r="A23" s="236">
        <v>19</v>
      </c>
      <c r="B23" s="301" t="s">
        <v>78</v>
      </c>
      <c r="C23" s="302" t="s">
        <v>649</v>
      </c>
      <c r="D23" s="238">
        <v>60000</v>
      </c>
      <c r="E23" s="239"/>
    </row>
    <row r="24" spans="1:5" ht="30.75" customHeight="1" thickBot="1">
      <c r="A24" s="236">
        <v>20</v>
      </c>
      <c r="B24" s="301" t="s">
        <v>187</v>
      </c>
      <c r="C24" s="302" t="s">
        <v>649</v>
      </c>
      <c r="D24" s="238">
        <v>1375000</v>
      </c>
      <c r="E24" s="239"/>
    </row>
    <row r="25" spans="1:5" ht="30.75" customHeight="1" thickBot="1">
      <c r="A25" s="236">
        <v>21</v>
      </c>
      <c r="B25" s="301" t="s">
        <v>152</v>
      </c>
      <c r="C25" s="302" t="s">
        <v>649</v>
      </c>
      <c r="D25" s="238">
        <v>2115000</v>
      </c>
      <c r="E25" s="239"/>
    </row>
    <row r="26" spans="1:5" ht="45.75" customHeight="1" thickBot="1">
      <c r="A26" s="236">
        <v>22</v>
      </c>
      <c r="B26" s="301" t="s">
        <v>27</v>
      </c>
      <c r="C26" s="302" t="s">
        <v>649</v>
      </c>
      <c r="D26" s="238">
        <v>146000</v>
      </c>
      <c r="E26" s="239"/>
    </row>
    <row r="27" spans="1:5" ht="30.75" customHeight="1" thickBot="1">
      <c r="A27" s="236">
        <v>23</v>
      </c>
      <c r="B27" s="301" t="s">
        <v>221</v>
      </c>
      <c r="C27" s="302" t="s">
        <v>649</v>
      </c>
      <c r="D27" s="238">
        <v>60000</v>
      </c>
      <c r="E27" s="239"/>
    </row>
    <row r="28" spans="1:5" ht="45.75" customHeight="1" thickBot="1">
      <c r="A28" s="236">
        <v>24</v>
      </c>
      <c r="B28" s="301" t="s">
        <v>205</v>
      </c>
      <c r="C28" s="302" t="s">
        <v>649</v>
      </c>
      <c r="D28" s="238">
        <v>60000</v>
      </c>
      <c r="E28" s="239"/>
    </row>
    <row r="29" spans="1:5" ht="45.75" customHeight="1" thickBot="1">
      <c r="A29" s="236">
        <v>25</v>
      </c>
      <c r="B29" s="301" t="s">
        <v>871</v>
      </c>
      <c r="C29" s="302" t="s">
        <v>649</v>
      </c>
      <c r="D29" s="238">
        <v>30000</v>
      </c>
      <c r="E29" s="239"/>
    </row>
    <row r="30" spans="1:5" ht="45.75" customHeight="1" thickBot="1">
      <c r="A30" s="236">
        <v>26</v>
      </c>
      <c r="B30" s="301" t="s">
        <v>831</v>
      </c>
      <c r="C30" s="302" t="s">
        <v>649</v>
      </c>
      <c r="D30" s="238">
        <v>39000</v>
      </c>
      <c r="E30" s="239"/>
    </row>
    <row r="31" spans="1:5" ht="60.75" customHeight="1" thickBot="1">
      <c r="A31" s="236">
        <v>27</v>
      </c>
      <c r="B31" s="301" t="s">
        <v>89</v>
      </c>
      <c r="C31" s="302" t="s">
        <v>650</v>
      </c>
      <c r="D31" s="238">
        <v>60000</v>
      </c>
      <c r="E31" s="239"/>
    </row>
    <row r="32" spans="1:5" ht="45.75" customHeight="1" thickBot="1">
      <c r="A32" s="236">
        <v>28</v>
      </c>
      <c r="B32" s="301" t="s">
        <v>728</v>
      </c>
      <c r="C32" s="302" t="s">
        <v>650</v>
      </c>
      <c r="D32" s="238">
        <v>119000</v>
      </c>
      <c r="E32" s="239"/>
    </row>
    <row r="33" spans="1:5" ht="30.75" customHeight="1" thickBot="1">
      <c r="A33" s="236">
        <v>29</v>
      </c>
      <c r="B33" s="301" t="s">
        <v>91</v>
      </c>
      <c r="C33" s="302" t="s">
        <v>650</v>
      </c>
      <c r="D33" s="238">
        <v>240000</v>
      </c>
      <c r="E33" s="239"/>
    </row>
    <row r="34" spans="1:5" ht="45.75" customHeight="1" thickBot="1">
      <c r="A34" s="236">
        <v>30</v>
      </c>
      <c r="B34" s="301" t="s">
        <v>83</v>
      </c>
      <c r="C34" s="302" t="s">
        <v>650</v>
      </c>
      <c r="D34" s="238">
        <v>168000</v>
      </c>
      <c r="E34" s="239"/>
    </row>
    <row r="35" spans="1:5" ht="45.75" customHeight="1" thickBot="1">
      <c r="A35" s="236">
        <v>31</v>
      </c>
      <c r="B35" s="301" t="s">
        <v>727</v>
      </c>
      <c r="C35" s="302" t="s">
        <v>650</v>
      </c>
      <c r="D35" s="238">
        <v>83000</v>
      </c>
      <c r="E35" s="239"/>
    </row>
    <row r="36" spans="1:5" ht="45.75" customHeight="1" thickBot="1">
      <c r="A36" s="236">
        <v>32</v>
      </c>
      <c r="B36" s="301" t="s">
        <v>872</v>
      </c>
      <c r="C36" s="302" t="s">
        <v>774</v>
      </c>
      <c r="D36" s="238">
        <v>21000</v>
      </c>
      <c r="E36" s="239"/>
    </row>
    <row r="37" spans="1:5" ht="30.75" customHeight="1" thickBot="1">
      <c r="A37" s="236">
        <v>33</v>
      </c>
      <c r="B37" s="301" t="s">
        <v>151</v>
      </c>
      <c r="C37" s="302" t="s">
        <v>653</v>
      </c>
      <c r="D37" s="238">
        <v>60000</v>
      </c>
      <c r="E37" s="239"/>
    </row>
    <row r="38" spans="1:5" ht="45.75" customHeight="1" thickBot="1">
      <c r="A38" s="236">
        <v>34</v>
      </c>
      <c r="B38" s="301" t="s">
        <v>215</v>
      </c>
      <c r="C38" s="302" t="s">
        <v>653</v>
      </c>
      <c r="D38" s="238">
        <v>60000</v>
      </c>
      <c r="E38" s="239"/>
    </row>
    <row r="39" spans="1:5" ht="45.75" customHeight="1" thickBot="1">
      <c r="A39" s="236">
        <v>35</v>
      </c>
      <c r="B39" s="301" t="s">
        <v>654</v>
      </c>
      <c r="C39" s="236" t="s">
        <v>653</v>
      </c>
      <c r="D39" s="238">
        <v>105000</v>
      </c>
      <c r="E39" s="239"/>
    </row>
    <row r="40" spans="1:5" ht="45.75" customHeight="1" thickBot="1">
      <c r="A40" s="236">
        <v>36</v>
      </c>
      <c r="B40" s="301" t="s">
        <v>56</v>
      </c>
      <c r="C40" s="302" t="s">
        <v>653</v>
      </c>
      <c r="D40" s="238">
        <v>771000</v>
      </c>
      <c r="E40" s="239"/>
    </row>
    <row r="41" spans="1:5" ht="45.75" customHeight="1" thickBot="1">
      <c r="A41" s="236">
        <v>37</v>
      </c>
      <c r="B41" s="301" t="s">
        <v>50</v>
      </c>
      <c r="C41" s="302" t="s">
        <v>653</v>
      </c>
      <c r="D41" s="238">
        <v>1052000</v>
      </c>
      <c r="E41" s="239"/>
    </row>
    <row r="42" spans="1:5" ht="45.75" customHeight="1" thickBot="1">
      <c r="A42" s="236">
        <v>38</v>
      </c>
      <c r="B42" s="301" t="s">
        <v>52</v>
      </c>
      <c r="C42" s="302" t="s">
        <v>653</v>
      </c>
      <c r="D42" s="238">
        <v>90000</v>
      </c>
      <c r="E42" s="239"/>
    </row>
    <row r="43" spans="1:5" ht="30.75" customHeight="1" thickBot="1">
      <c r="A43" s="236">
        <v>39</v>
      </c>
      <c r="B43" s="301" t="s">
        <v>46</v>
      </c>
      <c r="C43" s="302" t="s">
        <v>653</v>
      </c>
      <c r="D43" s="238">
        <v>42000</v>
      </c>
      <c r="E43" s="239"/>
    </row>
    <row r="44" spans="1:5" ht="30.75" customHeight="1" thickBot="1">
      <c r="A44" s="236">
        <v>40</v>
      </c>
      <c r="B44" s="301" t="s">
        <v>731</v>
      </c>
      <c r="C44" s="302" t="s">
        <v>653</v>
      </c>
      <c r="D44" s="238">
        <v>825000</v>
      </c>
      <c r="E44" s="239"/>
    </row>
    <row r="45" spans="1:5" ht="45.75" customHeight="1" thickBot="1">
      <c r="A45" s="236">
        <v>41</v>
      </c>
      <c r="B45" s="301" t="s">
        <v>48</v>
      </c>
      <c r="C45" s="302" t="s">
        <v>653</v>
      </c>
      <c r="D45" s="238">
        <v>139000</v>
      </c>
      <c r="E45" s="239"/>
    </row>
    <row r="46" spans="1:5" ht="45.75" customHeight="1" thickBot="1">
      <c r="A46" s="236">
        <v>42</v>
      </c>
      <c r="B46" s="301" t="s">
        <v>138</v>
      </c>
      <c r="C46" s="236" t="s">
        <v>653</v>
      </c>
      <c r="D46" s="238">
        <v>225000</v>
      </c>
      <c r="E46" s="239"/>
    </row>
    <row r="47" spans="1:5" ht="45.75" customHeight="1" thickBot="1">
      <c r="A47" s="236">
        <v>43</v>
      </c>
      <c r="B47" s="301" t="s">
        <v>656</v>
      </c>
      <c r="C47" s="302" t="s">
        <v>653</v>
      </c>
      <c r="D47" s="238">
        <v>317000</v>
      </c>
      <c r="E47" s="239"/>
    </row>
    <row r="48" spans="1:5" ht="30.75" customHeight="1" thickBot="1">
      <c r="A48" s="236">
        <v>44</v>
      </c>
      <c r="B48" s="301" t="s">
        <v>146</v>
      </c>
      <c r="C48" s="302" t="s">
        <v>653</v>
      </c>
      <c r="D48" s="238">
        <v>42000</v>
      </c>
      <c r="E48" s="239"/>
    </row>
    <row r="49" spans="1:5" ht="30.75" customHeight="1" thickBot="1">
      <c r="A49" s="236">
        <v>45</v>
      </c>
      <c r="B49" s="301" t="s">
        <v>658</v>
      </c>
      <c r="C49" s="302" t="s">
        <v>653</v>
      </c>
      <c r="D49" s="238">
        <v>144000</v>
      </c>
      <c r="E49" s="239"/>
    </row>
    <row r="50" spans="1:5" ht="30.75" customHeight="1" thickBot="1">
      <c r="A50" s="236">
        <v>46</v>
      </c>
      <c r="B50" s="301" t="s">
        <v>745</v>
      </c>
      <c r="C50" s="302" t="s">
        <v>661</v>
      </c>
      <c r="D50" s="238">
        <v>112000</v>
      </c>
      <c r="E50" s="239"/>
    </row>
    <row r="51" spans="1:5" ht="45.75" customHeight="1" thickBot="1">
      <c r="A51" s="236">
        <v>47</v>
      </c>
      <c r="B51" s="301" t="s">
        <v>747</v>
      </c>
      <c r="C51" s="302" t="s">
        <v>661</v>
      </c>
      <c r="D51" s="238">
        <v>78000</v>
      </c>
      <c r="E51" s="239"/>
    </row>
    <row r="52" spans="1:5" ht="45.75" customHeight="1" thickBot="1">
      <c r="A52" s="236">
        <v>48</v>
      </c>
      <c r="B52" s="301" t="s">
        <v>664</v>
      </c>
      <c r="C52" s="302" t="s">
        <v>661</v>
      </c>
      <c r="D52" s="238">
        <v>32000</v>
      </c>
      <c r="E52" s="239"/>
    </row>
    <row r="53" spans="1:5" ht="45.75" customHeight="1" thickBot="1">
      <c r="A53" s="236">
        <v>49</v>
      </c>
      <c r="B53" s="301" t="s">
        <v>667</v>
      </c>
      <c r="C53" s="302" t="s">
        <v>668</v>
      </c>
      <c r="D53" s="238">
        <v>162000</v>
      </c>
      <c r="E53" s="239"/>
    </row>
    <row r="54" spans="1:5" ht="45.75" customHeight="1" thickBot="1">
      <c r="A54" s="236">
        <v>50</v>
      </c>
      <c r="B54" s="301" t="s">
        <v>669</v>
      </c>
      <c r="C54" s="302" t="s">
        <v>668</v>
      </c>
      <c r="D54" s="238">
        <v>128000</v>
      </c>
      <c r="E54" s="239"/>
    </row>
    <row r="55" spans="1:5" ht="45.75" customHeight="1" thickBot="1">
      <c r="A55" s="236">
        <v>51</v>
      </c>
      <c r="B55" s="301" t="s">
        <v>262</v>
      </c>
      <c r="C55" s="302" t="s">
        <v>668</v>
      </c>
      <c r="D55" s="238">
        <v>213000</v>
      </c>
      <c r="E55" s="239"/>
    </row>
    <row r="56" spans="1:5" ht="60.75" customHeight="1" thickBot="1">
      <c r="A56" s="236">
        <v>52</v>
      </c>
      <c r="B56" s="301" t="s">
        <v>273</v>
      </c>
      <c r="C56" s="302" t="s">
        <v>668</v>
      </c>
      <c r="D56" s="238">
        <v>84000</v>
      </c>
      <c r="E56" s="239"/>
    </row>
    <row r="57" spans="1:5" ht="45.75" customHeight="1" thickBot="1">
      <c r="A57" s="236">
        <v>53</v>
      </c>
      <c r="B57" s="301" t="s">
        <v>39</v>
      </c>
      <c r="C57" s="302" t="s">
        <v>668</v>
      </c>
      <c r="D57" s="238">
        <v>402000</v>
      </c>
      <c r="E57" s="239"/>
    </row>
    <row r="58" spans="1:5" ht="30.75" customHeight="1" thickBot="1">
      <c r="A58" s="236">
        <v>54</v>
      </c>
      <c r="B58" s="301" t="s">
        <v>29</v>
      </c>
      <c r="C58" s="302" t="s">
        <v>668</v>
      </c>
      <c r="D58" s="238">
        <v>68000</v>
      </c>
      <c r="E58" s="239"/>
    </row>
    <row r="59" spans="1:5" ht="30.75" customHeight="1" thickBot="1">
      <c r="A59" s="236">
        <v>55</v>
      </c>
      <c r="B59" s="301" t="s">
        <v>213</v>
      </c>
      <c r="C59" s="302" t="s">
        <v>668</v>
      </c>
      <c r="D59" s="238">
        <v>88000</v>
      </c>
      <c r="E59" s="239"/>
    </row>
    <row r="60" spans="1:5" ht="45.75" customHeight="1" thickBot="1">
      <c r="A60" s="236">
        <v>56</v>
      </c>
      <c r="B60" s="301" t="s">
        <v>216</v>
      </c>
      <c r="C60" s="302" t="s">
        <v>668</v>
      </c>
      <c r="D60" s="238">
        <v>219000</v>
      </c>
      <c r="E60" s="239"/>
    </row>
    <row r="61" spans="1:5" ht="60.75" customHeight="1" thickBot="1">
      <c r="A61" s="236">
        <v>57</v>
      </c>
      <c r="B61" s="301" t="s">
        <v>692</v>
      </c>
      <c r="C61" s="302" t="s">
        <v>668</v>
      </c>
      <c r="D61" s="238">
        <v>150000</v>
      </c>
      <c r="E61" s="239"/>
    </row>
    <row r="62" spans="1:5" ht="30.75" customHeight="1" thickBot="1">
      <c r="A62" s="236">
        <v>58</v>
      </c>
      <c r="B62" s="301" t="s">
        <v>693</v>
      </c>
      <c r="C62" s="302" t="s">
        <v>668</v>
      </c>
      <c r="D62" s="238">
        <v>30000</v>
      </c>
      <c r="E62" s="239"/>
    </row>
    <row r="63" spans="1:5" ht="60.75" customHeight="1" thickBot="1">
      <c r="A63" s="236">
        <v>59</v>
      </c>
      <c r="B63" s="301" t="s">
        <v>435</v>
      </c>
      <c r="C63" s="302" t="s">
        <v>668</v>
      </c>
      <c r="D63" s="238">
        <v>36000</v>
      </c>
      <c r="E63" s="239"/>
    </row>
    <row r="64" spans="1:5" ht="30.75" customHeight="1" thickBot="1">
      <c r="A64" s="236">
        <v>60</v>
      </c>
      <c r="B64" s="301" t="s">
        <v>742</v>
      </c>
      <c r="C64" s="302" t="s">
        <v>674</v>
      </c>
      <c r="D64" s="238">
        <v>444000</v>
      </c>
      <c r="E64" s="239"/>
    </row>
    <row r="65" spans="1:5" ht="45.75" customHeight="1" thickBot="1">
      <c r="A65" s="236">
        <v>61</v>
      </c>
      <c r="B65" s="301" t="s">
        <v>743</v>
      </c>
      <c r="C65" s="302" t="s">
        <v>674</v>
      </c>
      <c r="D65" s="238">
        <v>459000</v>
      </c>
      <c r="E65" s="239"/>
    </row>
    <row r="66" spans="1:5" ht="45.75" customHeight="1" thickBot="1">
      <c r="A66" s="236">
        <v>62</v>
      </c>
      <c r="B66" s="301" t="s">
        <v>76</v>
      </c>
      <c r="C66" s="302" t="s">
        <v>674</v>
      </c>
      <c r="D66" s="238">
        <v>395000</v>
      </c>
      <c r="E66" s="239"/>
    </row>
    <row r="67" spans="1:5" ht="30.75" customHeight="1" thickBot="1">
      <c r="A67" s="236">
        <v>63</v>
      </c>
      <c r="B67" s="301" t="s">
        <v>149</v>
      </c>
      <c r="C67" s="302" t="s">
        <v>674</v>
      </c>
      <c r="D67" s="238">
        <v>150000</v>
      </c>
      <c r="E67" s="239"/>
    </row>
    <row r="68" spans="1:5" ht="30.75" customHeight="1" thickBot="1">
      <c r="A68" s="236">
        <v>64</v>
      </c>
      <c r="B68" s="301" t="s">
        <v>741</v>
      </c>
      <c r="C68" s="302" t="s">
        <v>674</v>
      </c>
      <c r="D68" s="238">
        <v>50000</v>
      </c>
      <c r="E68" s="239"/>
    </row>
    <row r="69" spans="1:5" ht="45.75" customHeight="1" thickBot="1">
      <c r="A69" s="236">
        <v>65</v>
      </c>
      <c r="B69" s="301" t="s">
        <v>675</v>
      </c>
      <c r="C69" s="302" t="s">
        <v>674</v>
      </c>
      <c r="D69" s="238">
        <v>90000</v>
      </c>
      <c r="E69" s="239"/>
    </row>
    <row r="70" spans="1:5" ht="45.75" customHeight="1" thickBot="1">
      <c r="A70" s="236">
        <v>66</v>
      </c>
      <c r="B70" s="301" t="s">
        <v>673</v>
      </c>
      <c r="C70" s="302" t="s">
        <v>674</v>
      </c>
      <c r="D70" s="238">
        <v>60000</v>
      </c>
      <c r="E70" s="239"/>
    </row>
    <row r="71" spans="1:5" ht="15.75" thickBot="1">
      <c r="A71" s="236">
        <v>67</v>
      </c>
      <c r="B71" s="301" t="s">
        <v>873</v>
      </c>
      <c r="C71" s="236" t="s">
        <v>874</v>
      </c>
      <c r="D71" s="238">
        <v>30000</v>
      </c>
      <c r="E71" s="239"/>
    </row>
    <row r="72" spans="1:5" ht="15.75" thickBot="1">
      <c r="A72" s="356" t="s">
        <v>676</v>
      </c>
      <c r="B72" s="441"/>
      <c r="C72" s="241"/>
      <c r="D72" s="425">
        <v>15524000</v>
      </c>
      <c r="E72" s="317"/>
    </row>
    <row r="73" spans="1:5">
      <c r="A73" s="319" t="s">
        <v>875</v>
      </c>
    </row>
    <row r="74" spans="1:5" ht="15.75">
      <c r="A74" s="426"/>
      <c r="B74" s="323"/>
    </row>
    <row r="75" spans="1:5" ht="16.5">
      <c r="A75" s="322"/>
      <c r="B75" s="248"/>
    </row>
    <row r="76" spans="1:5">
      <c r="A76" s="330"/>
    </row>
    <row r="77" spans="1:5" ht="16.5">
      <c r="A77" s="324" t="s">
        <v>678</v>
      </c>
    </row>
    <row r="78" spans="1:5" ht="15.75">
      <c r="A78" s="295" t="s">
        <v>679</v>
      </c>
    </row>
    <row r="79" spans="1:5" ht="15.75">
      <c r="A79" s="296" t="s">
        <v>869</v>
      </c>
    </row>
    <row r="80" spans="1:5" ht="15.75" thickBot="1">
      <c r="A80" s="427"/>
    </row>
    <row r="81" spans="1:5" ht="63.75" customHeight="1" thickBot="1">
      <c r="A81" s="428" t="s">
        <v>0</v>
      </c>
      <c r="B81" s="429" t="s">
        <v>121</v>
      </c>
      <c r="C81" s="429" t="s">
        <v>632</v>
      </c>
      <c r="D81" s="429" t="s">
        <v>633</v>
      </c>
      <c r="E81" s="430" t="s">
        <v>634</v>
      </c>
    </row>
    <row r="82" spans="1:5" ht="45.75" customHeight="1" thickBot="1">
      <c r="A82" s="255">
        <v>1</v>
      </c>
      <c r="B82" s="237" t="s">
        <v>210</v>
      </c>
      <c r="C82" s="236" t="s">
        <v>636</v>
      </c>
      <c r="D82" s="238">
        <v>100000</v>
      </c>
      <c r="E82" s="258"/>
    </row>
    <row r="83" spans="1:5" ht="45.75" customHeight="1" thickBot="1">
      <c r="A83" s="255">
        <v>2</v>
      </c>
      <c r="B83" s="237" t="s">
        <v>641</v>
      </c>
      <c r="C83" s="236" t="s">
        <v>636</v>
      </c>
      <c r="D83" s="238">
        <v>160000</v>
      </c>
      <c r="E83" s="258"/>
    </row>
    <row r="84" spans="1:5" ht="45.75" customHeight="1" thickBot="1">
      <c r="A84" s="255">
        <v>3</v>
      </c>
      <c r="B84" s="237" t="s">
        <v>643</v>
      </c>
      <c r="C84" s="236" t="s">
        <v>642</v>
      </c>
      <c r="D84" s="238">
        <v>50000</v>
      </c>
      <c r="E84" s="258"/>
    </row>
    <row r="85" spans="1:5" ht="45.75" customHeight="1" thickBot="1">
      <c r="A85" s="255">
        <v>4</v>
      </c>
      <c r="B85" s="237" t="s">
        <v>715</v>
      </c>
      <c r="C85" s="236" t="s">
        <v>642</v>
      </c>
      <c r="D85" s="238">
        <v>50000</v>
      </c>
      <c r="E85" s="258"/>
    </row>
    <row r="86" spans="1:5" ht="45.75" customHeight="1" thickBot="1">
      <c r="A86" s="255">
        <v>5</v>
      </c>
      <c r="B86" s="237" t="s">
        <v>681</v>
      </c>
      <c r="C86" s="236" t="s">
        <v>642</v>
      </c>
      <c r="D86" s="238">
        <v>30000</v>
      </c>
      <c r="E86" s="258"/>
    </row>
    <row r="87" spans="1:5" ht="45.75" customHeight="1" thickBot="1">
      <c r="A87" s="255">
        <v>6</v>
      </c>
      <c r="B87" s="237" t="s">
        <v>722</v>
      </c>
      <c r="C87" s="236" t="s">
        <v>646</v>
      </c>
      <c r="D87" s="238">
        <v>30000</v>
      </c>
      <c r="E87" s="258"/>
    </row>
    <row r="88" spans="1:5" ht="30.75" customHeight="1" thickBot="1">
      <c r="A88" s="255">
        <v>7</v>
      </c>
      <c r="B88" s="237" t="s">
        <v>723</v>
      </c>
      <c r="C88" s="236" t="s">
        <v>646</v>
      </c>
      <c r="D88" s="238">
        <v>150000</v>
      </c>
      <c r="E88" s="258"/>
    </row>
    <row r="89" spans="1:5" ht="45.75" customHeight="1" thickBot="1">
      <c r="A89" s="255">
        <v>8</v>
      </c>
      <c r="B89" s="237" t="s">
        <v>81</v>
      </c>
      <c r="C89" s="236" t="s">
        <v>649</v>
      </c>
      <c r="D89" s="238">
        <v>150000</v>
      </c>
      <c r="E89" s="258"/>
    </row>
    <row r="90" spans="1:5" ht="45.75" customHeight="1" thickBot="1">
      <c r="A90" s="255">
        <v>9</v>
      </c>
      <c r="B90" s="237" t="s">
        <v>684</v>
      </c>
      <c r="C90" s="236" t="s">
        <v>649</v>
      </c>
      <c r="D90" s="238">
        <v>330000</v>
      </c>
      <c r="E90" s="258"/>
    </row>
    <row r="91" spans="1:5" ht="45.75" customHeight="1" thickBot="1">
      <c r="A91" s="255">
        <v>10</v>
      </c>
      <c r="B91" s="237" t="s">
        <v>205</v>
      </c>
      <c r="C91" s="236" t="s">
        <v>649</v>
      </c>
      <c r="D91" s="238">
        <v>360000</v>
      </c>
      <c r="E91" s="258"/>
    </row>
    <row r="92" spans="1:5" ht="45.75" customHeight="1" thickBot="1">
      <c r="A92" s="255">
        <v>11</v>
      </c>
      <c r="B92" s="237" t="s">
        <v>686</v>
      </c>
      <c r="C92" s="236" t="s">
        <v>649</v>
      </c>
      <c r="D92" s="238">
        <v>300000</v>
      </c>
      <c r="E92" s="258"/>
    </row>
    <row r="93" spans="1:5" ht="30.75" customHeight="1" thickBot="1">
      <c r="A93" s="255">
        <v>12</v>
      </c>
      <c r="B93" s="237" t="s">
        <v>91</v>
      </c>
      <c r="C93" s="236" t="s">
        <v>650</v>
      </c>
      <c r="D93" s="238">
        <v>170000</v>
      </c>
      <c r="E93" s="258"/>
    </row>
    <row r="94" spans="1:5" ht="30.75" customHeight="1" thickBot="1">
      <c r="A94" s="255">
        <v>13</v>
      </c>
      <c r="B94" s="237" t="s">
        <v>688</v>
      </c>
      <c r="C94" s="236" t="s">
        <v>650</v>
      </c>
      <c r="D94" s="238">
        <v>160000</v>
      </c>
      <c r="E94" s="258"/>
    </row>
    <row r="95" spans="1:5" ht="30.75" customHeight="1" thickBot="1">
      <c r="A95" s="255">
        <v>14</v>
      </c>
      <c r="B95" s="237" t="s">
        <v>651</v>
      </c>
      <c r="C95" s="236" t="s">
        <v>650</v>
      </c>
      <c r="D95" s="238">
        <v>100000</v>
      </c>
      <c r="E95" s="258"/>
    </row>
    <row r="96" spans="1:5" ht="45.75" customHeight="1" thickBot="1">
      <c r="A96" s="255">
        <v>15</v>
      </c>
      <c r="B96" s="237" t="s">
        <v>654</v>
      </c>
      <c r="C96" s="236" t="s">
        <v>653</v>
      </c>
      <c r="D96" s="238">
        <v>30000</v>
      </c>
      <c r="E96" s="258"/>
    </row>
    <row r="97" spans="1:5" ht="30.75" customHeight="1" thickBot="1">
      <c r="A97" s="255">
        <v>16</v>
      </c>
      <c r="B97" s="237" t="s">
        <v>655</v>
      </c>
      <c r="C97" s="236" t="s">
        <v>653</v>
      </c>
      <c r="D97" s="238">
        <v>60000</v>
      </c>
      <c r="E97" s="258"/>
    </row>
    <row r="98" spans="1:5" ht="45.75" customHeight="1" thickBot="1">
      <c r="A98" s="255">
        <v>17</v>
      </c>
      <c r="B98" s="237" t="s">
        <v>138</v>
      </c>
      <c r="C98" s="236" t="s">
        <v>653</v>
      </c>
      <c r="D98" s="238">
        <v>50000</v>
      </c>
      <c r="E98" s="258"/>
    </row>
    <row r="99" spans="1:5" ht="45.75" customHeight="1" thickBot="1">
      <c r="A99" s="255">
        <v>18</v>
      </c>
      <c r="B99" s="237" t="s">
        <v>730</v>
      </c>
      <c r="C99" s="236" t="s">
        <v>653</v>
      </c>
      <c r="D99" s="238">
        <v>100000</v>
      </c>
      <c r="E99" s="258"/>
    </row>
    <row r="100" spans="1:5" ht="30.75" customHeight="1" thickBot="1">
      <c r="A100" s="255">
        <v>19</v>
      </c>
      <c r="B100" s="237" t="s">
        <v>147</v>
      </c>
      <c r="C100" s="236" t="s">
        <v>653</v>
      </c>
      <c r="D100" s="238">
        <v>240000</v>
      </c>
      <c r="E100" s="258"/>
    </row>
    <row r="101" spans="1:5" ht="30.75" customHeight="1" thickBot="1">
      <c r="A101" s="255">
        <v>20</v>
      </c>
      <c r="B101" s="237" t="s">
        <v>876</v>
      </c>
      <c r="C101" s="236" t="s">
        <v>653</v>
      </c>
      <c r="D101" s="238">
        <v>50000</v>
      </c>
      <c r="E101" s="258"/>
    </row>
    <row r="102" spans="1:5" ht="45.75" customHeight="1" thickBot="1">
      <c r="A102" s="255">
        <v>21</v>
      </c>
      <c r="B102" s="237" t="s">
        <v>275</v>
      </c>
      <c r="C102" s="236" t="s">
        <v>668</v>
      </c>
      <c r="D102" s="238">
        <v>50000</v>
      </c>
      <c r="E102" s="258"/>
    </row>
    <row r="103" spans="1:5" ht="45.75" customHeight="1" thickBot="1">
      <c r="A103" s="255">
        <v>22</v>
      </c>
      <c r="B103" s="237" t="s">
        <v>667</v>
      </c>
      <c r="C103" s="236" t="s">
        <v>668</v>
      </c>
      <c r="D103" s="238">
        <v>80000</v>
      </c>
      <c r="E103" s="258"/>
    </row>
    <row r="104" spans="1:5" ht="45.75" customHeight="1" thickBot="1">
      <c r="A104" s="255">
        <v>23</v>
      </c>
      <c r="B104" s="237" t="s">
        <v>262</v>
      </c>
      <c r="C104" s="236" t="s">
        <v>668</v>
      </c>
      <c r="D104" s="238">
        <v>110000</v>
      </c>
      <c r="E104" s="258"/>
    </row>
    <row r="105" spans="1:5" ht="60.75" customHeight="1" thickBot="1">
      <c r="A105" s="255">
        <v>24</v>
      </c>
      <c r="B105" s="237" t="s">
        <v>273</v>
      </c>
      <c r="C105" s="236" t="s">
        <v>668</v>
      </c>
      <c r="D105" s="238">
        <v>30000</v>
      </c>
      <c r="E105" s="258"/>
    </row>
    <row r="106" spans="1:5" ht="45.75" customHeight="1" thickBot="1">
      <c r="A106" s="255">
        <v>25</v>
      </c>
      <c r="B106" s="237" t="s">
        <v>39</v>
      </c>
      <c r="C106" s="236" t="s">
        <v>668</v>
      </c>
      <c r="D106" s="238">
        <v>50000</v>
      </c>
      <c r="E106" s="258"/>
    </row>
    <row r="107" spans="1:5" ht="30.75" customHeight="1" thickBot="1">
      <c r="A107" s="255">
        <v>26</v>
      </c>
      <c r="B107" s="237" t="s">
        <v>29</v>
      </c>
      <c r="C107" s="236" t="s">
        <v>668</v>
      </c>
      <c r="D107" s="238">
        <v>80000</v>
      </c>
      <c r="E107" s="258"/>
    </row>
    <row r="108" spans="1:5" ht="45.75" customHeight="1" thickBot="1">
      <c r="A108" s="255">
        <v>27</v>
      </c>
      <c r="B108" s="237" t="s">
        <v>31</v>
      </c>
      <c r="C108" s="236" t="s">
        <v>668</v>
      </c>
      <c r="D108" s="238">
        <v>80000</v>
      </c>
      <c r="E108" s="258"/>
    </row>
    <row r="109" spans="1:5" ht="45.75" customHeight="1" thickBot="1">
      <c r="A109" s="255">
        <v>28</v>
      </c>
      <c r="B109" s="237" t="s">
        <v>295</v>
      </c>
      <c r="C109" s="236" t="s">
        <v>668</v>
      </c>
      <c r="D109" s="238">
        <v>50000</v>
      </c>
      <c r="E109" s="258"/>
    </row>
    <row r="110" spans="1:5" ht="60.75" customHeight="1" thickBot="1">
      <c r="A110" s="255">
        <v>29</v>
      </c>
      <c r="B110" s="237" t="s">
        <v>692</v>
      </c>
      <c r="C110" s="236" t="s">
        <v>668</v>
      </c>
      <c r="D110" s="238">
        <v>90000</v>
      </c>
      <c r="E110" s="258"/>
    </row>
    <row r="111" spans="1:5" ht="45.75" customHeight="1" thickBot="1">
      <c r="A111" s="255">
        <v>30</v>
      </c>
      <c r="B111" s="237" t="s">
        <v>670</v>
      </c>
      <c r="C111" s="236" t="s">
        <v>668</v>
      </c>
      <c r="D111" s="238">
        <v>90000</v>
      </c>
      <c r="E111" s="258"/>
    </row>
    <row r="112" spans="1:5" ht="30.75" customHeight="1" thickBot="1">
      <c r="A112" s="255">
        <v>31</v>
      </c>
      <c r="B112" s="237" t="s">
        <v>693</v>
      </c>
      <c r="C112" s="236" t="s">
        <v>668</v>
      </c>
      <c r="D112" s="238">
        <v>190000</v>
      </c>
      <c r="E112" s="258"/>
    </row>
    <row r="113" spans="1:5" ht="45.75" customHeight="1" thickBot="1">
      <c r="A113" s="255">
        <v>32</v>
      </c>
      <c r="B113" s="237" t="s">
        <v>732</v>
      </c>
      <c r="C113" s="236" t="s">
        <v>668</v>
      </c>
      <c r="D113" s="238">
        <v>100000</v>
      </c>
      <c r="E113" s="258"/>
    </row>
    <row r="114" spans="1:5" ht="30.75" customHeight="1" thickBot="1">
      <c r="A114" s="255">
        <v>33</v>
      </c>
      <c r="B114" s="237" t="s">
        <v>72</v>
      </c>
      <c r="C114" s="236" t="s">
        <v>674</v>
      </c>
      <c r="D114" s="238">
        <v>160000</v>
      </c>
      <c r="E114" s="258"/>
    </row>
    <row r="115" spans="1:5" ht="16.5" thickBot="1">
      <c r="A115" s="255">
        <v>34</v>
      </c>
      <c r="B115" s="237" t="s">
        <v>149</v>
      </c>
      <c r="C115" s="236" t="s">
        <v>674</v>
      </c>
      <c r="D115" s="238">
        <v>100000</v>
      </c>
      <c r="E115" s="258"/>
    </row>
    <row r="116" spans="1:5" ht="16.5" thickBot="1">
      <c r="A116" s="360" t="s">
        <v>676</v>
      </c>
      <c r="B116" s="363"/>
      <c r="C116" s="260"/>
      <c r="D116" s="261">
        <v>3930000</v>
      </c>
      <c r="E116" s="337"/>
    </row>
    <row r="117" spans="1:5">
      <c r="A117" s="319" t="s">
        <v>877</v>
      </c>
    </row>
    <row r="118" spans="1:5">
      <c r="A118" s="431"/>
    </row>
    <row r="119" spans="1:5" ht="16.5">
      <c r="A119" s="324" t="s">
        <v>696</v>
      </c>
    </row>
    <row r="120" spans="1:5" ht="15.75">
      <c r="A120" s="295" t="s">
        <v>878</v>
      </c>
    </row>
    <row r="121" spans="1:5" ht="15.75">
      <c r="A121" s="296" t="s">
        <v>869</v>
      </c>
    </row>
    <row r="122" spans="1:5" ht="15.75" thickBot="1">
      <c r="A122" s="427"/>
    </row>
    <row r="123" spans="1:5" ht="63.75" customHeight="1" thickBot="1">
      <c r="A123" s="428" t="s">
        <v>0</v>
      </c>
      <c r="B123" s="429" t="s">
        <v>121</v>
      </c>
      <c r="C123" s="429" t="s">
        <v>632</v>
      </c>
      <c r="D123" s="429" t="s">
        <v>633</v>
      </c>
      <c r="E123" s="430" t="s">
        <v>634</v>
      </c>
    </row>
    <row r="124" spans="1:5" ht="30.75" customHeight="1" thickBot="1">
      <c r="A124" s="255">
        <v>1</v>
      </c>
      <c r="B124" s="301" t="s">
        <v>98</v>
      </c>
      <c r="C124" s="302" t="s">
        <v>717</v>
      </c>
      <c r="D124" s="238">
        <v>26000</v>
      </c>
      <c r="E124" s="258"/>
    </row>
    <row r="125" spans="1:5" ht="45.75" customHeight="1" thickBot="1">
      <c r="A125" s="255">
        <v>2</v>
      </c>
      <c r="B125" s="301" t="s">
        <v>19</v>
      </c>
      <c r="C125" s="302" t="s">
        <v>717</v>
      </c>
      <c r="D125" s="238">
        <v>30000</v>
      </c>
      <c r="E125" s="258"/>
    </row>
    <row r="126" spans="1:5" ht="45.75" customHeight="1" thickBot="1">
      <c r="A126" s="255">
        <v>3</v>
      </c>
      <c r="B126" s="301" t="s">
        <v>210</v>
      </c>
      <c r="C126" s="302" t="s">
        <v>717</v>
      </c>
      <c r="D126" s="238">
        <v>24000</v>
      </c>
      <c r="E126" s="258"/>
    </row>
    <row r="127" spans="1:5" ht="45.75" customHeight="1" thickBot="1">
      <c r="A127" s="255">
        <v>4</v>
      </c>
      <c r="B127" s="301" t="s">
        <v>96</v>
      </c>
      <c r="C127" s="302" t="s">
        <v>717</v>
      </c>
      <c r="D127" s="238">
        <v>9000</v>
      </c>
      <c r="E127" s="258"/>
    </row>
    <row r="128" spans="1:5" ht="45.75" customHeight="1" thickBot="1">
      <c r="A128" s="255">
        <v>5</v>
      </c>
      <c r="B128" s="301" t="s">
        <v>641</v>
      </c>
      <c r="C128" s="302" t="s">
        <v>717</v>
      </c>
      <c r="D128" s="238">
        <v>3000</v>
      </c>
      <c r="E128" s="258"/>
    </row>
    <row r="129" spans="1:5" ht="45.75" customHeight="1" thickBot="1">
      <c r="A129" s="255">
        <v>6</v>
      </c>
      <c r="B129" s="301" t="s">
        <v>94</v>
      </c>
      <c r="C129" s="302" t="s">
        <v>642</v>
      </c>
      <c r="D129" s="238">
        <v>3000</v>
      </c>
      <c r="E129" s="258"/>
    </row>
    <row r="130" spans="1:5" ht="45.75" customHeight="1" thickBot="1">
      <c r="A130" s="255">
        <v>7</v>
      </c>
      <c r="B130" s="301" t="s">
        <v>716</v>
      </c>
      <c r="C130" s="302" t="s">
        <v>642</v>
      </c>
      <c r="D130" s="238">
        <v>6000</v>
      </c>
      <c r="E130" s="258"/>
    </row>
    <row r="131" spans="1:5" ht="45.75" customHeight="1" thickBot="1">
      <c r="A131" s="255">
        <v>8</v>
      </c>
      <c r="B131" s="301" t="s">
        <v>681</v>
      </c>
      <c r="C131" s="302" t="s">
        <v>642</v>
      </c>
      <c r="D131" s="238">
        <v>3000</v>
      </c>
      <c r="E131" s="258"/>
    </row>
    <row r="132" spans="1:5" ht="45.75" customHeight="1" thickBot="1">
      <c r="A132" s="255">
        <v>9</v>
      </c>
      <c r="B132" s="301" t="s">
        <v>169</v>
      </c>
      <c r="C132" s="302" t="s">
        <v>642</v>
      </c>
      <c r="D132" s="238">
        <v>3000</v>
      </c>
      <c r="E132" s="258"/>
    </row>
    <row r="133" spans="1:5" ht="45.75" customHeight="1" thickBot="1">
      <c r="A133" s="255">
        <v>10</v>
      </c>
      <c r="B133" s="301" t="s">
        <v>168</v>
      </c>
      <c r="C133" s="302" t="s">
        <v>646</v>
      </c>
      <c r="D133" s="238">
        <v>3000</v>
      </c>
      <c r="E133" s="258"/>
    </row>
    <row r="134" spans="1:5" ht="45.75" customHeight="1" thickBot="1">
      <c r="A134" s="255">
        <v>11</v>
      </c>
      <c r="B134" s="301" t="s">
        <v>65</v>
      </c>
      <c r="C134" s="302" t="s">
        <v>646</v>
      </c>
      <c r="D134" s="238">
        <v>6000</v>
      </c>
      <c r="E134" s="258"/>
    </row>
    <row r="135" spans="1:5" ht="30.75" customHeight="1" thickBot="1">
      <c r="A135" s="255">
        <v>12</v>
      </c>
      <c r="B135" s="301" t="s">
        <v>723</v>
      </c>
      <c r="C135" s="302" t="s">
        <v>646</v>
      </c>
      <c r="D135" s="238">
        <v>3000</v>
      </c>
      <c r="E135" s="258"/>
    </row>
    <row r="136" spans="1:5" ht="45.75" customHeight="1" thickBot="1">
      <c r="A136" s="255">
        <v>13</v>
      </c>
      <c r="B136" s="301" t="s">
        <v>648</v>
      </c>
      <c r="C136" s="302" t="s">
        <v>649</v>
      </c>
      <c r="D136" s="238">
        <v>3000</v>
      </c>
      <c r="E136" s="258"/>
    </row>
    <row r="137" spans="1:5" ht="45.75" customHeight="1" thickBot="1">
      <c r="A137" s="255">
        <v>14</v>
      </c>
      <c r="B137" s="301" t="s">
        <v>81</v>
      </c>
      <c r="C137" s="302" t="s">
        <v>649</v>
      </c>
      <c r="D137" s="238">
        <v>32000</v>
      </c>
      <c r="E137" s="258"/>
    </row>
    <row r="138" spans="1:5" ht="30.75" customHeight="1" thickBot="1">
      <c r="A138" s="255">
        <v>15</v>
      </c>
      <c r="B138" s="301" t="s">
        <v>221</v>
      </c>
      <c r="C138" s="302" t="s">
        <v>649</v>
      </c>
      <c r="D138" s="238">
        <v>9000</v>
      </c>
      <c r="E138" s="258"/>
    </row>
    <row r="139" spans="1:5" ht="45.75" customHeight="1" thickBot="1">
      <c r="A139" s="255">
        <v>16</v>
      </c>
      <c r="B139" s="301" t="s">
        <v>205</v>
      </c>
      <c r="C139" s="302" t="s">
        <v>649</v>
      </c>
      <c r="D139" s="238">
        <v>21000</v>
      </c>
      <c r="E139" s="258"/>
    </row>
    <row r="140" spans="1:5" ht="45.75" customHeight="1" thickBot="1">
      <c r="A140" s="255">
        <v>17</v>
      </c>
      <c r="B140" s="301" t="s">
        <v>686</v>
      </c>
      <c r="C140" s="302" t="s">
        <v>649</v>
      </c>
      <c r="D140" s="238">
        <v>9000</v>
      </c>
      <c r="E140" s="258"/>
    </row>
    <row r="141" spans="1:5" ht="60.75" customHeight="1" thickBot="1">
      <c r="A141" s="255">
        <v>18</v>
      </c>
      <c r="B141" s="301" t="s">
        <v>89</v>
      </c>
      <c r="C141" s="302" t="s">
        <v>650</v>
      </c>
      <c r="D141" s="238">
        <v>24000</v>
      </c>
      <c r="E141" s="258"/>
    </row>
    <row r="142" spans="1:5" ht="30.75" customHeight="1" thickBot="1">
      <c r="A142" s="255">
        <v>19</v>
      </c>
      <c r="B142" s="301" t="s">
        <v>91</v>
      </c>
      <c r="C142" s="302" t="s">
        <v>650</v>
      </c>
      <c r="D142" s="238">
        <v>3000</v>
      </c>
      <c r="E142" s="258"/>
    </row>
    <row r="143" spans="1:5" ht="45.75" customHeight="1" thickBot="1">
      <c r="A143" s="255">
        <v>20</v>
      </c>
      <c r="B143" s="301" t="s">
        <v>83</v>
      </c>
      <c r="C143" s="302" t="s">
        <v>650</v>
      </c>
      <c r="D143" s="238">
        <v>29000</v>
      </c>
      <c r="E143" s="258"/>
    </row>
    <row r="144" spans="1:5" ht="30.75" customHeight="1" thickBot="1">
      <c r="A144" s="255">
        <v>21</v>
      </c>
      <c r="B144" s="301" t="s">
        <v>651</v>
      </c>
      <c r="C144" s="302" t="s">
        <v>650</v>
      </c>
      <c r="D144" s="238">
        <v>6000</v>
      </c>
      <c r="E144" s="258"/>
    </row>
    <row r="145" spans="1:5" ht="30.75" customHeight="1" thickBot="1">
      <c r="A145" s="255">
        <v>22</v>
      </c>
      <c r="B145" s="301" t="s">
        <v>151</v>
      </c>
      <c r="C145" s="302" t="s">
        <v>653</v>
      </c>
      <c r="D145" s="238">
        <v>12000</v>
      </c>
      <c r="E145" s="258"/>
    </row>
    <row r="146" spans="1:5" ht="30.75" customHeight="1" thickBot="1">
      <c r="A146" s="255">
        <v>23</v>
      </c>
      <c r="B146" s="301" t="s">
        <v>655</v>
      </c>
      <c r="C146" s="302" t="s">
        <v>653</v>
      </c>
      <c r="D146" s="238">
        <v>3000</v>
      </c>
      <c r="E146" s="258"/>
    </row>
    <row r="147" spans="1:5" ht="45.75" customHeight="1" thickBot="1">
      <c r="A147" s="255">
        <v>24</v>
      </c>
      <c r="B147" s="301" t="s">
        <v>56</v>
      </c>
      <c r="C147" s="302" t="s">
        <v>653</v>
      </c>
      <c r="D147" s="238">
        <v>3000</v>
      </c>
      <c r="E147" s="258"/>
    </row>
    <row r="148" spans="1:5" ht="45.75" customHeight="1" thickBot="1">
      <c r="A148" s="255">
        <v>25</v>
      </c>
      <c r="B148" s="301" t="s">
        <v>50</v>
      </c>
      <c r="C148" s="302" t="s">
        <v>653</v>
      </c>
      <c r="D148" s="238">
        <v>3000</v>
      </c>
      <c r="E148" s="258"/>
    </row>
    <row r="149" spans="1:5" ht="45.75" customHeight="1" thickBot="1">
      <c r="A149" s="255">
        <v>26</v>
      </c>
      <c r="B149" s="301" t="s">
        <v>60</v>
      </c>
      <c r="C149" s="302" t="s">
        <v>653</v>
      </c>
      <c r="D149" s="238">
        <v>3000</v>
      </c>
      <c r="E149" s="258"/>
    </row>
    <row r="150" spans="1:5" ht="45.75" customHeight="1" thickBot="1">
      <c r="A150" s="255">
        <v>27</v>
      </c>
      <c r="B150" s="301" t="s">
        <v>52</v>
      </c>
      <c r="C150" s="302" t="s">
        <v>653</v>
      </c>
      <c r="D150" s="238">
        <v>23000</v>
      </c>
      <c r="E150" s="258"/>
    </row>
    <row r="151" spans="1:5" ht="30.75" customHeight="1" thickBot="1">
      <c r="A151" s="255">
        <v>28</v>
      </c>
      <c r="B151" s="301" t="s">
        <v>46</v>
      </c>
      <c r="C151" s="302" t="s">
        <v>653</v>
      </c>
      <c r="D151" s="238">
        <v>6000</v>
      </c>
      <c r="E151" s="258"/>
    </row>
    <row r="152" spans="1:5" ht="45.75" customHeight="1" thickBot="1">
      <c r="A152" s="255">
        <v>29</v>
      </c>
      <c r="B152" s="301" t="s">
        <v>48</v>
      </c>
      <c r="C152" s="302" t="s">
        <v>653</v>
      </c>
      <c r="D152" s="238">
        <v>29000</v>
      </c>
      <c r="E152" s="258"/>
    </row>
    <row r="153" spans="1:5" ht="45.75" customHeight="1" thickBot="1">
      <c r="A153" s="255">
        <v>30</v>
      </c>
      <c r="B153" s="301" t="s">
        <v>138</v>
      </c>
      <c r="C153" s="302" t="s">
        <v>653</v>
      </c>
      <c r="D153" s="238">
        <v>26000</v>
      </c>
      <c r="E153" s="258"/>
    </row>
    <row r="154" spans="1:5" ht="45.75" customHeight="1" thickBot="1">
      <c r="A154" s="255">
        <v>31</v>
      </c>
      <c r="B154" s="301" t="s">
        <v>689</v>
      </c>
      <c r="C154" s="302" t="s">
        <v>653</v>
      </c>
      <c r="D154" s="238">
        <v>3000</v>
      </c>
      <c r="E154" s="258"/>
    </row>
    <row r="155" spans="1:5" ht="30.75" customHeight="1" thickBot="1">
      <c r="A155" s="255">
        <v>32</v>
      </c>
      <c r="B155" s="301" t="s">
        <v>146</v>
      </c>
      <c r="C155" s="302" t="s">
        <v>653</v>
      </c>
      <c r="D155" s="238">
        <v>6000</v>
      </c>
      <c r="E155" s="258"/>
    </row>
    <row r="156" spans="1:5" ht="30.75" customHeight="1" thickBot="1">
      <c r="A156" s="255">
        <v>33</v>
      </c>
      <c r="B156" s="301" t="s">
        <v>147</v>
      </c>
      <c r="C156" s="302" t="s">
        <v>653</v>
      </c>
      <c r="D156" s="238">
        <v>3000</v>
      </c>
      <c r="E156" s="258"/>
    </row>
    <row r="157" spans="1:5" ht="45.75" customHeight="1" thickBot="1">
      <c r="A157" s="255">
        <v>34</v>
      </c>
      <c r="B157" s="301" t="s">
        <v>657</v>
      </c>
      <c r="C157" s="302" t="s">
        <v>653</v>
      </c>
      <c r="D157" s="238">
        <v>9000</v>
      </c>
      <c r="E157" s="258"/>
    </row>
    <row r="158" spans="1:5" ht="45.75" customHeight="1" thickBot="1">
      <c r="A158" s="255">
        <v>35</v>
      </c>
      <c r="B158" s="301" t="s">
        <v>690</v>
      </c>
      <c r="C158" s="302" t="s">
        <v>653</v>
      </c>
      <c r="D158" s="238">
        <v>6000</v>
      </c>
      <c r="E158" s="258"/>
    </row>
    <row r="159" spans="1:5" ht="45.75" customHeight="1" thickBot="1">
      <c r="A159" s="255">
        <v>36</v>
      </c>
      <c r="B159" s="301" t="s">
        <v>660</v>
      </c>
      <c r="C159" s="302" t="s">
        <v>661</v>
      </c>
      <c r="D159" s="238">
        <v>6000</v>
      </c>
      <c r="E159" s="258"/>
    </row>
    <row r="160" spans="1:5" ht="45.75" customHeight="1" thickBot="1">
      <c r="A160" s="255">
        <v>37</v>
      </c>
      <c r="B160" s="301" t="s">
        <v>663</v>
      </c>
      <c r="C160" s="302" t="s">
        <v>661</v>
      </c>
      <c r="D160" s="238">
        <v>3000</v>
      </c>
      <c r="E160" s="258"/>
    </row>
    <row r="161" spans="1:5" ht="45.75" customHeight="1" thickBot="1">
      <c r="A161" s="255">
        <v>38</v>
      </c>
      <c r="B161" s="301" t="s">
        <v>664</v>
      </c>
      <c r="C161" s="302" t="s">
        <v>661</v>
      </c>
      <c r="D161" s="238">
        <v>6000</v>
      </c>
      <c r="E161" s="258"/>
    </row>
    <row r="162" spans="1:5" ht="45.75" customHeight="1" thickBot="1">
      <c r="A162" s="255">
        <v>39</v>
      </c>
      <c r="B162" s="301" t="s">
        <v>275</v>
      </c>
      <c r="C162" s="302" t="s">
        <v>668</v>
      </c>
      <c r="D162" s="238">
        <v>12000</v>
      </c>
      <c r="E162" s="258"/>
    </row>
    <row r="163" spans="1:5" ht="45.75" customHeight="1" thickBot="1">
      <c r="A163" s="255">
        <v>40</v>
      </c>
      <c r="B163" s="301" t="s">
        <v>667</v>
      </c>
      <c r="C163" s="302" t="s">
        <v>668</v>
      </c>
      <c r="D163" s="238">
        <v>18000</v>
      </c>
      <c r="E163" s="258"/>
    </row>
    <row r="164" spans="1:5" ht="45.75" customHeight="1" thickBot="1">
      <c r="A164" s="255">
        <v>41</v>
      </c>
      <c r="B164" s="301" t="s">
        <v>669</v>
      </c>
      <c r="C164" s="302" t="s">
        <v>668</v>
      </c>
      <c r="D164" s="238">
        <v>3000</v>
      </c>
      <c r="E164" s="258"/>
    </row>
    <row r="165" spans="1:5" ht="45.75" customHeight="1" thickBot="1">
      <c r="A165" s="255">
        <v>42</v>
      </c>
      <c r="B165" s="301" t="s">
        <v>691</v>
      </c>
      <c r="C165" s="302" t="s">
        <v>668</v>
      </c>
      <c r="D165" s="238">
        <v>12000</v>
      </c>
      <c r="E165" s="258"/>
    </row>
    <row r="166" spans="1:5" ht="45.75" customHeight="1" thickBot="1">
      <c r="A166" s="255">
        <v>43</v>
      </c>
      <c r="B166" s="301" t="s">
        <v>262</v>
      </c>
      <c r="C166" s="302" t="s">
        <v>668</v>
      </c>
      <c r="D166" s="238">
        <v>6000</v>
      </c>
      <c r="E166" s="258"/>
    </row>
    <row r="167" spans="1:5" ht="60.75" customHeight="1" thickBot="1">
      <c r="A167" s="255">
        <v>44</v>
      </c>
      <c r="B167" s="301" t="s">
        <v>273</v>
      </c>
      <c r="C167" s="302" t="s">
        <v>668</v>
      </c>
      <c r="D167" s="238">
        <v>6000</v>
      </c>
      <c r="E167" s="258"/>
    </row>
    <row r="168" spans="1:5" ht="45.75" customHeight="1" thickBot="1">
      <c r="A168" s="255">
        <v>45</v>
      </c>
      <c r="B168" s="301" t="s">
        <v>39</v>
      </c>
      <c r="C168" s="302" t="s">
        <v>668</v>
      </c>
      <c r="D168" s="238">
        <v>3000</v>
      </c>
      <c r="E168" s="258"/>
    </row>
    <row r="169" spans="1:5" ht="45.75" customHeight="1" thickBot="1">
      <c r="A169" s="255">
        <v>46</v>
      </c>
      <c r="B169" s="301" t="s">
        <v>31</v>
      </c>
      <c r="C169" s="302" t="s">
        <v>668</v>
      </c>
      <c r="D169" s="238">
        <v>3000</v>
      </c>
      <c r="E169" s="258"/>
    </row>
    <row r="170" spans="1:5" ht="45.75" customHeight="1" thickBot="1">
      <c r="A170" s="255">
        <v>47</v>
      </c>
      <c r="B170" s="301" t="s">
        <v>216</v>
      </c>
      <c r="C170" s="302" t="s">
        <v>668</v>
      </c>
      <c r="D170" s="238">
        <v>9000</v>
      </c>
      <c r="E170" s="258"/>
    </row>
    <row r="171" spans="1:5" ht="45.75" customHeight="1" thickBot="1">
      <c r="A171" s="255">
        <v>48</v>
      </c>
      <c r="B171" s="301" t="s">
        <v>295</v>
      </c>
      <c r="C171" s="302" t="s">
        <v>668</v>
      </c>
      <c r="D171" s="238">
        <v>3000</v>
      </c>
      <c r="E171" s="258"/>
    </row>
    <row r="172" spans="1:5" ht="45.75" customHeight="1" thickBot="1">
      <c r="A172" s="255">
        <v>49</v>
      </c>
      <c r="B172" s="301" t="s">
        <v>670</v>
      </c>
      <c r="C172" s="302" t="s">
        <v>668</v>
      </c>
      <c r="D172" s="238">
        <v>3000</v>
      </c>
      <c r="E172" s="258"/>
    </row>
    <row r="173" spans="1:5" ht="30.75" customHeight="1" thickBot="1">
      <c r="A173" s="255">
        <v>50</v>
      </c>
      <c r="B173" s="301" t="s">
        <v>693</v>
      </c>
      <c r="C173" s="302" t="s">
        <v>668</v>
      </c>
      <c r="D173" s="238">
        <v>6000</v>
      </c>
      <c r="E173" s="258"/>
    </row>
    <row r="174" spans="1:5" ht="30.75" customHeight="1" thickBot="1">
      <c r="A174" s="255">
        <v>51</v>
      </c>
      <c r="B174" s="301" t="s">
        <v>671</v>
      </c>
      <c r="C174" s="302" t="s">
        <v>668</v>
      </c>
      <c r="D174" s="238">
        <v>9000</v>
      </c>
      <c r="E174" s="258"/>
    </row>
    <row r="175" spans="1:5" ht="45.75" customHeight="1" thickBot="1">
      <c r="A175" s="255">
        <v>52</v>
      </c>
      <c r="B175" s="301" t="s">
        <v>672</v>
      </c>
      <c r="C175" s="302" t="s">
        <v>668</v>
      </c>
      <c r="D175" s="238">
        <v>9000</v>
      </c>
      <c r="E175" s="258"/>
    </row>
    <row r="176" spans="1:5" ht="45.75" customHeight="1" thickBot="1">
      <c r="A176" s="255">
        <v>53</v>
      </c>
      <c r="B176" s="301" t="s">
        <v>732</v>
      </c>
      <c r="C176" s="302" t="s">
        <v>668</v>
      </c>
      <c r="D176" s="238">
        <v>6000</v>
      </c>
      <c r="E176" s="258"/>
    </row>
    <row r="177" spans="1:5" ht="60.75" customHeight="1" thickBot="1">
      <c r="A177" s="255">
        <v>54</v>
      </c>
      <c r="B177" s="301" t="s">
        <v>435</v>
      </c>
      <c r="C177" s="302" t="s">
        <v>668</v>
      </c>
      <c r="D177" s="238">
        <v>3000</v>
      </c>
      <c r="E177" s="258"/>
    </row>
    <row r="178" spans="1:5" ht="30.75" customHeight="1" thickBot="1">
      <c r="A178" s="255">
        <v>55</v>
      </c>
      <c r="B178" s="301" t="s">
        <v>72</v>
      </c>
      <c r="C178" s="302" t="s">
        <v>674</v>
      </c>
      <c r="D178" s="238">
        <v>6000</v>
      </c>
      <c r="E178" s="258"/>
    </row>
    <row r="179" spans="1:5" ht="45.75" customHeight="1" thickBot="1">
      <c r="A179" s="255">
        <v>56</v>
      </c>
      <c r="B179" s="301" t="s">
        <v>76</v>
      </c>
      <c r="C179" s="302" t="s">
        <v>674</v>
      </c>
      <c r="D179" s="238">
        <v>3000</v>
      </c>
      <c r="E179" s="258"/>
    </row>
    <row r="180" spans="1:5" ht="45.75" customHeight="1" thickBot="1">
      <c r="A180" s="255">
        <v>57</v>
      </c>
      <c r="B180" s="301" t="s">
        <v>150</v>
      </c>
      <c r="C180" s="302" t="s">
        <v>674</v>
      </c>
      <c r="D180" s="238">
        <v>12000</v>
      </c>
      <c r="E180" s="258"/>
    </row>
    <row r="181" spans="1:5" ht="45.75" customHeight="1" thickBot="1">
      <c r="A181" s="255">
        <v>58</v>
      </c>
      <c r="B181" s="442" t="s">
        <v>182</v>
      </c>
      <c r="C181" s="443" t="s">
        <v>674</v>
      </c>
      <c r="D181" s="444">
        <v>3000</v>
      </c>
      <c r="E181" s="445"/>
    </row>
    <row r="182" spans="1:5" ht="45.75" customHeight="1" thickBot="1">
      <c r="A182" s="255">
        <v>59</v>
      </c>
      <c r="B182" s="301" t="s">
        <v>675</v>
      </c>
      <c r="C182" s="302" t="s">
        <v>674</v>
      </c>
      <c r="D182" s="238">
        <v>3000</v>
      </c>
      <c r="E182" s="258"/>
    </row>
    <row r="183" spans="1:5" ht="45.75" customHeight="1" thickBot="1">
      <c r="A183" s="255">
        <v>60</v>
      </c>
      <c r="B183" s="301" t="s">
        <v>820</v>
      </c>
      <c r="C183" s="302" t="s">
        <v>674</v>
      </c>
      <c r="D183" s="238">
        <v>15000</v>
      </c>
      <c r="E183" s="258"/>
    </row>
    <row r="184" spans="1:5" ht="45.75" customHeight="1" thickBot="1">
      <c r="A184" s="255">
        <v>61</v>
      </c>
      <c r="B184" s="237" t="s">
        <v>879</v>
      </c>
      <c r="C184" s="432" t="s">
        <v>880</v>
      </c>
      <c r="D184" s="238">
        <v>3000</v>
      </c>
      <c r="E184" s="258"/>
    </row>
    <row r="185" spans="1:5" ht="33.75" thickBot="1">
      <c r="A185" s="255">
        <v>62</v>
      </c>
      <c r="B185" s="237" t="s">
        <v>857</v>
      </c>
      <c r="C185" s="432" t="s">
        <v>881</v>
      </c>
      <c r="D185" s="238">
        <v>3000</v>
      </c>
      <c r="E185" s="258"/>
    </row>
    <row r="186" spans="1:5" ht="16.5" thickBot="1">
      <c r="A186" s="360" t="s">
        <v>676</v>
      </c>
      <c r="B186" s="363"/>
      <c r="C186" s="260"/>
      <c r="D186" s="261">
        <v>564000</v>
      </c>
      <c r="E186" s="337"/>
    </row>
    <row r="187" spans="1:5">
      <c r="A187" s="319" t="s">
        <v>882</v>
      </c>
    </row>
    <row r="188" spans="1:5" ht="15.75">
      <c r="A188" s="321"/>
      <c r="B188" s="323"/>
    </row>
    <row r="189" spans="1:5" ht="16.5">
      <c r="A189" s="322"/>
      <c r="B189" s="248"/>
    </row>
    <row r="190" spans="1:5" ht="15.75">
      <c r="A190" s="295" t="s">
        <v>704</v>
      </c>
    </row>
    <row r="191" spans="1:5" ht="15.75">
      <c r="A191" s="295" t="s">
        <v>697</v>
      </c>
    </row>
    <row r="192" spans="1:5" ht="15.75">
      <c r="A192" s="295" t="s">
        <v>698</v>
      </c>
    </row>
    <row r="193" spans="1:5" ht="15.75">
      <c r="A193" s="296" t="s">
        <v>883</v>
      </c>
    </row>
    <row r="194" spans="1:5" ht="15.75" thickBot="1">
      <c r="A194" s="433"/>
    </row>
    <row r="195" spans="1:5" ht="63.75" customHeight="1" thickBot="1">
      <c r="A195" s="434" t="s">
        <v>0</v>
      </c>
      <c r="B195" s="435" t="s">
        <v>121</v>
      </c>
      <c r="C195" s="434" t="s">
        <v>632</v>
      </c>
      <c r="D195" s="435" t="s">
        <v>633</v>
      </c>
      <c r="E195" s="436" t="s">
        <v>699</v>
      </c>
    </row>
    <row r="196" spans="1:5" ht="30.75" customHeight="1" thickBot="1">
      <c r="A196" s="340">
        <v>1</v>
      </c>
      <c r="B196" s="269" t="s">
        <v>693</v>
      </c>
      <c r="C196" s="270" t="s">
        <v>668</v>
      </c>
      <c r="D196" s="271">
        <v>300000</v>
      </c>
      <c r="E196" s="272" t="s">
        <v>700</v>
      </c>
    </row>
    <row r="197" spans="1:5" ht="45.75" customHeight="1" thickBot="1">
      <c r="A197" s="333">
        <v>2</v>
      </c>
      <c r="B197" s="237" t="s">
        <v>39</v>
      </c>
      <c r="C197" s="236" t="s">
        <v>668</v>
      </c>
      <c r="D197" s="274">
        <v>300000</v>
      </c>
      <c r="E197" s="275" t="s">
        <v>700</v>
      </c>
    </row>
    <row r="198" spans="1:5" ht="45.75" customHeight="1" thickBot="1">
      <c r="A198" s="333">
        <v>3</v>
      </c>
      <c r="B198" s="237" t="s">
        <v>76</v>
      </c>
      <c r="C198" s="236" t="s">
        <v>674</v>
      </c>
      <c r="D198" s="274">
        <v>250000</v>
      </c>
      <c r="E198" s="275" t="s">
        <v>701</v>
      </c>
    </row>
    <row r="199" spans="1:5" ht="30.75" customHeight="1" thickBot="1">
      <c r="A199" s="333">
        <v>4</v>
      </c>
      <c r="B199" s="237" t="s">
        <v>98</v>
      </c>
      <c r="C199" s="236" t="s">
        <v>636</v>
      </c>
      <c r="D199" s="274">
        <v>200000</v>
      </c>
      <c r="E199" s="275" t="s">
        <v>702</v>
      </c>
    </row>
    <row r="200" spans="1:5" ht="45.75" customHeight="1" thickBot="1">
      <c r="A200" s="333">
        <v>5</v>
      </c>
      <c r="B200" s="237" t="s">
        <v>138</v>
      </c>
      <c r="C200" s="236" t="s">
        <v>653</v>
      </c>
      <c r="D200" s="274">
        <v>100000</v>
      </c>
      <c r="E200" s="275" t="s">
        <v>884</v>
      </c>
    </row>
    <row r="201" spans="1:5" ht="16.5" thickBot="1">
      <c r="A201" s="333">
        <v>6</v>
      </c>
      <c r="B201" s="237" t="s">
        <v>262</v>
      </c>
      <c r="C201" s="236" t="s">
        <v>668</v>
      </c>
      <c r="D201" s="274">
        <v>100000</v>
      </c>
      <c r="E201" s="275" t="s">
        <v>884</v>
      </c>
    </row>
    <row r="202" spans="1:5" ht="17.25" thickBot="1">
      <c r="A202" s="360" t="s">
        <v>676</v>
      </c>
      <c r="B202" s="363"/>
      <c r="C202" s="335"/>
      <c r="D202" s="437" t="s">
        <v>885</v>
      </c>
      <c r="E202" s="277"/>
    </row>
    <row r="203" spans="1:5">
      <c r="A203" s="319" t="s">
        <v>886</v>
      </c>
    </row>
    <row r="204" spans="1:5">
      <c r="A204" s="319"/>
    </row>
    <row r="205" spans="1:5" ht="16.5">
      <c r="A205" s="322"/>
      <c r="B205" s="248"/>
    </row>
    <row r="206" spans="1:5" ht="15.75">
      <c r="A206" s="295" t="s">
        <v>887</v>
      </c>
    </row>
    <row r="207" spans="1:5">
      <c r="A207" s="438"/>
    </row>
    <row r="208" spans="1:5" ht="15.75">
      <c r="A208" s="295" t="s">
        <v>705</v>
      </c>
    </row>
    <row r="209" spans="1:4" ht="15.75">
      <c r="A209" s="296" t="s">
        <v>883</v>
      </c>
    </row>
    <row r="210" spans="1:4" ht="17.25" thickBot="1">
      <c r="A210" s="297"/>
    </row>
    <row r="211" spans="1:4" ht="63.75" thickBot="1">
      <c r="A211" s="434" t="s">
        <v>0</v>
      </c>
      <c r="B211" s="435" t="s">
        <v>632</v>
      </c>
      <c r="C211" s="435" t="s">
        <v>633</v>
      </c>
      <c r="D211" s="436" t="s">
        <v>699</v>
      </c>
    </row>
    <row r="212" spans="1:4" ht="60.75" customHeight="1" thickBot="1">
      <c r="A212" s="439">
        <v>1</v>
      </c>
      <c r="B212" s="269" t="s">
        <v>888</v>
      </c>
      <c r="C212" s="279" t="s">
        <v>889</v>
      </c>
      <c r="D212" s="280"/>
    </row>
    <row r="213" spans="1:4" ht="60.75" customHeight="1" thickBot="1">
      <c r="A213" s="327">
        <v>2</v>
      </c>
      <c r="B213" s="237" t="s">
        <v>708</v>
      </c>
      <c r="C213" s="281" t="s">
        <v>889</v>
      </c>
      <c r="D213" s="282"/>
    </row>
    <row r="214" spans="1:4" ht="45.75" customHeight="1" thickBot="1">
      <c r="A214" s="255">
        <v>3</v>
      </c>
      <c r="B214" s="237" t="s">
        <v>890</v>
      </c>
      <c r="C214" s="281" t="s">
        <v>889</v>
      </c>
      <c r="D214" s="282"/>
    </row>
    <row r="215" spans="1:4" ht="16.5" thickBot="1">
      <c r="A215" s="255">
        <v>4</v>
      </c>
      <c r="B215" s="237" t="s">
        <v>706</v>
      </c>
      <c r="C215" s="281">
        <v>750</v>
      </c>
      <c r="D215" s="282"/>
    </row>
    <row r="216" spans="1:4" ht="32.25" thickBot="1">
      <c r="A216" s="360" t="s">
        <v>676</v>
      </c>
      <c r="B216" s="363"/>
      <c r="C216" s="440" t="s">
        <v>891</v>
      </c>
      <c r="D216" s="277"/>
    </row>
    <row r="217" spans="1:4">
      <c r="A217" s="319" t="s">
        <v>892</v>
      </c>
    </row>
    <row r="218" spans="1:4">
      <c r="A218" s="319"/>
    </row>
    <row r="219" spans="1:4">
      <c r="A219" s="320"/>
    </row>
    <row r="220" spans="1:4">
      <c r="A220" s="3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0"/>
  <sheetViews>
    <sheetView workbookViewId="0">
      <selection activeCell="A28" sqref="A28:J28"/>
    </sheetView>
  </sheetViews>
  <sheetFormatPr defaultRowHeight="15"/>
  <cols>
    <col min="1" max="1" width="9.140625" customWidth="1"/>
    <col min="2" max="2" width="36.140625" customWidth="1"/>
    <col min="3" max="3" width="9.140625" customWidth="1"/>
    <col min="4" max="4" width="14.7109375" customWidth="1"/>
    <col min="5" max="5" width="14" customWidth="1"/>
    <col min="6" max="7" width="9.140625" customWidth="1"/>
  </cols>
  <sheetData>
    <row r="1" spans="1:6" ht="15.75">
      <c r="A1" s="205" t="s">
        <v>712</v>
      </c>
    </row>
    <row r="2" spans="1:6" ht="15.75">
      <c r="A2" s="232" t="s">
        <v>893</v>
      </c>
    </row>
    <row r="3" spans="1:6" ht="16.5" thickBot="1">
      <c r="A3" s="232"/>
    </row>
    <row r="4" spans="1:6" ht="31.5" customHeight="1" thickBot="1">
      <c r="A4" s="380" t="s">
        <v>0</v>
      </c>
      <c r="B4" s="380" t="s">
        <v>121</v>
      </c>
      <c r="C4" s="380" t="s">
        <v>632</v>
      </c>
      <c r="D4" s="398" t="s">
        <v>894</v>
      </c>
      <c r="E4" s="399"/>
      <c r="F4" s="380" t="s">
        <v>699</v>
      </c>
    </row>
    <row r="5" spans="1:6" ht="16.5" thickBot="1">
      <c r="A5" s="400"/>
      <c r="B5" s="400"/>
      <c r="C5" s="400"/>
      <c r="D5" s="381" t="s">
        <v>828</v>
      </c>
      <c r="E5" s="381" t="s">
        <v>829</v>
      </c>
      <c r="F5" s="400"/>
    </row>
    <row r="6" spans="1:6" ht="16.5" thickBot="1">
      <c r="A6" s="382">
        <v>1</v>
      </c>
      <c r="B6" s="446" t="s">
        <v>635</v>
      </c>
      <c r="C6" s="447" t="s">
        <v>636</v>
      </c>
      <c r="D6" s="448">
        <v>30000</v>
      </c>
      <c r="E6" s="386"/>
      <c r="F6" s="386"/>
    </row>
    <row r="7" spans="1:6" ht="45.75" customHeight="1" thickBot="1">
      <c r="A7" s="382">
        <v>2</v>
      </c>
      <c r="B7" s="446" t="s">
        <v>638</v>
      </c>
      <c r="C7" s="447" t="s">
        <v>636</v>
      </c>
      <c r="D7" s="448">
        <v>136000</v>
      </c>
      <c r="E7" s="314"/>
      <c r="F7" s="386"/>
    </row>
    <row r="8" spans="1:6" ht="60.75" customHeight="1" thickBot="1">
      <c r="A8" s="382">
        <v>3</v>
      </c>
      <c r="B8" s="446" t="s">
        <v>154</v>
      </c>
      <c r="C8" s="447" t="s">
        <v>636</v>
      </c>
      <c r="D8" s="385"/>
      <c r="E8" s="448">
        <v>114000</v>
      </c>
      <c r="F8" s="387"/>
    </row>
    <row r="9" spans="1:6" ht="30.75" customHeight="1" thickBot="1">
      <c r="A9" s="382">
        <v>4</v>
      </c>
      <c r="B9" s="446" t="s">
        <v>744</v>
      </c>
      <c r="C9" s="447" t="s">
        <v>636</v>
      </c>
      <c r="D9" s="448">
        <v>750000</v>
      </c>
      <c r="E9" s="314"/>
      <c r="F9" s="386"/>
    </row>
    <row r="10" spans="1:6" ht="45.75" customHeight="1" thickBot="1">
      <c r="A10" s="382">
        <v>5</v>
      </c>
      <c r="B10" s="446" t="s">
        <v>210</v>
      </c>
      <c r="C10" s="447" t="s">
        <v>636</v>
      </c>
      <c r="D10" s="385"/>
      <c r="E10" s="448">
        <v>134000</v>
      </c>
      <c r="F10" s="386"/>
    </row>
    <row r="11" spans="1:6" ht="45.75" customHeight="1" thickBot="1">
      <c r="A11" s="382">
        <v>6</v>
      </c>
      <c r="B11" s="446" t="s">
        <v>96</v>
      </c>
      <c r="C11" s="447" t="s">
        <v>636</v>
      </c>
      <c r="D11" s="385"/>
      <c r="E11" s="448">
        <v>15000</v>
      </c>
      <c r="F11" s="386"/>
    </row>
    <row r="12" spans="1:6" ht="45.75" customHeight="1" thickBot="1">
      <c r="A12" s="382">
        <v>7</v>
      </c>
      <c r="B12" s="446" t="s">
        <v>106</v>
      </c>
      <c r="C12" s="447" t="s">
        <v>636</v>
      </c>
      <c r="D12" s="385"/>
      <c r="E12" s="448">
        <v>15000</v>
      </c>
      <c r="F12" s="387"/>
    </row>
    <row r="13" spans="1:6" ht="45.75" customHeight="1" thickBot="1">
      <c r="A13" s="382">
        <v>8</v>
      </c>
      <c r="B13" s="446" t="s">
        <v>716</v>
      </c>
      <c r="C13" s="447" t="s">
        <v>642</v>
      </c>
      <c r="D13" s="385"/>
      <c r="E13" s="448">
        <v>30000</v>
      </c>
      <c r="F13" s="387"/>
    </row>
    <row r="14" spans="1:6" ht="45.75" customHeight="1" thickBot="1">
      <c r="A14" s="382">
        <v>9</v>
      </c>
      <c r="B14" s="446" t="s">
        <v>168</v>
      </c>
      <c r="C14" s="447" t="s">
        <v>646</v>
      </c>
      <c r="D14" s="385"/>
      <c r="E14" s="448">
        <v>158000</v>
      </c>
      <c r="F14" s="386"/>
    </row>
    <row r="15" spans="1:6" ht="45.75" customHeight="1" thickBot="1">
      <c r="A15" s="382">
        <v>10</v>
      </c>
      <c r="B15" s="446" t="s">
        <v>148</v>
      </c>
      <c r="C15" s="447" t="s">
        <v>646</v>
      </c>
      <c r="D15" s="385"/>
      <c r="E15" s="448">
        <v>60000</v>
      </c>
      <c r="F15" s="387"/>
    </row>
    <row r="16" spans="1:6" ht="30.75" customHeight="1" thickBot="1">
      <c r="A16" s="382">
        <v>11</v>
      </c>
      <c r="B16" s="446" t="s">
        <v>723</v>
      </c>
      <c r="C16" s="447" t="s">
        <v>646</v>
      </c>
      <c r="D16" s="448">
        <v>147000</v>
      </c>
      <c r="E16" s="314"/>
      <c r="F16" s="387"/>
    </row>
    <row r="17" spans="1:6" ht="60.75" customHeight="1" thickBot="1">
      <c r="A17" s="382">
        <v>12</v>
      </c>
      <c r="B17" s="446" t="s">
        <v>289</v>
      </c>
      <c r="C17" s="447" t="s">
        <v>646</v>
      </c>
      <c r="D17" s="449" t="s">
        <v>895</v>
      </c>
      <c r="E17" s="448">
        <v>92000</v>
      </c>
      <c r="F17" s="387"/>
    </row>
    <row r="18" spans="1:6" ht="45.75" customHeight="1" thickBot="1">
      <c r="A18" s="382">
        <v>13</v>
      </c>
      <c r="B18" s="446" t="s">
        <v>282</v>
      </c>
      <c r="C18" s="447" t="s">
        <v>646</v>
      </c>
      <c r="D18" s="448">
        <v>15000</v>
      </c>
      <c r="E18" s="314"/>
      <c r="F18" s="387"/>
    </row>
    <row r="19" spans="1:6" ht="30.75" customHeight="1" thickBot="1">
      <c r="A19" s="382">
        <v>14</v>
      </c>
      <c r="B19" s="446" t="s">
        <v>152</v>
      </c>
      <c r="C19" s="447" t="s">
        <v>649</v>
      </c>
      <c r="D19" s="385"/>
      <c r="E19" s="448">
        <v>195000</v>
      </c>
      <c r="F19" s="387"/>
    </row>
    <row r="20" spans="1:6" ht="45.75" customHeight="1" thickBot="1">
      <c r="A20" s="382">
        <v>15</v>
      </c>
      <c r="B20" s="446" t="s">
        <v>81</v>
      </c>
      <c r="C20" s="447" t="s">
        <v>649</v>
      </c>
      <c r="D20" s="385"/>
      <c r="E20" s="448">
        <v>75000</v>
      </c>
      <c r="F20" s="387"/>
    </row>
    <row r="21" spans="1:6" ht="45.75" customHeight="1" thickBot="1">
      <c r="A21" s="382">
        <v>16</v>
      </c>
      <c r="B21" s="446" t="s">
        <v>27</v>
      </c>
      <c r="C21" s="447" t="s">
        <v>649</v>
      </c>
      <c r="D21" s="385"/>
      <c r="E21" s="448">
        <v>105000</v>
      </c>
      <c r="F21" s="387"/>
    </row>
    <row r="22" spans="1:6" ht="45.75" customHeight="1" thickBot="1">
      <c r="A22" s="382">
        <v>17</v>
      </c>
      <c r="B22" s="446" t="s">
        <v>685</v>
      </c>
      <c r="C22" s="447" t="s">
        <v>649</v>
      </c>
      <c r="D22" s="448">
        <v>105000</v>
      </c>
      <c r="E22" s="314"/>
      <c r="F22" s="387"/>
    </row>
    <row r="23" spans="1:6" ht="45.75" customHeight="1" thickBot="1">
      <c r="A23" s="382">
        <v>18</v>
      </c>
      <c r="B23" s="446" t="s">
        <v>831</v>
      </c>
      <c r="C23" s="447" t="s">
        <v>649</v>
      </c>
      <c r="D23" s="385"/>
      <c r="E23" s="448">
        <v>50000</v>
      </c>
      <c r="F23" s="387"/>
    </row>
    <row r="24" spans="1:6" ht="45.75" customHeight="1" thickBot="1">
      <c r="A24" s="382">
        <v>19</v>
      </c>
      <c r="B24" s="446" t="s">
        <v>896</v>
      </c>
      <c r="C24" s="447" t="s">
        <v>649</v>
      </c>
      <c r="D24" s="385"/>
      <c r="E24" s="448">
        <v>6000</v>
      </c>
      <c r="F24" s="387"/>
    </row>
    <row r="25" spans="1:6" ht="45.75" customHeight="1" thickBot="1">
      <c r="A25" s="382">
        <v>20</v>
      </c>
      <c r="B25" s="446" t="s">
        <v>78</v>
      </c>
      <c r="C25" s="447" t="s">
        <v>649</v>
      </c>
      <c r="D25" s="385"/>
      <c r="E25" s="448">
        <v>45000</v>
      </c>
      <c r="F25" s="387"/>
    </row>
    <row r="26" spans="1:6" ht="30.75" customHeight="1" thickBot="1">
      <c r="A26" s="382">
        <v>21</v>
      </c>
      <c r="B26" s="446" t="s">
        <v>187</v>
      </c>
      <c r="C26" s="447" t="s">
        <v>649</v>
      </c>
      <c r="D26" s="385"/>
      <c r="E26" s="448">
        <v>60000</v>
      </c>
      <c r="F26" s="387"/>
    </row>
    <row r="27" spans="1:6" ht="45.75" customHeight="1" thickBot="1">
      <c r="A27" s="382">
        <v>22</v>
      </c>
      <c r="B27" s="446" t="s">
        <v>684</v>
      </c>
      <c r="C27" s="447" t="s">
        <v>649</v>
      </c>
      <c r="D27" s="448">
        <v>75000</v>
      </c>
      <c r="E27" s="314"/>
      <c r="F27" s="387"/>
    </row>
    <row r="28" spans="1:6" ht="45.75" customHeight="1" thickBot="1">
      <c r="A28" s="382">
        <v>23</v>
      </c>
      <c r="B28" s="446" t="s">
        <v>686</v>
      </c>
      <c r="C28" s="447" t="s">
        <v>649</v>
      </c>
      <c r="D28" s="448">
        <v>60000</v>
      </c>
      <c r="E28" s="314"/>
      <c r="F28" s="387"/>
    </row>
    <row r="29" spans="1:6" ht="45.75" customHeight="1" thickBot="1">
      <c r="A29" s="382">
        <v>24</v>
      </c>
      <c r="B29" s="446" t="s">
        <v>687</v>
      </c>
      <c r="C29" s="447" t="s">
        <v>649</v>
      </c>
      <c r="D29" s="448">
        <v>75000</v>
      </c>
      <c r="E29" s="314"/>
      <c r="F29" s="387"/>
    </row>
    <row r="30" spans="1:6" ht="45.75" customHeight="1" thickBot="1">
      <c r="A30" s="382">
        <v>25</v>
      </c>
      <c r="B30" s="446" t="s">
        <v>728</v>
      </c>
      <c r="C30" s="447" t="s">
        <v>650</v>
      </c>
      <c r="D30" s="448">
        <v>136000</v>
      </c>
      <c r="E30" s="314"/>
      <c r="F30" s="387"/>
    </row>
    <row r="31" spans="1:6" ht="30.75" customHeight="1" thickBot="1">
      <c r="A31" s="382">
        <v>26</v>
      </c>
      <c r="B31" s="446" t="s">
        <v>91</v>
      </c>
      <c r="C31" s="447" t="s">
        <v>650</v>
      </c>
      <c r="D31" s="385"/>
      <c r="E31" s="448">
        <v>90000</v>
      </c>
      <c r="F31" s="387"/>
    </row>
    <row r="32" spans="1:6" ht="45.75" customHeight="1" thickBot="1">
      <c r="A32" s="382">
        <v>27</v>
      </c>
      <c r="B32" s="446" t="s">
        <v>83</v>
      </c>
      <c r="C32" s="447" t="s">
        <v>650</v>
      </c>
      <c r="D32" s="385"/>
      <c r="E32" s="448">
        <v>47000</v>
      </c>
      <c r="F32" s="387"/>
    </row>
    <row r="33" spans="1:6" ht="30.75" customHeight="1" thickBot="1">
      <c r="A33" s="382">
        <v>28</v>
      </c>
      <c r="B33" s="446" t="s">
        <v>688</v>
      </c>
      <c r="C33" s="447" t="s">
        <v>650</v>
      </c>
      <c r="D33" s="448">
        <v>81000</v>
      </c>
      <c r="E33" s="314"/>
      <c r="F33" s="387"/>
    </row>
    <row r="34" spans="1:6" ht="45.75" customHeight="1" thickBot="1">
      <c r="A34" s="382">
        <v>29</v>
      </c>
      <c r="B34" s="446" t="s">
        <v>727</v>
      </c>
      <c r="C34" s="447" t="s">
        <v>650</v>
      </c>
      <c r="D34" s="448">
        <v>119000</v>
      </c>
      <c r="E34" s="314"/>
      <c r="F34" s="387"/>
    </row>
    <row r="35" spans="1:6" ht="30.75" customHeight="1" thickBot="1">
      <c r="A35" s="382">
        <v>30</v>
      </c>
      <c r="B35" s="446" t="s">
        <v>765</v>
      </c>
      <c r="C35" s="447" t="s">
        <v>650</v>
      </c>
      <c r="D35" s="449" t="s">
        <v>895</v>
      </c>
      <c r="E35" s="448">
        <v>30000</v>
      </c>
      <c r="F35" s="387"/>
    </row>
    <row r="36" spans="1:6" ht="45.75" customHeight="1" thickBot="1">
      <c r="A36" s="382">
        <v>31</v>
      </c>
      <c r="B36" s="446" t="s">
        <v>757</v>
      </c>
      <c r="C36" s="447" t="s">
        <v>756</v>
      </c>
      <c r="D36" s="448">
        <v>270000</v>
      </c>
      <c r="E36" s="314"/>
      <c r="F36" s="387"/>
    </row>
    <row r="37" spans="1:6" ht="45.75" customHeight="1" thickBot="1">
      <c r="A37" s="382">
        <v>32</v>
      </c>
      <c r="B37" s="446" t="s">
        <v>56</v>
      </c>
      <c r="C37" s="447" t="s">
        <v>653</v>
      </c>
      <c r="D37" s="385"/>
      <c r="E37" s="448">
        <v>450000</v>
      </c>
      <c r="F37" s="387"/>
    </row>
    <row r="38" spans="1:6" ht="45.75" customHeight="1" thickBot="1">
      <c r="A38" s="382">
        <v>33</v>
      </c>
      <c r="B38" s="446" t="s">
        <v>50</v>
      </c>
      <c r="C38" s="447" t="s">
        <v>653</v>
      </c>
      <c r="D38" s="385"/>
      <c r="E38" s="448">
        <v>349000</v>
      </c>
      <c r="F38" s="387"/>
    </row>
    <row r="39" spans="1:6" ht="45.75" customHeight="1" thickBot="1">
      <c r="A39" s="382">
        <v>34</v>
      </c>
      <c r="B39" s="446" t="s">
        <v>48</v>
      </c>
      <c r="C39" s="447" t="s">
        <v>653</v>
      </c>
      <c r="D39" s="385"/>
      <c r="E39" s="448">
        <v>62000</v>
      </c>
      <c r="F39" s="387"/>
    </row>
    <row r="40" spans="1:6" ht="45.75" customHeight="1" thickBot="1">
      <c r="A40" s="382">
        <v>35</v>
      </c>
      <c r="B40" s="446" t="s">
        <v>138</v>
      </c>
      <c r="C40" s="447" t="s">
        <v>653</v>
      </c>
      <c r="D40" s="385"/>
      <c r="E40" s="448">
        <v>47000</v>
      </c>
      <c r="F40" s="387"/>
    </row>
    <row r="41" spans="1:6" ht="45.75" customHeight="1" thickBot="1">
      <c r="A41" s="382">
        <v>36</v>
      </c>
      <c r="B41" s="446" t="s">
        <v>52</v>
      </c>
      <c r="C41" s="447" t="s">
        <v>653</v>
      </c>
      <c r="D41" s="385"/>
      <c r="E41" s="448">
        <v>47000</v>
      </c>
      <c r="F41" s="387"/>
    </row>
    <row r="42" spans="1:6" ht="30.75" customHeight="1" thickBot="1">
      <c r="A42" s="382">
        <v>37</v>
      </c>
      <c r="B42" s="446" t="s">
        <v>46</v>
      </c>
      <c r="C42" s="447" t="s">
        <v>653</v>
      </c>
      <c r="D42" s="448">
        <v>68000</v>
      </c>
      <c r="E42" s="314"/>
      <c r="F42" s="387"/>
    </row>
    <row r="43" spans="1:6" ht="30.75" customHeight="1" thickBot="1">
      <c r="A43" s="382">
        <v>38</v>
      </c>
      <c r="B43" s="446" t="s">
        <v>146</v>
      </c>
      <c r="C43" s="447" t="s">
        <v>653</v>
      </c>
      <c r="D43" s="449" t="s">
        <v>895</v>
      </c>
      <c r="E43" s="448">
        <v>60000</v>
      </c>
      <c r="F43" s="387"/>
    </row>
    <row r="44" spans="1:6" ht="30.75" customHeight="1" thickBot="1">
      <c r="A44" s="382">
        <v>39</v>
      </c>
      <c r="B44" s="446" t="s">
        <v>659</v>
      </c>
      <c r="C44" s="447" t="s">
        <v>653</v>
      </c>
      <c r="D44" s="448">
        <v>87000</v>
      </c>
      <c r="E44" s="314"/>
      <c r="F44" s="387"/>
    </row>
    <row r="45" spans="1:6" ht="45.75" customHeight="1" thickBot="1">
      <c r="A45" s="382">
        <v>40</v>
      </c>
      <c r="B45" s="446" t="s">
        <v>662</v>
      </c>
      <c r="C45" s="447" t="s">
        <v>661</v>
      </c>
      <c r="D45" s="448">
        <v>75000</v>
      </c>
      <c r="E45" s="314"/>
      <c r="F45" s="387"/>
    </row>
    <row r="46" spans="1:6" ht="45.75" customHeight="1" thickBot="1">
      <c r="A46" s="382">
        <v>41</v>
      </c>
      <c r="B46" s="446" t="s">
        <v>664</v>
      </c>
      <c r="C46" s="447" t="s">
        <v>661</v>
      </c>
      <c r="D46" s="385"/>
      <c r="E46" s="448">
        <v>30000</v>
      </c>
      <c r="F46" s="387"/>
    </row>
    <row r="47" spans="1:6" ht="45.75" customHeight="1" thickBot="1">
      <c r="A47" s="382">
        <v>42</v>
      </c>
      <c r="B47" s="446" t="s">
        <v>665</v>
      </c>
      <c r="C47" s="447" t="s">
        <v>661</v>
      </c>
      <c r="D47" s="385"/>
      <c r="E47" s="448">
        <v>75000</v>
      </c>
      <c r="F47" s="387"/>
    </row>
    <row r="48" spans="1:6" ht="45.75" customHeight="1" thickBot="1">
      <c r="A48" s="382">
        <v>43</v>
      </c>
      <c r="B48" s="446" t="s">
        <v>669</v>
      </c>
      <c r="C48" s="447" t="s">
        <v>668</v>
      </c>
      <c r="D48" s="448">
        <v>128000</v>
      </c>
      <c r="E48" s="314"/>
      <c r="F48" s="387"/>
    </row>
    <row r="49" spans="1:6" ht="45.75" customHeight="1" thickBot="1">
      <c r="A49" s="382">
        <v>44</v>
      </c>
      <c r="B49" s="446" t="s">
        <v>39</v>
      </c>
      <c r="C49" s="447" t="s">
        <v>668</v>
      </c>
      <c r="D49" s="385"/>
      <c r="E49" s="448">
        <v>341000</v>
      </c>
      <c r="F49" s="387"/>
    </row>
    <row r="50" spans="1:6" ht="30.75" customHeight="1" thickBot="1">
      <c r="A50" s="382">
        <v>45</v>
      </c>
      <c r="B50" s="446" t="s">
        <v>29</v>
      </c>
      <c r="C50" s="447" t="s">
        <v>668</v>
      </c>
      <c r="D50" s="385"/>
      <c r="E50" s="448">
        <v>60000</v>
      </c>
      <c r="F50" s="387"/>
    </row>
    <row r="51" spans="1:6" ht="45.75" customHeight="1" thickBot="1">
      <c r="A51" s="382">
        <v>46</v>
      </c>
      <c r="B51" s="446" t="s">
        <v>31</v>
      </c>
      <c r="C51" s="447" t="s">
        <v>668</v>
      </c>
      <c r="D51" s="385"/>
      <c r="E51" s="448">
        <v>48000</v>
      </c>
      <c r="F51" s="387"/>
    </row>
    <row r="52" spans="1:6" ht="60.75" customHeight="1" thickBot="1">
      <c r="A52" s="382">
        <v>47</v>
      </c>
      <c r="B52" s="446" t="s">
        <v>435</v>
      </c>
      <c r="C52" s="447" t="s">
        <v>668</v>
      </c>
      <c r="D52" s="385"/>
      <c r="E52" s="448">
        <v>30000</v>
      </c>
      <c r="F52" s="387"/>
    </row>
    <row r="53" spans="1:6" ht="45.75" customHeight="1" thickBot="1">
      <c r="A53" s="382">
        <v>48</v>
      </c>
      <c r="B53" s="446" t="s">
        <v>262</v>
      </c>
      <c r="C53" s="447" t="s">
        <v>668</v>
      </c>
      <c r="D53" s="385"/>
      <c r="E53" s="448">
        <v>15000</v>
      </c>
      <c r="F53" s="387"/>
    </row>
    <row r="54" spans="1:6" ht="30.75" customHeight="1" thickBot="1">
      <c r="A54" s="382">
        <v>49</v>
      </c>
      <c r="B54" s="446" t="s">
        <v>742</v>
      </c>
      <c r="C54" s="447" t="s">
        <v>674</v>
      </c>
      <c r="D54" s="448">
        <v>292000</v>
      </c>
      <c r="E54" s="314"/>
      <c r="F54" s="387"/>
    </row>
    <row r="55" spans="1:6" ht="45.75" customHeight="1" thickBot="1">
      <c r="A55" s="382">
        <v>50</v>
      </c>
      <c r="B55" s="446" t="s">
        <v>743</v>
      </c>
      <c r="C55" s="447" t="s">
        <v>674</v>
      </c>
      <c r="D55" s="448">
        <v>108000</v>
      </c>
      <c r="E55" s="314"/>
      <c r="F55" s="387"/>
    </row>
    <row r="56" spans="1:6" ht="30.75" customHeight="1" thickBot="1">
      <c r="A56" s="382">
        <v>51</v>
      </c>
      <c r="B56" s="446" t="s">
        <v>72</v>
      </c>
      <c r="C56" s="447" t="s">
        <v>674</v>
      </c>
      <c r="D56" s="385"/>
      <c r="E56" s="448">
        <v>180000</v>
      </c>
      <c r="F56" s="387"/>
    </row>
    <row r="57" spans="1:6" ht="16.5" thickBot="1">
      <c r="A57" s="382">
        <v>52</v>
      </c>
      <c r="B57" s="446" t="s">
        <v>675</v>
      </c>
      <c r="C57" s="447" t="s">
        <v>674</v>
      </c>
      <c r="D57" s="448">
        <v>60000</v>
      </c>
      <c r="E57" s="314"/>
      <c r="F57" s="387"/>
    </row>
    <row r="58" spans="1:6" ht="16.5" thickBot="1">
      <c r="A58" s="401" t="s">
        <v>758</v>
      </c>
      <c r="B58" s="402"/>
      <c r="C58" s="336"/>
      <c r="D58" s="388">
        <v>2817000</v>
      </c>
      <c r="E58" s="388">
        <v>3115000</v>
      </c>
      <c r="F58" s="389"/>
    </row>
    <row r="59" spans="1:6" ht="16.5" customHeight="1" thickBot="1">
      <c r="A59" s="401" t="s">
        <v>864</v>
      </c>
      <c r="B59" s="402"/>
      <c r="C59" s="336"/>
      <c r="D59" s="403">
        <v>5932000</v>
      </c>
      <c r="E59" s="404"/>
      <c r="F59" s="390"/>
    </row>
    <row r="60" spans="1:6">
      <c r="A60" s="294" t="s">
        <v>897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212"/>
  <sheetViews>
    <sheetView topLeftCell="A127" workbookViewId="0">
      <selection activeCell="D19" sqref="D19"/>
    </sheetView>
  </sheetViews>
  <sheetFormatPr defaultRowHeight="15"/>
  <cols>
    <col min="1" max="1" width="9.140625" style="680"/>
    <col min="2" max="2" width="19.7109375" style="680" customWidth="1"/>
    <col min="3" max="3" width="9.140625" style="680"/>
    <col min="4" max="4" width="14.5703125" style="680" customWidth="1"/>
    <col min="5" max="5" width="18" style="680" customWidth="1"/>
    <col min="6" max="6" width="9.140625" style="680"/>
  </cols>
  <sheetData>
    <row r="1" spans="1:6" ht="31.5">
      <c r="A1" s="247" t="s">
        <v>1161</v>
      </c>
    </row>
    <row r="2" spans="1:6" ht="15.75">
      <c r="A2" s="247"/>
    </row>
    <row r="3" spans="1:6" ht="171">
      <c r="A3" s="663" t="s">
        <v>1162</v>
      </c>
    </row>
    <row r="4" spans="1:6" ht="174" thickBot="1">
      <c r="A4" s="698" t="s">
        <v>1163</v>
      </c>
    </row>
    <row r="5" spans="1:6" ht="31.5" customHeight="1" thickBot="1">
      <c r="A5" s="380" t="s">
        <v>0</v>
      </c>
      <c r="B5" s="380" t="s">
        <v>121</v>
      </c>
      <c r="C5" s="380" t="s">
        <v>632</v>
      </c>
      <c r="D5" s="398" t="s">
        <v>894</v>
      </c>
      <c r="E5" s="399"/>
      <c r="F5" s="380" t="s">
        <v>699</v>
      </c>
    </row>
    <row r="6" spans="1:6" ht="16.5" thickBot="1">
      <c r="A6" s="400"/>
      <c r="B6" s="400"/>
      <c r="C6" s="400"/>
      <c r="D6" s="381" t="s">
        <v>828</v>
      </c>
      <c r="E6" s="381" t="s">
        <v>829</v>
      </c>
      <c r="F6" s="400"/>
    </row>
    <row r="7" spans="1:6" ht="16.5" thickBot="1">
      <c r="A7" s="382">
        <v>1</v>
      </c>
      <c r="B7" s="687" t="s">
        <v>39</v>
      </c>
      <c r="C7" s="688" t="s">
        <v>668</v>
      </c>
      <c r="D7" s="386"/>
      <c r="E7" s="689">
        <v>330000</v>
      </c>
      <c r="F7" s="386"/>
    </row>
    <row r="8" spans="1:6" ht="16.5" thickBot="1">
      <c r="A8" s="382">
        <v>2</v>
      </c>
      <c r="B8" s="687" t="s">
        <v>29</v>
      </c>
      <c r="C8" s="688" t="s">
        <v>668</v>
      </c>
      <c r="D8" s="386"/>
      <c r="E8" s="689">
        <v>130000</v>
      </c>
      <c r="F8" s="386"/>
    </row>
    <row r="9" spans="1:6" ht="16.5" thickBot="1">
      <c r="A9" s="382">
        <v>3</v>
      </c>
      <c r="B9" s="687" t="s">
        <v>213</v>
      </c>
      <c r="C9" s="688" t="s">
        <v>668</v>
      </c>
      <c r="D9" s="386"/>
      <c r="E9" s="689">
        <v>30000</v>
      </c>
      <c r="F9" s="387"/>
    </row>
    <row r="10" spans="1:6" ht="32.25" thickBot="1">
      <c r="A10" s="382">
        <v>4</v>
      </c>
      <c r="B10" s="687" t="s">
        <v>262</v>
      </c>
      <c r="C10" s="688" t="s">
        <v>668</v>
      </c>
      <c r="D10" s="386"/>
      <c r="E10" s="689">
        <v>120000</v>
      </c>
      <c r="F10" s="386"/>
    </row>
    <row r="11" spans="1:6" ht="32.25" thickBot="1">
      <c r="A11" s="382">
        <v>5</v>
      </c>
      <c r="B11" s="687" t="s">
        <v>669</v>
      </c>
      <c r="C11" s="688" t="s">
        <v>668</v>
      </c>
      <c r="D11" s="689">
        <v>130000</v>
      </c>
      <c r="E11" s="387"/>
      <c r="F11" s="386"/>
    </row>
    <row r="12" spans="1:6" ht="16.5" thickBot="1">
      <c r="A12" s="382">
        <v>6</v>
      </c>
      <c r="B12" s="687" t="s">
        <v>691</v>
      </c>
      <c r="C12" s="688" t="s">
        <v>668</v>
      </c>
      <c r="D12" s="689">
        <v>30000</v>
      </c>
      <c r="E12" s="387"/>
      <c r="F12" s="386"/>
    </row>
    <row r="13" spans="1:6" ht="16.5" thickBot="1">
      <c r="A13" s="382">
        <v>7</v>
      </c>
      <c r="B13" s="687" t="s">
        <v>654</v>
      </c>
      <c r="C13" s="688" t="s">
        <v>653</v>
      </c>
      <c r="D13" s="689">
        <v>85000</v>
      </c>
      <c r="E13" s="387"/>
      <c r="F13" s="387"/>
    </row>
    <row r="14" spans="1:6" ht="16.5" thickBot="1">
      <c r="A14" s="382">
        <v>8</v>
      </c>
      <c r="B14" s="687" t="s">
        <v>52</v>
      </c>
      <c r="C14" s="688" t="s">
        <v>653</v>
      </c>
      <c r="D14" s="386"/>
      <c r="E14" s="689">
        <v>410000</v>
      </c>
      <c r="F14" s="387"/>
    </row>
    <row r="15" spans="1:6" ht="16.5" thickBot="1">
      <c r="A15" s="382">
        <v>9</v>
      </c>
      <c r="B15" s="687" t="s">
        <v>48</v>
      </c>
      <c r="C15" s="688" t="s">
        <v>653</v>
      </c>
      <c r="D15" s="386"/>
      <c r="E15" s="689">
        <v>170000</v>
      </c>
      <c r="F15" s="386"/>
    </row>
    <row r="16" spans="1:6" ht="16.5" thickBot="1">
      <c r="A16" s="382">
        <v>10</v>
      </c>
      <c r="B16" s="687" t="s">
        <v>46</v>
      </c>
      <c r="C16" s="688" t="s">
        <v>653</v>
      </c>
      <c r="D16" s="386"/>
      <c r="E16" s="689">
        <v>135000</v>
      </c>
      <c r="F16" s="387"/>
    </row>
    <row r="17" spans="1:6" ht="16.5" thickBot="1">
      <c r="A17" s="382">
        <v>11</v>
      </c>
      <c r="B17" s="687" t="s">
        <v>689</v>
      </c>
      <c r="C17" s="688" t="s">
        <v>653</v>
      </c>
      <c r="D17" s="689">
        <v>110000</v>
      </c>
      <c r="E17" s="386"/>
      <c r="F17" s="387"/>
    </row>
    <row r="18" spans="1:6" ht="16.5" thickBot="1">
      <c r="A18" s="382">
        <v>12</v>
      </c>
      <c r="B18" s="687" t="s">
        <v>730</v>
      </c>
      <c r="C18" s="688" t="s">
        <v>653</v>
      </c>
      <c r="D18" s="689">
        <v>70000</v>
      </c>
      <c r="E18" s="386"/>
      <c r="F18" s="387"/>
    </row>
    <row r="19" spans="1:6" ht="16.5" thickBot="1">
      <c r="A19" s="382">
        <v>13</v>
      </c>
      <c r="B19" s="687" t="s">
        <v>282</v>
      </c>
      <c r="C19" s="688" t="s">
        <v>646</v>
      </c>
      <c r="D19" s="386"/>
      <c r="E19" s="689">
        <v>70000</v>
      </c>
      <c r="F19" s="387"/>
    </row>
    <row r="20" spans="1:6" ht="16.5" thickBot="1">
      <c r="A20" s="382">
        <v>14</v>
      </c>
      <c r="B20" s="687" t="s">
        <v>65</v>
      </c>
      <c r="C20" s="688" t="s">
        <v>646</v>
      </c>
      <c r="D20" s="386"/>
      <c r="E20" s="689">
        <v>20000</v>
      </c>
      <c r="F20" s="387"/>
    </row>
    <row r="21" spans="1:6" ht="32.25" thickBot="1">
      <c r="A21" s="382">
        <v>15</v>
      </c>
      <c r="B21" s="687" t="s">
        <v>289</v>
      </c>
      <c r="C21" s="688" t="s">
        <v>646</v>
      </c>
      <c r="D21" s="386"/>
      <c r="E21" s="689">
        <v>10000</v>
      </c>
      <c r="F21" s="387"/>
    </row>
    <row r="22" spans="1:6" ht="16.5" thickBot="1">
      <c r="A22" s="382">
        <v>16</v>
      </c>
      <c r="B22" s="687" t="s">
        <v>722</v>
      </c>
      <c r="C22" s="688" t="s">
        <v>646</v>
      </c>
      <c r="D22" s="689">
        <v>115000</v>
      </c>
      <c r="E22" s="387"/>
      <c r="F22" s="387"/>
    </row>
    <row r="23" spans="1:6" ht="16.5" thickBot="1">
      <c r="A23" s="382">
        <v>17</v>
      </c>
      <c r="B23" s="687" t="s">
        <v>148</v>
      </c>
      <c r="C23" s="688" t="s">
        <v>646</v>
      </c>
      <c r="D23" s="386" t="s">
        <v>1164</v>
      </c>
      <c r="E23" s="689">
        <v>155000</v>
      </c>
      <c r="F23" s="387"/>
    </row>
    <row r="24" spans="1:6" ht="16.5" thickBot="1">
      <c r="A24" s="382">
        <v>18</v>
      </c>
      <c r="B24" s="687" t="s">
        <v>647</v>
      </c>
      <c r="C24" s="688" t="s">
        <v>646</v>
      </c>
      <c r="D24" s="689">
        <v>45000</v>
      </c>
      <c r="E24" s="387"/>
      <c r="F24" s="387"/>
    </row>
    <row r="25" spans="1:6" ht="16.5" thickBot="1">
      <c r="A25" s="382">
        <v>19</v>
      </c>
      <c r="B25" s="687" t="s">
        <v>168</v>
      </c>
      <c r="C25" s="688" t="s">
        <v>646</v>
      </c>
      <c r="D25" s="386"/>
      <c r="E25" s="689">
        <v>30000</v>
      </c>
      <c r="F25" s="387"/>
    </row>
    <row r="26" spans="1:6" ht="16.5" thickBot="1">
      <c r="A26" s="382">
        <v>20</v>
      </c>
      <c r="B26" s="687" t="s">
        <v>1165</v>
      </c>
      <c r="C26" s="688" t="s">
        <v>674</v>
      </c>
      <c r="D26" s="689">
        <v>70000</v>
      </c>
      <c r="E26" s="387"/>
      <c r="F26" s="387"/>
    </row>
    <row r="27" spans="1:6" ht="16.5" thickBot="1">
      <c r="A27" s="382">
        <v>21</v>
      </c>
      <c r="B27" s="687" t="s">
        <v>72</v>
      </c>
      <c r="C27" s="688" t="s">
        <v>674</v>
      </c>
      <c r="D27" s="386"/>
      <c r="E27" s="689">
        <v>235000</v>
      </c>
      <c r="F27" s="387"/>
    </row>
    <row r="28" spans="1:6" ht="16.5" thickBot="1">
      <c r="A28" s="382">
        <v>22</v>
      </c>
      <c r="B28" s="687" t="s">
        <v>149</v>
      </c>
      <c r="C28" s="688" t="s">
        <v>674</v>
      </c>
      <c r="D28" s="386"/>
      <c r="E28" s="689">
        <v>115000</v>
      </c>
      <c r="F28" s="387"/>
    </row>
    <row r="29" spans="1:6" ht="16.5" thickBot="1">
      <c r="A29" s="382">
        <v>23</v>
      </c>
      <c r="B29" s="687" t="s">
        <v>675</v>
      </c>
      <c r="C29" s="688" t="s">
        <v>674</v>
      </c>
      <c r="D29" s="689">
        <v>125000</v>
      </c>
      <c r="E29" s="386"/>
      <c r="F29" s="387"/>
    </row>
    <row r="30" spans="1:6" ht="16.5" thickBot="1">
      <c r="A30" s="382">
        <v>24</v>
      </c>
      <c r="B30" s="687" t="s">
        <v>742</v>
      </c>
      <c r="C30" s="688" t="s">
        <v>674</v>
      </c>
      <c r="D30" s="689">
        <v>115000</v>
      </c>
      <c r="E30" s="386"/>
      <c r="F30" s="387"/>
    </row>
    <row r="31" spans="1:6" ht="16.5" thickBot="1">
      <c r="A31" s="382">
        <v>25</v>
      </c>
      <c r="B31" s="687" t="s">
        <v>81</v>
      </c>
      <c r="C31" s="688" t="s">
        <v>649</v>
      </c>
      <c r="D31" s="386"/>
      <c r="E31" s="689">
        <v>85000</v>
      </c>
      <c r="F31" s="387"/>
    </row>
    <row r="32" spans="1:6" ht="16.5" thickBot="1">
      <c r="A32" s="382">
        <v>26</v>
      </c>
      <c r="B32" s="687" t="s">
        <v>27</v>
      </c>
      <c r="C32" s="688" t="s">
        <v>649</v>
      </c>
      <c r="D32" s="386"/>
      <c r="E32" s="689">
        <v>165000</v>
      </c>
      <c r="F32" s="387"/>
    </row>
    <row r="33" spans="1:6" ht="16.5" thickBot="1">
      <c r="A33" s="382">
        <v>27</v>
      </c>
      <c r="B33" s="687" t="s">
        <v>685</v>
      </c>
      <c r="C33" s="688" t="s">
        <v>649</v>
      </c>
      <c r="D33" s="689">
        <v>30000</v>
      </c>
      <c r="E33" s="387"/>
      <c r="F33" s="387"/>
    </row>
    <row r="34" spans="1:6" ht="16.5" thickBot="1">
      <c r="A34" s="382">
        <v>28</v>
      </c>
      <c r="B34" s="687" t="s">
        <v>187</v>
      </c>
      <c r="C34" s="688" t="s">
        <v>649</v>
      </c>
      <c r="D34" s="386"/>
      <c r="E34" s="689">
        <v>105000</v>
      </c>
      <c r="F34" s="387"/>
    </row>
    <row r="35" spans="1:6" ht="16.5" thickBot="1">
      <c r="A35" s="382">
        <v>29</v>
      </c>
      <c r="B35" s="687" t="s">
        <v>152</v>
      </c>
      <c r="C35" s="688" t="s">
        <v>649</v>
      </c>
      <c r="D35" s="386"/>
      <c r="E35" s="689">
        <v>195000</v>
      </c>
      <c r="F35" s="387"/>
    </row>
    <row r="36" spans="1:6" ht="16.5" thickBot="1">
      <c r="A36" s="382">
        <v>30</v>
      </c>
      <c r="B36" s="687" t="s">
        <v>91</v>
      </c>
      <c r="C36" s="688" t="s">
        <v>650</v>
      </c>
      <c r="D36" s="386"/>
      <c r="E36" s="689">
        <v>140000</v>
      </c>
      <c r="F36" s="387"/>
    </row>
    <row r="37" spans="1:6" ht="32.25" thickBot="1">
      <c r="A37" s="382">
        <v>31</v>
      </c>
      <c r="B37" s="687" t="s">
        <v>83</v>
      </c>
      <c r="C37" s="688" t="s">
        <v>650</v>
      </c>
      <c r="D37" s="386"/>
      <c r="E37" s="689">
        <v>85000</v>
      </c>
      <c r="F37" s="387"/>
    </row>
    <row r="38" spans="1:6" ht="16.5" thickBot="1">
      <c r="A38" s="382">
        <v>32</v>
      </c>
      <c r="B38" s="687" t="s">
        <v>688</v>
      </c>
      <c r="C38" s="688" t="s">
        <v>650</v>
      </c>
      <c r="D38" s="689">
        <v>60000</v>
      </c>
      <c r="E38" s="387"/>
      <c r="F38" s="387"/>
    </row>
    <row r="39" spans="1:6" ht="16.5" thickBot="1">
      <c r="A39" s="382">
        <v>33</v>
      </c>
      <c r="B39" s="687" t="s">
        <v>727</v>
      </c>
      <c r="C39" s="688" t="s">
        <v>650</v>
      </c>
      <c r="D39" s="689">
        <v>110000</v>
      </c>
      <c r="E39" s="387"/>
      <c r="F39" s="387"/>
    </row>
    <row r="40" spans="1:6" ht="16.5" thickBot="1">
      <c r="A40" s="382">
        <v>34</v>
      </c>
      <c r="B40" s="687" t="s">
        <v>652</v>
      </c>
      <c r="C40" s="688" t="s">
        <v>650</v>
      </c>
      <c r="D40" s="689">
        <v>70000</v>
      </c>
      <c r="E40" s="387"/>
      <c r="F40" s="387"/>
    </row>
    <row r="41" spans="1:6" ht="16.5" thickBot="1">
      <c r="A41" s="382">
        <v>35</v>
      </c>
      <c r="B41" s="687" t="s">
        <v>755</v>
      </c>
      <c r="C41" s="688" t="s">
        <v>642</v>
      </c>
      <c r="D41" s="689">
        <v>110000</v>
      </c>
      <c r="E41" s="387"/>
      <c r="F41" s="387"/>
    </row>
    <row r="42" spans="1:6" ht="16.5" thickBot="1">
      <c r="A42" s="382">
        <v>36</v>
      </c>
      <c r="B42" s="687" t="s">
        <v>94</v>
      </c>
      <c r="C42" s="688" t="s">
        <v>642</v>
      </c>
      <c r="D42" s="386"/>
      <c r="E42" s="689">
        <v>80000</v>
      </c>
      <c r="F42" s="387"/>
    </row>
    <row r="43" spans="1:6" ht="16.5" thickBot="1">
      <c r="A43" s="382">
        <v>37</v>
      </c>
      <c r="B43" s="687" t="s">
        <v>86</v>
      </c>
      <c r="C43" s="688" t="s">
        <v>642</v>
      </c>
      <c r="D43" s="386"/>
      <c r="E43" s="689">
        <v>80000</v>
      </c>
      <c r="F43" s="387"/>
    </row>
    <row r="44" spans="1:6" ht="16.5" thickBot="1">
      <c r="A44" s="382">
        <v>38</v>
      </c>
      <c r="B44" s="687" t="s">
        <v>682</v>
      </c>
      <c r="C44" s="688" t="s">
        <v>642</v>
      </c>
      <c r="D44" s="689">
        <v>130000</v>
      </c>
      <c r="E44" s="386"/>
      <c r="F44" s="387"/>
    </row>
    <row r="45" spans="1:6" ht="16.5" thickBot="1">
      <c r="A45" s="382">
        <v>39</v>
      </c>
      <c r="B45" s="687" t="s">
        <v>715</v>
      </c>
      <c r="C45" s="688" t="s">
        <v>642</v>
      </c>
      <c r="D45" s="689">
        <v>10000</v>
      </c>
      <c r="E45" s="386"/>
      <c r="F45" s="387"/>
    </row>
    <row r="46" spans="1:6" ht="16.5" thickBot="1">
      <c r="A46" s="382">
        <v>40</v>
      </c>
      <c r="B46" s="687" t="s">
        <v>98</v>
      </c>
      <c r="C46" s="688" t="s">
        <v>636</v>
      </c>
      <c r="D46" s="386"/>
      <c r="E46" s="689">
        <v>10000</v>
      </c>
      <c r="F46" s="387"/>
    </row>
    <row r="47" spans="1:6" ht="32.25" thickBot="1">
      <c r="A47" s="382">
        <v>41</v>
      </c>
      <c r="B47" s="687" t="s">
        <v>100</v>
      </c>
      <c r="C47" s="688" t="s">
        <v>636</v>
      </c>
      <c r="D47" s="386"/>
      <c r="E47" s="689">
        <v>10000</v>
      </c>
      <c r="F47" s="387"/>
    </row>
    <row r="48" spans="1:6" ht="16.5" thickBot="1">
      <c r="A48" s="382">
        <v>42</v>
      </c>
      <c r="B48" s="687" t="s">
        <v>639</v>
      </c>
      <c r="C48" s="688" t="s">
        <v>636</v>
      </c>
      <c r="D48" s="386"/>
      <c r="E48" s="689">
        <v>60000</v>
      </c>
      <c r="F48" s="387"/>
    </row>
    <row r="49" spans="1:6" ht="16.5" thickBot="1">
      <c r="A49" s="382">
        <v>43</v>
      </c>
      <c r="B49" s="687" t="s">
        <v>638</v>
      </c>
      <c r="C49" s="688" t="s">
        <v>636</v>
      </c>
      <c r="D49" s="689">
        <v>90000</v>
      </c>
      <c r="E49" s="687"/>
      <c r="F49" s="690"/>
    </row>
    <row r="50" spans="1:6" ht="32.25" thickBot="1">
      <c r="A50" s="382">
        <v>44</v>
      </c>
      <c r="B50" s="687" t="s">
        <v>154</v>
      </c>
      <c r="C50" s="688" t="s">
        <v>636</v>
      </c>
      <c r="D50" s="386"/>
      <c r="E50" s="689">
        <v>145000</v>
      </c>
      <c r="F50" s="387"/>
    </row>
    <row r="51" spans="1:6" ht="16.5" thickBot="1">
      <c r="A51" s="382">
        <v>45</v>
      </c>
      <c r="B51" s="687" t="s">
        <v>744</v>
      </c>
      <c r="C51" s="688" t="s">
        <v>636</v>
      </c>
      <c r="D51" s="689">
        <v>100000</v>
      </c>
      <c r="E51" s="387"/>
      <c r="F51" s="387"/>
    </row>
    <row r="52" spans="1:6" ht="32.25" thickBot="1">
      <c r="A52" s="382">
        <v>46</v>
      </c>
      <c r="B52" s="687" t="s">
        <v>747</v>
      </c>
      <c r="C52" s="688" t="s">
        <v>1166</v>
      </c>
      <c r="D52" s="689">
        <v>50000</v>
      </c>
      <c r="E52" s="387"/>
      <c r="F52" s="387"/>
    </row>
    <row r="53" spans="1:6" ht="32.25" thickBot="1">
      <c r="A53" s="382">
        <v>47</v>
      </c>
      <c r="B53" s="687" t="s">
        <v>660</v>
      </c>
      <c r="C53" s="688" t="s">
        <v>1166</v>
      </c>
      <c r="D53" s="689">
        <v>65000</v>
      </c>
      <c r="E53" s="387"/>
      <c r="F53" s="387"/>
    </row>
    <row r="54" spans="1:6" ht="32.25" thickBot="1">
      <c r="A54" s="382">
        <v>48</v>
      </c>
      <c r="B54" s="687" t="s">
        <v>662</v>
      </c>
      <c r="C54" s="688" t="s">
        <v>1166</v>
      </c>
      <c r="D54" s="689">
        <v>70000</v>
      </c>
      <c r="E54" s="387"/>
      <c r="F54" s="387"/>
    </row>
    <row r="55" spans="1:6" ht="32.25" thickBot="1">
      <c r="A55" s="382">
        <v>49</v>
      </c>
      <c r="B55" s="687" t="s">
        <v>748</v>
      </c>
      <c r="C55" s="688" t="s">
        <v>1166</v>
      </c>
      <c r="D55" s="689">
        <v>15000</v>
      </c>
      <c r="E55" s="386"/>
      <c r="F55" s="387"/>
    </row>
    <row r="56" spans="1:6" ht="32.25" thickBot="1">
      <c r="A56" s="382">
        <v>50</v>
      </c>
      <c r="B56" s="687" t="s">
        <v>142</v>
      </c>
      <c r="C56" s="688" t="s">
        <v>1166</v>
      </c>
      <c r="D56" s="386"/>
      <c r="E56" s="689">
        <v>40000</v>
      </c>
      <c r="F56" s="387"/>
    </row>
    <row r="57" spans="1:6" ht="32.25" thickBot="1">
      <c r="A57" s="382">
        <v>51</v>
      </c>
      <c r="B57" s="687" t="s">
        <v>664</v>
      </c>
      <c r="C57" s="688" t="s">
        <v>1166</v>
      </c>
      <c r="D57" s="386"/>
      <c r="E57" s="689">
        <v>70000</v>
      </c>
      <c r="F57" s="387"/>
    </row>
    <row r="58" spans="1:6" ht="32.25" thickBot="1">
      <c r="A58" s="382">
        <v>52</v>
      </c>
      <c r="B58" s="687" t="s">
        <v>749</v>
      </c>
      <c r="C58" s="688" t="s">
        <v>1166</v>
      </c>
      <c r="D58" s="386"/>
      <c r="E58" s="689">
        <v>40000</v>
      </c>
      <c r="F58" s="387"/>
    </row>
    <row r="59" spans="1:6" ht="32.25" thickBot="1">
      <c r="A59" s="382">
        <v>53</v>
      </c>
      <c r="B59" s="687" t="s">
        <v>751</v>
      </c>
      <c r="C59" s="688" t="s">
        <v>1166</v>
      </c>
      <c r="D59" s="386"/>
      <c r="E59" s="689">
        <v>30000</v>
      </c>
      <c r="F59" s="387"/>
    </row>
    <row r="60" spans="1:6" ht="32.25" thickBot="1">
      <c r="A60" s="382">
        <v>54</v>
      </c>
      <c r="B60" s="687" t="s">
        <v>734</v>
      </c>
      <c r="C60" s="688" t="s">
        <v>735</v>
      </c>
      <c r="D60" s="689">
        <v>330000</v>
      </c>
      <c r="E60" s="386"/>
      <c r="F60" s="387"/>
    </row>
    <row r="61" spans="1:6" ht="16.5" thickBot="1">
      <c r="A61" s="401" t="s">
        <v>758</v>
      </c>
      <c r="B61" s="402"/>
      <c r="C61" s="336"/>
      <c r="D61" s="388">
        <v>2135000</v>
      </c>
      <c r="E61" s="388">
        <v>3300000</v>
      </c>
      <c r="F61" s="389"/>
    </row>
    <row r="62" spans="1:6" ht="16.5" customHeight="1" thickBot="1">
      <c r="A62" s="401" t="s">
        <v>864</v>
      </c>
      <c r="B62" s="402"/>
      <c r="C62" s="336"/>
      <c r="D62" s="403">
        <v>5435000</v>
      </c>
      <c r="E62" s="404"/>
      <c r="F62" s="390"/>
    </row>
    <row r="63" spans="1:6" ht="204.75">
      <c r="A63" s="247" t="s">
        <v>1168</v>
      </c>
    </row>
    <row r="64" spans="1:6" ht="174" thickBot="1">
      <c r="A64" s="698" t="s">
        <v>1169</v>
      </c>
    </row>
    <row r="65" spans="1:5" ht="29.25" thickBot="1">
      <c r="A65" s="233" t="s">
        <v>0</v>
      </c>
      <c r="B65" s="234" t="s">
        <v>121</v>
      </c>
      <c r="C65" s="234" t="s">
        <v>632</v>
      </c>
      <c r="D65" s="234" t="s">
        <v>633</v>
      </c>
      <c r="E65" s="235" t="s">
        <v>634</v>
      </c>
    </row>
    <row r="66" spans="1:5" ht="48" thickBot="1">
      <c r="A66" s="255">
        <v>1</v>
      </c>
      <c r="B66" s="256" t="s">
        <v>1170</v>
      </c>
      <c r="C66" s="255" t="s">
        <v>1171</v>
      </c>
      <c r="D66" s="257">
        <v>15000</v>
      </c>
      <c r="E66" s="258"/>
    </row>
    <row r="67" spans="1:5" ht="48" thickBot="1">
      <c r="A67" s="255">
        <v>2</v>
      </c>
      <c r="B67" s="256" t="s">
        <v>1172</v>
      </c>
      <c r="C67" s="255" t="s">
        <v>1171</v>
      </c>
      <c r="D67" s="257">
        <v>45000</v>
      </c>
      <c r="E67" s="258"/>
    </row>
    <row r="68" spans="1:5" ht="48" thickBot="1">
      <c r="A68" s="255">
        <v>3</v>
      </c>
      <c r="B68" s="256" t="s">
        <v>840</v>
      </c>
      <c r="C68" s="255" t="s">
        <v>1171</v>
      </c>
      <c r="D68" s="257">
        <v>15000</v>
      </c>
      <c r="E68" s="258"/>
    </row>
    <row r="69" spans="1:5" ht="48" thickBot="1">
      <c r="A69" s="255">
        <v>4</v>
      </c>
      <c r="B69" s="256" t="s">
        <v>1173</v>
      </c>
      <c r="C69" s="255" t="s">
        <v>1171</v>
      </c>
      <c r="D69" s="257">
        <v>30000</v>
      </c>
      <c r="E69" s="258"/>
    </row>
    <row r="70" spans="1:5" ht="48" thickBot="1">
      <c r="A70" s="255">
        <v>5</v>
      </c>
      <c r="B70" s="256" t="s">
        <v>1174</v>
      </c>
      <c r="C70" s="255" t="s">
        <v>1171</v>
      </c>
      <c r="D70" s="257">
        <v>30000</v>
      </c>
      <c r="E70" s="258"/>
    </row>
    <row r="71" spans="1:5" ht="48" thickBot="1">
      <c r="A71" s="255">
        <v>6</v>
      </c>
      <c r="B71" s="256" t="s">
        <v>1175</v>
      </c>
      <c r="C71" s="255" t="s">
        <v>1171</v>
      </c>
      <c r="D71" s="257">
        <v>15000</v>
      </c>
      <c r="E71" s="258"/>
    </row>
    <row r="72" spans="1:5" ht="48" thickBot="1">
      <c r="A72" s="255">
        <v>7</v>
      </c>
      <c r="B72" s="256" t="s">
        <v>1176</v>
      </c>
      <c r="C72" s="255" t="s">
        <v>1171</v>
      </c>
      <c r="D72" s="257">
        <v>15000</v>
      </c>
      <c r="E72" s="258"/>
    </row>
    <row r="73" spans="1:5" ht="48" thickBot="1">
      <c r="A73" s="255">
        <v>8</v>
      </c>
      <c r="B73" s="256" t="s">
        <v>842</v>
      </c>
      <c r="C73" s="255" t="s">
        <v>1171</v>
      </c>
      <c r="D73" s="257">
        <v>15000</v>
      </c>
      <c r="E73" s="258"/>
    </row>
    <row r="74" spans="1:5" ht="48" thickBot="1">
      <c r="A74" s="255">
        <v>9</v>
      </c>
      <c r="B74" s="256" t="s">
        <v>1177</v>
      </c>
      <c r="C74" s="255" t="s">
        <v>1171</v>
      </c>
      <c r="D74" s="257">
        <v>25000</v>
      </c>
      <c r="E74" s="258"/>
    </row>
    <row r="75" spans="1:5" ht="48" thickBot="1">
      <c r="A75" s="255">
        <v>10</v>
      </c>
      <c r="B75" s="256" t="s">
        <v>896</v>
      </c>
      <c r="C75" s="255" t="s">
        <v>1171</v>
      </c>
      <c r="D75" s="257">
        <v>15000</v>
      </c>
      <c r="E75" s="258"/>
    </row>
    <row r="76" spans="1:5" ht="48" thickBot="1">
      <c r="A76" s="255">
        <v>11</v>
      </c>
      <c r="B76" s="256" t="s">
        <v>843</v>
      </c>
      <c r="C76" s="255" t="s">
        <v>1171</v>
      </c>
      <c r="D76" s="257">
        <v>15000</v>
      </c>
      <c r="E76" s="258"/>
    </row>
    <row r="77" spans="1:5" ht="48" thickBot="1">
      <c r="A77" s="255">
        <v>12</v>
      </c>
      <c r="B77" s="256" t="s">
        <v>1178</v>
      </c>
      <c r="C77" s="255" t="s">
        <v>1171</v>
      </c>
      <c r="D77" s="257">
        <v>15000</v>
      </c>
      <c r="E77" s="258"/>
    </row>
    <row r="78" spans="1:5" ht="32.25" thickBot="1">
      <c r="A78" s="255">
        <v>13</v>
      </c>
      <c r="B78" s="256" t="s">
        <v>770</v>
      </c>
      <c r="C78" s="255" t="s">
        <v>1179</v>
      </c>
      <c r="D78" s="257">
        <v>30000</v>
      </c>
      <c r="E78" s="258"/>
    </row>
    <row r="79" spans="1:5" ht="32.25" thickBot="1">
      <c r="A79" s="255">
        <v>14</v>
      </c>
      <c r="B79" s="256" t="s">
        <v>768</v>
      </c>
      <c r="C79" s="255" t="s">
        <v>1179</v>
      </c>
      <c r="D79" s="257">
        <v>15000</v>
      </c>
      <c r="E79" s="258"/>
    </row>
    <row r="80" spans="1:5" ht="32.25" thickBot="1">
      <c r="A80" s="255">
        <v>15</v>
      </c>
      <c r="B80" s="256" t="s">
        <v>847</v>
      </c>
      <c r="C80" s="255" t="s">
        <v>1179</v>
      </c>
      <c r="D80" s="257">
        <v>15000</v>
      </c>
      <c r="E80" s="258"/>
    </row>
    <row r="81" spans="1:5" ht="32.25" thickBot="1">
      <c r="A81" s="255">
        <v>16</v>
      </c>
      <c r="B81" s="256" t="s">
        <v>848</v>
      </c>
      <c r="C81" s="255" t="s">
        <v>1179</v>
      </c>
      <c r="D81" s="257">
        <v>45000</v>
      </c>
      <c r="E81" s="258"/>
    </row>
    <row r="82" spans="1:5" ht="32.25" thickBot="1">
      <c r="A82" s="255">
        <v>17</v>
      </c>
      <c r="B82" s="256" t="s">
        <v>849</v>
      </c>
      <c r="C82" s="255" t="s">
        <v>1179</v>
      </c>
      <c r="D82" s="257">
        <v>15000</v>
      </c>
      <c r="E82" s="258"/>
    </row>
    <row r="83" spans="1:5" ht="32.25" thickBot="1">
      <c r="A83" s="255">
        <v>18</v>
      </c>
      <c r="B83" s="256" t="s">
        <v>1180</v>
      </c>
      <c r="C83" s="255" t="s">
        <v>1179</v>
      </c>
      <c r="D83" s="257">
        <v>15000</v>
      </c>
      <c r="E83" s="258"/>
    </row>
    <row r="84" spans="1:5" ht="32.25" thickBot="1">
      <c r="A84" s="255">
        <v>19</v>
      </c>
      <c r="B84" s="692" t="s">
        <v>850</v>
      </c>
      <c r="C84" s="255" t="s">
        <v>1179</v>
      </c>
      <c r="D84" s="257">
        <v>15000</v>
      </c>
      <c r="E84" s="258"/>
    </row>
    <row r="85" spans="1:5" ht="32.25" thickBot="1">
      <c r="A85" s="255">
        <v>20</v>
      </c>
      <c r="B85" s="692" t="s">
        <v>851</v>
      </c>
      <c r="C85" s="255" t="s">
        <v>1179</v>
      </c>
      <c r="D85" s="257">
        <v>15000</v>
      </c>
      <c r="E85" s="258"/>
    </row>
    <row r="86" spans="1:5" ht="32.25" thickBot="1">
      <c r="A86" s="255">
        <v>21</v>
      </c>
      <c r="B86" s="692" t="s">
        <v>771</v>
      </c>
      <c r="C86" s="255" t="s">
        <v>1179</v>
      </c>
      <c r="D86" s="257">
        <v>15000</v>
      </c>
      <c r="E86" s="258"/>
    </row>
    <row r="87" spans="1:5" ht="32.25" thickBot="1">
      <c r="A87" s="255">
        <v>22</v>
      </c>
      <c r="B87" s="256" t="s">
        <v>1181</v>
      </c>
      <c r="C87" s="255" t="s">
        <v>1182</v>
      </c>
      <c r="D87" s="257">
        <v>15000</v>
      </c>
      <c r="E87" s="258"/>
    </row>
    <row r="88" spans="1:5" ht="32.25" thickBot="1">
      <c r="A88" s="255">
        <v>23</v>
      </c>
      <c r="B88" s="256" t="s">
        <v>1183</v>
      </c>
      <c r="C88" s="255" t="s">
        <v>1182</v>
      </c>
      <c r="D88" s="257">
        <v>15000</v>
      </c>
      <c r="E88" s="258"/>
    </row>
    <row r="89" spans="1:5" ht="32.25" thickBot="1">
      <c r="A89" s="255">
        <v>24</v>
      </c>
      <c r="B89" s="256" t="s">
        <v>1184</v>
      </c>
      <c r="C89" s="255" t="s">
        <v>1182</v>
      </c>
      <c r="D89" s="257">
        <v>15000</v>
      </c>
      <c r="E89" s="258"/>
    </row>
    <row r="90" spans="1:5" ht="32.25" thickBot="1">
      <c r="A90" s="255">
        <v>25</v>
      </c>
      <c r="B90" s="256" t="s">
        <v>854</v>
      </c>
      <c r="C90" s="255" t="s">
        <v>1182</v>
      </c>
      <c r="D90" s="257">
        <v>15000</v>
      </c>
      <c r="E90" s="258"/>
    </row>
    <row r="91" spans="1:5" ht="32.25" thickBot="1">
      <c r="A91" s="255">
        <v>26</v>
      </c>
      <c r="B91" s="256" t="s">
        <v>1185</v>
      </c>
      <c r="C91" s="255" t="s">
        <v>1182</v>
      </c>
      <c r="D91" s="257">
        <v>15000</v>
      </c>
      <c r="E91" s="258"/>
    </row>
    <row r="92" spans="1:5" ht="32.25" thickBot="1">
      <c r="A92" s="255">
        <v>27</v>
      </c>
      <c r="B92" s="256" t="s">
        <v>1186</v>
      </c>
      <c r="C92" s="255" t="s">
        <v>1182</v>
      </c>
      <c r="D92" s="257">
        <v>15000</v>
      </c>
      <c r="E92" s="258"/>
    </row>
    <row r="93" spans="1:5" ht="32.25" thickBot="1">
      <c r="A93" s="255">
        <v>28</v>
      </c>
      <c r="B93" s="256" t="s">
        <v>1187</v>
      </c>
      <c r="C93" s="255" t="s">
        <v>1182</v>
      </c>
      <c r="D93" s="257">
        <v>15000</v>
      </c>
      <c r="E93" s="258"/>
    </row>
    <row r="94" spans="1:5" ht="32.25" thickBot="1">
      <c r="A94" s="255">
        <v>29</v>
      </c>
      <c r="B94" s="256" t="s">
        <v>1188</v>
      </c>
      <c r="C94" s="255" t="s">
        <v>1182</v>
      </c>
      <c r="D94" s="257">
        <v>15000</v>
      </c>
      <c r="E94" s="258"/>
    </row>
    <row r="95" spans="1:5" ht="32.25" thickBot="1">
      <c r="A95" s="255">
        <v>30</v>
      </c>
      <c r="B95" s="256" t="s">
        <v>1189</v>
      </c>
      <c r="C95" s="255" t="s">
        <v>1182</v>
      </c>
      <c r="D95" s="257">
        <v>15000</v>
      </c>
      <c r="E95" s="258"/>
    </row>
    <row r="96" spans="1:5" ht="32.25" thickBot="1">
      <c r="A96" s="255">
        <v>31</v>
      </c>
      <c r="B96" s="256" t="s">
        <v>1190</v>
      </c>
      <c r="C96" s="255" t="s">
        <v>1182</v>
      </c>
      <c r="D96" s="257">
        <v>15000</v>
      </c>
      <c r="E96" s="258"/>
    </row>
    <row r="97" spans="1:5" ht="32.25" thickBot="1">
      <c r="A97" s="255">
        <v>32</v>
      </c>
      <c r="B97" s="256" t="s">
        <v>1191</v>
      </c>
      <c r="C97" s="255" t="s">
        <v>1182</v>
      </c>
      <c r="D97" s="257">
        <v>15000</v>
      </c>
      <c r="E97" s="258"/>
    </row>
    <row r="98" spans="1:5" ht="32.25" thickBot="1">
      <c r="A98" s="255">
        <v>33</v>
      </c>
      <c r="B98" s="256" t="s">
        <v>1192</v>
      </c>
      <c r="C98" s="255" t="s">
        <v>1182</v>
      </c>
      <c r="D98" s="257">
        <v>15000</v>
      </c>
      <c r="E98" s="258"/>
    </row>
    <row r="99" spans="1:5" ht="32.25" thickBot="1">
      <c r="A99" s="255">
        <v>34</v>
      </c>
      <c r="B99" s="256" t="s">
        <v>856</v>
      </c>
      <c r="C99" s="255" t="s">
        <v>1182</v>
      </c>
      <c r="D99" s="257">
        <v>30000</v>
      </c>
      <c r="E99" s="258"/>
    </row>
    <row r="100" spans="1:5" ht="32.25" thickBot="1">
      <c r="A100" s="255">
        <v>35</v>
      </c>
      <c r="B100" s="256" t="s">
        <v>857</v>
      </c>
      <c r="C100" s="255" t="s">
        <v>1182</v>
      </c>
      <c r="D100" s="257">
        <v>15000</v>
      </c>
      <c r="E100" s="258"/>
    </row>
    <row r="101" spans="1:5" ht="32.25" thickBot="1">
      <c r="A101" s="255">
        <v>36</v>
      </c>
      <c r="B101" s="256" t="s">
        <v>1193</v>
      </c>
      <c r="C101" s="255" t="s">
        <v>1182</v>
      </c>
      <c r="D101" s="257">
        <v>15000</v>
      </c>
      <c r="E101" s="258"/>
    </row>
    <row r="102" spans="1:5" ht="32.25" thickBot="1">
      <c r="A102" s="255">
        <v>37</v>
      </c>
      <c r="B102" s="256" t="s">
        <v>858</v>
      </c>
      <c r="C102" s="255" t="s">
        <v>1182</v>
      </c>
      <c r="D102" s="257">
        <v>15000</v>
      </c>
      <c r="E102" s="258"/>
    </row>
    <row r="103" spans="1:5" ht="32.25" thickBot="1">
      <c r="A103" s="255">
        <v>38</v>
      </c>
      <c r="B103" s="256" t="s">
        <v>1194</v>
      </c>
      <c r="C103" s="255" t="s">
        <v>1182</v>
      </c>
      <c r="D103" s="257">
        <v>40000</v>
      </c>
      <c r="E103" s="258"/>
    </row>
    <row r="104" spans="1:5" ht="32.25" thickBot="1">
      <c r="A104" s="255">
        <v>39</v>
      </c>
      <c r="B104" s="256" t="s">
        <v>1195</v>
      </c>
      <c r="C104" s="255" t="s">
        <v>1182</v>
      </c>
      <c r="D104" s="257">
        <v>15000</v>
      </c>
      <c r="E104" s="258"/>
    </row>
    <row r="105" spans="1:5" ht="32.25" thickBot="1">
      <c r="A105" s="255">
        <v>40</v>
      </c>
      <c r="B105" s="256" t="s">
        <v>860</v>
      </c>
      <c r="C105" s="255" t="s">
        <v>1182</v>
      </c>
      <c r="D105" s="257">
        <v>15000</v>
      </c>
      <c r="E105" s="258"/>
    </row>
    <row r="106" spans="1:5" ht="32.25" thickBot="1">
      <c r="A106" s="255">
        <v>41</v>
      </c>
      <c r="B106" s="256" t="s">
        <v>1196</v>
      </c>
      <c r="C106" s="255" t="s">
        <v>1182</v>
      </c>
      <c r="D106" s="257">
        <v>30000</v>
      </c>
      <c r="E106" s="258"/>
    </row>
    <row r="107" spans="1:5" ht="32.25" thickBot="1">
      <c r="A107" s="255">
        <v>42</v>
      </c>
      <c r="B107" s="256" t="s">
        <v>861</v>
      </c>
      <c r="C107" s="255" t="s">
        <v>1182</v>
      </c>
      <c r="D107" s="257">
        <v>15000</v>
      </c>
      <c r="E107" s="258"/>
    </row>
    <row r="108" spans="1:5" ht="32.25" thickBot="1">
      <c r="A108" s="255">
        <v>43</v>
      </c>
      <c r="B108" s="256" t="s">
        <v>1197</v>
      </c>
      <c r="C108" s="255" t="s">
        <v>1198</v>
      </c>
      <c r="D108" s="257">
        <v>30000</v>
      </c>
      <c r="E108" s="258"/>
    </row>
    <row r="109" spans="1:5" ht="32.25" thickBot="1">
      <c r="A109" s="255">
        <v>44</v>
      </c>
      <c r="B109" s="256" t="s">
        <v>1199</v>
      </c>
      <c r="C109" s="255" t="s">
        <v>1198</v>
      </c>
      <c r="D109" s="257">
        <v>30000</v>
      </c>
      <c r="E109" s="258"/>
    </row>
    <row r="110" spans="1:5" ht="32.25" thickBot="1">
      <c r="A110" s="255">
        <v>45</v>
      </c>
      <c r="B110" s="256" t="s">
        <v>863</v>
      </c>
      <c r="C110" s="255" t="s">
        <v>1198</v>
      </c>
      <c r="D110" s="257">
        <v>15000</v>
      </c>
      <c r="E110" s="258"/>
    </row>
    <row r="111" spans="1:5" ht="32.25" thickBot="1">
      <c r="A111" s="255">
        <v>46</v>
      </c>
      <c r="B111" s="256" t="s">
        <v>879</v>
      </c>
      <c r="C111" s="255" t="s">
        <v>1198</v>
      </c>
      <c r="D111" s="257">
        <v>30000</v>
      </c>
      <c r="E111" s="258"/>
    </row>
    <row r="112" spans="1:5" ht="32.25" thickBot="1">
      <c r="A112" s="255">
        <v>47</v>
      </c>
      <c r="B112" s="692" t="s">
        <v>1200</v>
      </c>
      <c r="C112" s="255" t="s">
        <v>1198</v>
      </c>
      <c r="D112" s="257">
        <v>15000</v>
      </c>
      <c r="E112" s="258"/>
    </row>
    <row r="113" spans="1:5" ht="32.25" thickBot="1">
      <c r="A113" s="255">
        <v>48</v>
      </c>
      <c r="B113" s="256" t="s">
        <v>1201</v>
      </c>
      <c r="C113" s="255" t="s">
        <v>1198</v>
      </c>
      <c r="D113" s="257">
        <v>30000</v>
      </c>
      <c r="E113" s="258"/>
    </row>
    <row r="114" spans="1:5" ht="32.25" thickBot="1">
      <c r="A114" s="255">
        <v>49</v>
      </c>
      <c r="B114" s="256" t="s">
        <v>1202</v>
      </c>
      <c r="C114" s="255" t="s">
        <v>1198</v>
      </c>
      <c r="D114" s="257">
        <v>15000</v>
      </c>
      <c r="E114" s="258"/>
    </row>
    <row r="115" spans="1:5" ht="32.25" thickBot="1">
      <c r="A115" s="255">
        <v>50</v>
      </c>
      <c r="B115" s="256" t="s">
        <v>1203</v>
      </c>
      <c r="C115" s="255" t="s">
        <v>1198</v>
      </c>
      <c r="D115" s="257">
        <v>45000</v>
      </c>
      <c r="E115" s="258"/>
    </row>
    <row r="116" spans="1:5" ht="32.25" thickBot="1">
      <c r="A116" s="255">
        <v>51</v>
      </c>
      <c r="B116" s="256" t="s">
        <v>1204</v>
      </c>
      <c r="C116" s="255" t="s">
        <v>1198</v>
      </c>
      <c r="D116" s="257">
        <v>15000</v>
      </c>
      <c r="E116" s="258"/>
    </row>
    <row r="117" spans="1:5" ht="32.25" thickBot="1">
      <c r="A117" s="255">
        <v>52</v>
      </c>
      <c r="B117" s="256" t="s">
        <v>1205</v>
      </c>
      <c r="C117" s="255" t="s">
        <v>1198</v>
      </c>
      <c r="D117" s="257">
        <v>15000</v>
      </c>
      <c r="E117" s="258"/>
    </row>
    <row r="118" spans="1:5" ht="32.25" thickBot="1">
      <c r="A118" s="255">
        <v>53</v>
      </c>
      <c r="B118" s="256" t="s">
        <v>1206</v>
      </c>
      <c r="C118" s="255" t="s">
        <v>1198</v>
      </c>
      <c r="D118" s="257">
        <v>15000</v>
      </c>
      <c r="E118" s="258"/>
    </row>
    <row r="119" spans="1:5" ht="32.25" thickBot="1">
      <c r="A119" s="255">
        <v>54</v>
      </c>
      <c r="B119" s="256" t="s">
        <v>1207</v>
      </c>
      <c r="C119" s="255" t="s">
        <v>1198</v>
      </c>
      <c r="D119" s="257">
        <v>15000</v>
      </c>
      <c r="E119" s="258"/>
    </row>
    <row r="120" spans="1:5" ht="32.25" thickBot="1">
      <c r="A120" s="255">
        <v>55</v>
      </c>
      <c r="B120" s="256" t="s">
        <v>1208</v>
      </c>
      <c r="C120" s="255" t="s">
        <v>1198</v>
      </c>
      <c r="D120" s="257">
        <v>45000</v>
      </c>
      <c r="E120" s="258"/>
    </row>
    <row r="121" spans="1:5" ht="16.5" thickBot="1">
      <c r="A121" s="255">
        <v>56</v>
      </c>
      <c r="B121" s="256" t="s">
        <v>1209</v>
      </c>
      <c r="C121" s="255" t="s">
        <v>199</v>
      </c>
      <c r="D121" s="257">
        <v>30000</v>
      </c>
      <c r="E121" s="258"/>
    </row>
    <row r="122" spans="1:5" ht="16.5" thickBot="1">
      <c r="A122" s="255">
        <v>57</v>
      </c>
      <c r="B122" s="256" t="s">
        <v>1210</v>
      </c>
      <c r="C122" s="255" t="s">
        <v>199</v>
      </c>
      <c r="D122" s="257">
        <v>30000</v>
      </c>
      <c r="E122" s="258"/>
    </row>
    <row r="123" spans="1:5" ht="16.5" thickBot="1">
      <c r="A123" s="255">
        <v>58</v>
      </c>
      <c r="B123" s="256" t="s">
        <v>1211</v>
      </c>
      <c r="C123" s="255" t="s">
        <v>199</v>
      </c>
      <c r="D123" s="257">
        <v>30000</v>
      </c>
      <c r="E123" s="258"/>
    </row>
    <row r="124" spans="1:5" ht="16.5" thickBot="1">
      <c r="A124" s="288" t="s">
        <v>758</v>
      </c>
      <c r="B124" s="289"/>
      <c r="C124" s="241"/>
      <c r="D124" s="693">
        <v>1205000</v>
      </c>
      <c r="E124" s="243"/>
    </row>
    <row r="125" spans="1:5" ht="16.5">
      <c r="A125" s="246"/>
      <c r="B125" s="248"/>
    </row>
    <row r="126" spans="1:5" ht="220.5">
      <c r="A126" s="247" t="s">
        <v>1212</v>
      </c>
    </row>
    <row r="127" spans="1:5" ht="173.25">
      <c r="A127" s="698" t="s">
        <v>1169</v>
      </c>
    </row>
    <row r="128" spans="1:5" ht="16.5" thickBot="1">
      <c r="A128" s="698"/>
    </row>
    <row r="129" spans="1:6" ht="31.5" customHeight="1" thickBot="1">
      <c r="A129" s="380" t="s">
        <v>0</v>
      </c>
      <c r="B129" s="380" t="s">
        <v>121</v>
      </c>
      <c r="C129" s="380" t="s">
        <v>632</v>
      </c>
      <c r="D129" s="398" t="s">
        <v>894</v>
      </c>
      <c r="E129" s="399"/>
      <c r="F129" s="380" t="s">
        <v>699</v>
      </c>
    </row>
    <row r="130" spans="1:6" ht="16.5" thickBot="1">
      <c r="A130" s="400"/>
      <c r="B130" s="400"/>
      <c r="C130" s="400"/>
      <c r="D130" s="381" t="s">
        <v>828</v>
      </c>
      <c r="E130" s="381" t="s">
        <v>829</v>
      </c>
      <c r="F130" s="400"/>
    </row>
    <row r="131" spans="1:6" ht="15.75" hidden="1" thickBot="1">
      <c r="A131" s="694">
        <v>1</v>
      </c>
      <c r="B131" s="383" t="s">
        <v>640</v>
      </c>
      <c r="C131" s="384" t="s">
        <v>717</v>
      </c>
      <c r="D131" s="313">
        <v>9000</v>
      </c>
      <c r="E131" s="314"/>
      <c r="F131" s="314"/>
    </row>
    <row r="132" spans="1:6" ht="30.75" hidden="1" thickBot="1">
      <c r="A132" s="694">
        <v>2</v>
      </c>
      <c r="B132" s="383" t="s">
        <v>96</v>
      </c>
      <c r="C132" s="384" t="s">
        <v>717</v>
      </c>
      <c r="D132" s="314"/>
      <c r="E132" s="313">
        <v>6000</v>
      </c>
      <c r="F132" s="314"/>
    </row>
    <row r="133" spans="1:6" ht="15.75" hidden="1" thickBot="1">
      <c r="A133" s="694">
        <v>3</v>
      </c>
      <c r="B133" s="383" t="s">
        <v>210</v>
      </c>
      <c r="C133" s="384" t="s">
        <v>717</v>
      </c>
      <c r="D133" s="314"/>
      <c r="E133" s="313">
        <v>3000</v>
      </c>
      <c r="F133" s="449"/>
    </row>
    <row r="134" spans="1:6" ht="15.75" hidden="1" thickBot="1">
      <c r="A134" s="694">
        <v>4</v>
      </c>
      <c r="B134" s="383" t="s">
        <v>106</v>
      </c>
      <c r="C134" s="384" t="s">
        <v>717</v>
      </c>
      <c r="D134" s="314"/>
      <c r="E134" s="313">
        <v>6000</v>
      </c>
      <c r="F134" s="314"/>
    </row>
    <row r="135" spans="1:6" ht="15.75" hidden="1" thickBot="1">
      <c r="A135" s="694">
        <v>5</v>
      </c>
      <c r="B135" s="383" t="s">
        <v>153</v>
      </c>
      <c r="C135" s="384" t="s">
        <v>642</v>
      </c>
      <c r="D135" s="314"/>
      <c r="E135" s="313">
        <v>15000</v>
      </c>
      <c r="F135" s="314"/>
    </row>
    <row r="136" spans="1:6" ht="15.75" hidden="1" thickBot="1">
      <c r="A136" s="694">
        <v>6</v>
      </c>
      <c r="B136" s="383" t="s">
        <v>645</v>
      </c>
      <c r="C136" s="384" t="s">
        <v>642</v>
      </c>
      <c r="D136" s="313">
        <v>3000</v>
      </c>
      <c r="E136" s="449"/>
      <c r="F136" s="314"/>
    </row>
    <row r="137" spans="1:6" ht="15.75" hidden="1" thickBot="1">
      <c r="A137" s="694">
        <v>7</v>
      </c>
      <c r="B137" s="383" t="s">
        <v>682</v>
      </c>
      <c r="C137" s="384" t="s">
        <v>642</v>
      </c>
      <c r="D137" s="313">
        <v>3000</v>
      </c>
      <c r="E137" s="449"/>
      <c r="F137" s="449"/>
    </row>
    <row r="138" spans="1:6" ht="15.75" hidden="1" thickBot="1">
      <c r="A138" s="694">
        <v>8</v>
      </c>
      <c r="B138" s="383" t="s">
        <v>207</v>
      </c>
      <c r="C138" s="384" t="s">
        <v>642</v>
      </c>
      <c r="D138" s="314"/>
      <c r="E138" s="313">
        <v>6000</v>
      </c>
      <c r="F138" s="449"/>
    </row>
    <row r="139" spans="1:6" ht="15.75" hidden="1" thickBot="1">
      <c r="A139" s="694">
        <v>9</v>
      </c>
      <c r="B139" s="383" t="s">
        <v>681</v>
      </c>
      <c r="C139" s="384" t="s">
        <v>642</v>
      </c>
      <c r="D139" s="314"/>
      <c r="E139" s="313">
        <v>3000</v>
      </c>
      <c r="F139" s="314"/>
    </row>
    <row r="140" spans="1:6" ht="15.75" hidden="1" thickBot="1">
      <c r="A140" s="694">
        <v>10</v>
      </c>
      <c r="B140" s="383" t="s">
        <v>94</v>
      </c>
      <c r="C140" s="384" t="s">
        <v>642</v>
      </c>
      <c r="D140" s="314"/>
      <c r="E140" s="313">
        <v>3000</v>
      </c>
      <c r="F140" s="449"/>
    </row>
    <row r="141" spans="1:6" ht="15.75" hidden="1" thickBot="1">
      <c r="A141" s="694">
        <v>11</v>
      </c>
      <c r="B141" s="383" t="s">
        <v>723</v>
      </c>
      <c r="C141" s="384" t="s">
        <v>646</v>
      </c>
      <c r="D141" s="313">
        <v>6000</v>
      </c>
      <c r="E141" s="314"/>
      <c r="F141" s="449"/>
    </row>
    <row r="142" spans="1:6" ht="15.75" hidden="1" thickBot="1">
      <c r="A142" s="694">
        <v>12</v>
      </c>
      <c r="B142" s="383" t="s">
        <v>168</v>
      </c>
      <c r="C142" s="384" t="s">
        <v>646</v>
      </c>
      <c r="D142" s="314"/>
      <c r="E142" s="313">
        <v>3000</v>
      </c>
      <c r="F142" s="449"/>
    </row>
    <row r="143" spans="1:6" ht="15.75" hidden="1" thickBot="1">
      <c r="A143" s="694">
        <v>13</v>
      </c>
      <c r="B143" s="383" t="s">
        <v>65</v>
      </c>
      <c r="C143" s="384" t="s">
        <v>646</v>
      </c>
      <c r="D143" s="314"/>
      <c r="E143" s="313">
        <v>3000</v>
      </c>
      <c r="F143" s="449"/>
    </row>
    <row r="144" spans="1:6" ht="15.75" hidden="1" thickBot="1">
      <c r="A144" s="694">
        <v>14</v>
      </c>
      <c r="B144" s="383" t="s">
        <v>187</v>
      </c>
      <c r="C144" s="384" t="s">
        <v>649</v>
      </c>
      <c r="D144" s="314"/>
      <c r="E144" s="313">
        <v>30000</v>
      </c>
      <c r="F144" s="449"/>
    </row>
    <row r="145" spans="1:6" ht="15.75" hidden="1" thickBot="1">
      <c r="A145" s="694">
        <v>15</v>
      </c>
      <c r="B145" s="383" t="s">
        <v>686</v>
      </c>
      <c r="C145" s="384" t="s">
        <v>649</v>
      </c>
      <c r="D145" s="313">
        <v>15000</v>
      </c>
      <c r="E145" s="314"/>
      <c r="F145" s="449"/>
    </row>
    <row r="146" spans="1:6" ht="15.75" hidden="1" thickBot="1">
      <c r="A146" s="694">
        <v>16</v>
      </c>
      <c r="B146" s="383" t="s">
        <v>684</v>
      </c>
      <c r="C146" s="384" t="s">
        <v>649</v>
      </c>
      <c r="D146" s="313">
        <v>33000</v>
      </c>
      <c r="E146" s="449"/>
      <c r="F146" s="449"/>
    </row>
    <row r="147" spans="1:6" ht="15.75" hidden="1" thickBot="1">
      <c r="A147" s="694">
        <v>17</v>
      </c>
      <c r="B147" s="383" t="s">
        <v>831</v>
      </c>
      <c r="C147" s="384" t="s">
        <v>649</v>
      </c>
      <c r="D147" s="314"/>
      <c r="E147" s="313">
        <v>15000</v>
      </c>
      <c r="F147" s="449"/>
    </row>
    <row r="148" spans="1:6" ht="15.75" hidden="1" thickBot="1">
      <c r="A148" s="694">
        <v>18</v>
      </c>
      <c r="B148" s="383" t="s">
        <v>687</v>
      </c>
      <c r="C148" s="384" t="s">
        <v>649</v>
      </c>
      <c r="D148" s="313">
        <v>30000</v>
      </c>
      <c r="E148" s="449"/>
      <c r="F148" s="449"/>
    </row>
    <row r="149" spans="1:6" ht="15.75" hidden="1" thickBot="1">
      <c r="A149" s="694">
        <v>19</v>
      </c>
      <c r="B149" s="383" t="s">
        <v>205</v>
      </c>
      <c r="C149" s="384" t="s">
        <v>649</v>
      </c>
      <c r="D149" s="314"/>
      <c r="E149" s="313">
        <v>18000</v>
      </c>
      <c r="F149" s="449"/>
    </row>
    <row r="150" spans="1:6" ht="15.75" hidden="1" thickBot="1">
      <c r="A150" s="694">
        <v>20</v>
      </c>
      <c r="B150" s="383" t="s">
        <v>27</v>
      </c>
      <c r="C150" s="384" t="s">
        <v>649</v>
      </c>
      <c r="D150" s="314"/>
      <c r="E150" s="313">
        <v>3000</v>
      </c>
      <c r="F150" s="449"/>
    </row>
    <row r="151" spans="1:6" ht="15.75" hidden="1" thickBot="1">
      <c r="A151" s="694">
        <v>21</v>
      </c>
      <c r="B151" s="383" t="s">
        <v>91</v>
      </c>
      <c r="C151" s="384" t="s">
        <v>650</v>
      </c>
      <c r="D151" s="314"/>
      <c r="E151" s="313">
        <v>63000</v>
      </c>
      <c r="F151" s="449"/>
    </row>
    <row r="152" spans="1:6" ht="15.75" hidden="1" thickBot="1">
      <c r="A152" s="694">
        <v>22</v>
      </c>
      <c r="B152" s="383" t="s">
        <v>728</v>
      </c>
      <c r="C152" s="384" t="s">
        <v>650</v>
      </c>
      <c r="D152" s="313">
        <v>3000</v>
      </c>
      <c r="E152" s="314"/>
      <c r="F152" s="449"/>
    </row>
    <row r="153" spans="1:6" ht="15.75" hidden="1" thickBot="1">
      <c r="A153" s="694">
        <v>23</v>
      </c>
      <c r="B153" s="383" t="s">
        <v>727</v>
      </c>
      <c r="C153" s="384" t="s">
        <v>650</v>
      </c>
      <c r="D153" s="313">
        <v>3000</v>
      </c>
      <c r="E153" s="314"/>
      <c r="F153" s="449"/>
    </row>
    <row r="154" spans="1:6" ht="15.75" hidden="1" thickBot="1">
      <c r="A154" s="694">
        <v>24</v>
      </c>
      <c r="B154" s="383" t="s">
        <v>651</v>
      </c>
      <c r="C154" s="384" t="s">
        <v>650</v>
      </c>
      <c r="D154" s="313">
        <v>6000</v>
      </c>
      <c r="E154" s="314"/>
      <c r="F154" s="449"/>
    </row>
    <row r="155" spans="1:6" ht="30.75" hidden="1" thickBot="1">
      <c r="A155" s="694">
        <v>25</v>
      </c>
      <c r="B155" s="383" t="s">
        <v>83</v>
      </c>
      <c r="C155" s="384" t="s">
        <v>650</v>
      </c>
      <c r="D155" s="314"/>
      <c r="E155" s="313">
        <v>3000</v>
      </c>
      <c r="F155" s="449"/>
    </row>
    <row r="156" spans="1:6" ht="15.75" hidden="1" thickBot="1">
      <c r="A156" s="694">
        <v>26</v>
      </c>
      <c r="B156" s="383" t="s">
        <v>652</v>
      </c>
      <c r="C156" s="384" t="s">
        <v>650</v>
      </c>
      <c r="D156" s="313">
        <v>3000</v>
      </c>
      <c r="E156" s="314"/>
      <c r="F156" s="449"/>
    </row>
    <row r="157" spans="1:6" ht="15.75" hidden="1" thickBot="1">
      <c r="A157" s="694">
        <v>27</v>
      </c>
      <c r="B157" s="383" t="s">
        <v>655</v>
      </c>
      <c r="C157" s="384" t="s">
        <v>653</v>
      </c>
      <c r="D157" s="313">
        <v>15000</v>
      </c>
      <c r="E157" s="449"/>
      <c r="F157" s="449"/>
    </row>
    <row r="158" spans="1:6" ht="15.75" hidden="1" thickBot="1">
      <c r="A158" s="694">
        <v>28</v>
      </c>
      <c r="B158" s="383" t="s">
        <v>48</v>
      </c>
      <c r="C158" s="384" t="s">
        <v>653</v>
      </c>
      <c r="D158" s="314"/>
      <c r="E158" s="313">
        <v>18000</v>
      </c>
      <c r="F158" s="449"/>
    </row>
    <row r="159" spans="1:6" ht="30.75" hidden="1" thickBot="1">
      <c r="A159" s="694">
        <v>29</v>
      </c>
      <c r="B159" s="383" t="s">
        <v>690</v>
      </c>
      <c r="C159" s="384" t="s">
        <v>653</v>
      </c>
      <c r="D159" s="314"/>
      <c r="E159" s="313">
        <v>9000</v>
      </c>
      <c r="F159" s="449"/>
    </row>
    <row r="160" spans="1:6" ht="15.75" hidden="1" thickBot="1">
      <c r="A160" s="694">
        <v>30</v>
      </c>
      <c r="B160" s="383" t="s">
        <v>46</v>
      </c>
      <c r="C160" s="384" t="s">
        <v>653</v>
      </c>
      <c r="D160" s="314"/>
      <c r="E160" s="313">
        <v>3000</v>
      </c>
      <c r="F160" s="449"/>
    </row>
    <row r="161" spans="1:6" ht="15.75" hidden="1" thickBot="1">
      <c r="A161" s="694">
        <v>31</v>
      </c>
      <c r="B161" s="383" t="s">
        <v>60</v>
      </c>
      <c r="C161" s="384" t="s">
        <v>653</v>
      </c>
      <c r="D161" s="314"/>
      <c r="E161" s="313">
        <v>9000</v>
      </c>
      <c r="F161" s="449"/>
    </row>
    <row r="162" spans="1:6" ht="15.75" hidden="1" thickBot="1">
      <c r="A162" s="694">
        <v>32</v>
      </c>
      <c r="B162" s="383" t="s">
        <v>147</v>
      </c>
      <c r="C162" s="384" t="s">
        <v>653</v>
      </c>
      <c r="D162" s="314"/>
      <c r="E162" s="313">
        <v>3000</v>
      </c>
      <c r="F162" s="449"/>
    </row>
    <row r="163" spans="1:6" ht="15.75" hidden="1" thickBot="1">
      <c r="A163" s="694">
        <v>33</v>
      </c>
      <c r="B163" s="383" t="s">
        <v>689</v>
      </c>
      <c r="C163" s="384" t="s">
        <v>653</v>
      </c>
      <c r="D163" s="313">
        <v>3000</v>
      </c>
      <c r="E163" s="449"/>
      <c r="F163" s="449"/>
    </row>
    <row r="164" spans="1:6" ht="15.75" hidden="1" thickBot="1">
      <c r="A164" s="694">
        <v>34</v>
      </c>
      <c r="B164" s="383" t="s">
        <v>52</v>
      </c>
      <c r="C164" s="384" t="s">
        <v>653</v>
      </c>
      <c r="D164" s="314"/>
      <c r="E164" s="313">
        <v>6000</v>
      </c>
      <c r="F164" s="449"/>
    </row>
    <row r="165" spans="1:6" ht="15.75" hidden="1" thickBot="1">
      <c r="A165" s="694">
        <v>35</v>
      </c>
      <c r="B165" s="383" t="s">
        <v>656</v>
      </c>
      <c r="C165" s="384" t="s">
        <v>653</v>
      </c>
      <c r="D165" s="313">
        <v>3000</v>
      </c>
      <c r="E165" s="449"/>
      <c r="F165" s="449"/>
    </row>
    <row r="166" spans="1:6" ht="30.75" hidden="1" thickBot="1">
      <c r="A166" s="694">
        <v>36</v>
      </c>
      <c r="B166" s="383" t="s">
        <v>692</v>
      </c>
      <c r="C166" s="384" t="s">
        <v>668</v>
      </c>
      <c r="D166" s="313">
        <v>60000</v>
      </c>
      <c r="E166" s="314"/>
      <c r="F166" s="449"/>
    </row>
    <row r="167" spans="1:6" ht="30.75" hidden="1" thickBot="1">
      <c r="A167" s="694">
        <v>37</v>
      </c>
      <c r="B167" s="383" t="s">
        <v>667</v>
      </c>
      <c r="C167" s="384" t="s">
        <v>668</v>
      </c>
      <c r="D167" s="313">
        <v>87000</v>
      </c>
      <c r="E167" s="314"/>
      <c r="F167" s="449"/>
    </row>
    <row r="168" spans="1:6" ht="15.75" hidden="1" thickBot="1">
      <c r="A168" s="694">
        <v>38</v>
      </c>
      <c r="B168" s="383" t="s">
        <v>693</v>
      </c>
      <c r="C168" s="384" t="s">
        <v>668</v>
      </c>
      <c r="D168" s="313">
        <v>36000</v>
      </c>
      <c r="E168" s="314"/>
      <c r="F168" s="449"/>
    </row>
    <row r="169" spans="1:6" ht="15.75" hidden="1" thickBot="1">
      <c r="A169" s="694">
        <v>39</v>
      </c>
      <c r="B169" s="383" t="s">
        <v>672</v>
      </c>
      <c r="C169" s="384" t="s">
        <v>668</v>
      </c>
      <c r="D169" s="313">
        <v>9000</v>
      </c>
      <c r="E169" s="314"/>
      <c r="F169" s="449"/>
    </row>
    <row r="170" spans="1:6" ht="30.75" hidden="1" thickBot="1">
      <c r="A170" s="694">
        <v>40</v>
      </c>
      <c r="B170" s="383" t="s">
        <v>669</v>
      </c>
      <c r="C170" s="384" t="s">
        <v>668</v>
      </c>
      <c r="D170" s="313">
        <v>9000</v>
      </c>
      <c r="E170" s="314"/>
      <c r="F170" s="449"/>
    </row>
    <row r="171" spans="1:6" ht="30.75" hidden="1" thickBot="1">
      <c r="A171" s="694">
        <v>41</v>
      </c>
      <c r="B171" s="383" t="s">
        <v>435</v>
      </c>
      <c r="C171" s="384" t="s">
        <v>668</v>
      </c>
      <c r="D171" s="314"/>
      <c r="E171" s="313">
        <v>3000</v>
      </c>
      <c r="F171" s="449"/>
    </row>
    <row r="172" spans="1:6" ht="15.75" hidden="1" thickBot="1">
      <c r="A172" s="694">
        <v>42</v>
      </c>
      <c r="B172" s="383" t="s">
        <v>671</v>
      </c>
      <c r="C172" s="384" t="s">
        <v>668</v>
      </c>
      <c r="D172" s="313">
        <v>9000</v>
      </c>
      <c r="E172" s="314"/>
      <c r="F172" s="449"/>
    </row>
    <row r="173" spans="1:6" ht="15.75" hidden="1" thickBot="1">
      <c r="A173" s="694">
        <v>43</v>
      </c>
      <c r="B173" s="383" t="s">
        <v>670</v>
      </c>
      <c r="C173" s="384" t="s">
        <v>668</v>
      </c>
      <c r="D173" s="313">
        <v>12000</v>
      </c>
      <c r="E173" s="314"/>
      <c r="F173" s="446"/>
    </row>
    <row r="174" spans="1:6" ht="15.75" hidden="1" thickBot="1">
      <c r="A174" s="694">
        <v>44</v>
      </c>
      <c r="B174" s="383" t="s">
        <v>31</v>
      </c>
      <c r="C174" s="384" t="s">
        <v>668</v>
      </c>
      <c r="D174" s="314"/>
      <c r="E174" s="313">
        <v>9000</v>
      </c>
      <c r="F174" s="449"/>
    </row>
    <row r="175" spans="1:6" ht="15.75" hidden="1" thickBot="1">
      <c r="A175" s="694">
        <v>45</v>
      </c>
      <c r="B175" s="383" t="s">
        <v>39</v>
      </c>
      <c r="C175" s="384" t="s">
        <v>668</v>
      </c>
      <c r="D175" s="314"/>
      <c r="E175" s="313">
        <v>6000</v>
      </c>
      <c r="F175" s="449"/>
    </row>
    <row r="176" spans="1:6" ht="30.75" hidden="1" thickBot="1">
      <c r="A176" s="694">
        <v>46</v>
      </c>
      <c r="B176" s="383" t="s">
        <v>25</v>
      </c>
      <c r="C176" s="384" t="s">
        <v>668</v>
      </c>
      <c r="D176" s="314"/>
      <c r="E176" s="313">
        <v>3000</v>
      </c>
      <c r="F176" s="449"/>
    </row>
    <row r="177" spans="1:6" ht="30.75" hidden="1" thickBot="1">
      <c r="A177" s="694">
        <v>47</v>
      </c>
      <c r="B177" s="383" t="s">
        <v>262</v>
      </c>
      <c r="C177" s="384" t="s">
        <v>668</v>
      </c>
      <c r="D177" s="314"/>
      <c r="E177" s="313">
        <v>9000</v>
      </c>
      <c r="F177" s="449"/>
    </row>
    <row r="178" spans="1:6" ht="15.75" hidden="1" thickBot="1">
      <c r="A178" s="694">
        <v>48</v>
      </c>
      <c r="B178" s="383" t="s">
        <v>29</v>
      </c>
      <c r="C178" s="384" t="s">
        <v>668</v>
      </c>
      <c r="D178" s="314"/>
      <c r="E178" s="313">
        <v>6000</v>
      </c>
      <c r="F178" s="449"/>
    </row>
    <row r="179" spans="1:6" ht="15.75" hidden="1" thickBot="1">
      <c r="A179" s="694">
        <v>49</v>
      </c>
      <c r="B179" s="383" t="s">
        <v>213</v>
      </c>
      <c r="C179" s="384" t="s">
        <v>668</v>
      </c>
      <c r="D179" s="314"/>
      <c r="E179" s="313">
        <v>3000</v>
      </c>
      <c r="F179" s="449"/>
    </row>
    <row r="180" spans="1:6" ht="30.75" hidden="1" thickBot="1">
      <c r="A180" s="694">
        <v>50</v>
      </c>
      <c r="B180" s="383" t="s">
        <v>273</v>
      </c>
      <c r="C180" s="384" t="s">
        <v>668</v>
      </c>
      <c r="D180" s="314"/>
      <c r="E180" s="313">
        <v>3000</v>
      </c>
      <c r="F180" s="449"/>
    </row>
    <row r="181" spans="1:6" ht="15.75" hidden="1" thickBot="1">
      <c r="A181" s="694">
        <v>51</v>
      </c>
      <c r="B181" s="383" t="s">
        <v>295</v>
      </c>
      <c r="C181" s="384" t="s">
        <v>668</v>
      </c>
      <c r="D181" s="314"/>
      <c r="E181" s="313">
        <v>6000</v>
      </c>
      <c r="F181" s="449"/>
    </row>
    <row r="182" spans="1:6" ht="15.75" hidden="1" thickBot="1">
      <c r="A182" s="694">
        <v>52</v>
      </c>
      <c r="B182" s="383" t="s">
        <v>732</v>
      </c>
      <c r="C182" s="384" t="s">
        <v>668</v>
      </c>
      <c r="D182" s="313">
        <v>3000</v>
      </c>
      <c r="E182" s="314"/>
      <c r="F182" s="449"/>
    </row>
    <row r="183" spans="1:6" ht="15.75" hidden="1" thickBot="1">
      <c r="A183" s="694">
        <v>53</v>
      </c>
      <c r="B183" s="383" t="s">
        <v>149</v>
      </c>
      <c r="C183" s="384" t="s">
        <v>674</v>
      </c>
      <c r="D183" s="314"/>
      <c r="E183" s="313">
        <v>42000</v>
      </c>
      <c r="F183" s="449"/>
    </row>
    <row r="184" spans="1:6" ht="15.75" hidden="1" thickBot="1">
      <c r="A184" s="694">
        <v>54</v>
      </c>
      <c r="B184" s="383" t="s">
        <v>151</v>
      </c>
      <c r="C184" s="384" t="s">
        <v>674</v>
      </c>
      <c r="D184" s="314"/>
      <c r="E184" s="313">
        <v>15000</v>
      </c>
      <c r="F184" s="449"/>
    </row>
    <row r="185" spans="1:6" ht="30.75" hidden="1" thickBot="1">
      <c r="A185" s="694">
        <v>55</v>
      </c>
      <c r="B185" s="383" t="s">
        <v>150</v>
      </c>
      <c r="C185" s="384" t="s">
        <v>674</v>
      </c>
      <c r="D185" s="314"/>
      <c r="E185" s="313">
        <v>6000</v>
      </c>
      <c r="F185" s="449"/>
    </row>
    <row r="186" spans="1:6" ht="30.75" thickBot="1">
      <c r="A186" s="694">
        <v>56</v>
      </c>
      <c r="B186" s="383" t="s">
        <v>182</v>
      </c>
      <c r="C186" s="384" t="s">
        <v>674</v>
      </c>
      <c r="D186" s="314"/>
      <c r="E186" s="313">
        <v>15000</v>
      </c>
      <c r="F186" s="449"/>
    </row>
    <row r="187" spans="1:6" ht="15.75" hidden="1" thickBot="1">
      <c r="A187" s="694">
        <v>57</v>
      </c>
      <c r="B187" s="383" t="s">
        <v>675</v>
      </c>
      <c r="C187" s="384" t="s">
        <v>674</v>
      </c>
      <c r="D187" s="313">
        <v>3000</v>
      </c>
      <c r="E187" s="314"/>
      <c r="F187" s="449"/>
    </row>
    <row r="188" spans="1:6" ht="15.75" hidden="1" thickBot="1">
      <c r="A188" s="694">
        <v>58</v>
      </c>
      <c r="B188" s="383" t="s">
        <v>742</v>
      </c>
      <c r="C188" s="384" t="s">
        <v>674</v>
      </c>
      <c r="D188" s="313">
        <v>3000</v>
      </c>
      <c r="E188" s="314"/>
      <c r="F188" s="449"/>
    </row>
    <row r="189" spans="1:6" ht="15.75" hidden="1" thickBot="1">
      <c r="A189" s="700" t="s">
        <v>758</v>
      </c>
      <c r="B189" s="701"/>
      <c r="C189" s="318"/>
      <c r="D189" s="695">
        <v>366000</v>
      </c>
      <c r="E189" s="695">
        <v>354000</v>
      </c>
      <c r="F189" s="696"/>
    </row>
    <row r="190" spans="1:6" ht="15.75" hidden="1" customHeight="1" thickBot="1">
      <c r="A190" s="700" t="s">
        <v>864</v>
      </c>
      <c r="B190" s="701"/>
      <c r="C190" s="318"/>
      <c r="D190" s="702">
        <v>720000</v>
      </c>
      <c r="E190" s="703"/>
      <c r="F190" s="697"/>
    </row>
    <row r="191" spans="1:6" ht="135" hidden="1">
      <c r="A191" s="699" t="s">
        <v>1213</v>
      </c>
    </row>
    <row r="192" spans="1:6">
      <c r="A192" s="699"/>
    </row>
    <row r="193" spans="1:5" ht="15.75">
      <c r="A193" s="691"/>
      <c r="B193" s="247"/>
    </row>
    <row r="194" spans="1:5" ht="49.5">
      <c r="A194" s="594" t="s">
        <v>111</v>
      </c>
      <c r="B194" s="247" t="s">
        <v>932</v>
      </c>
    </row>
    <row r="195" spans="1:5" ht="82.5">
      <c r="A195" s="594" t="s">
        <v>113</v>
      </c>
      <c r="B195" s="588" t="s">
        <v>114</v>
      </c>
    </row>
    <row r="196" spans="1:5" ht="33">
      <c r="A196" s="588" t="s">
        <v>1167</v>
      </c>
      <c r="B196" s="248"/>
    </row>
    <row r="197" spans="1:5" ht="99">
      <c r="A197" s="588" t="s">
        <v>116</v>
      </c>
      <c r="B197" s="248"/>
    </row>
    <row r="198" spans="1:5" ht="16.5">
      <c r="A198" s="246"/>
      <c r="B198" s="248"/>
    </row>
    <row r="199" spans="1:5" ht="31.5">
      <c r="A199" s="247" t="s">
        <v>704</v>
      </c>
    </row>
    <row r="200" spans="1:5" ht="15.75">
      <c r="A200" s="247"/>
    </row>
    <row r="201" spans="1:5" ht="204.75">
      <c r="A201" s="247" t="s">
        <v>1214</v>
      </c>
    </row>
    <row r="202" spans="1:5" ht="174" thickBot="1">
      <c r="A202" s="698" t="s">
        <v>1169</v>
      </c>
    </row>
    <row r="203" spans="1:5" ht="29.25" thickBot="1">
      <c r="A203" s="233" t="s">
        <v>0</v>
      </c>
      <c r="B203" s="234" t="s">
        <v>121</v>
      </c>
      <c r="C203" s="234" t="s">
        <v>632</v>
      </c>
      <c r="D203" s="234" t="s">
        <v>633</v>
      </c>
      <c r="E203" s="235" t="s">
        <v>634</v>
      </c>
    </row>
    <row r="204" spans="1:5" ht="16.5" thickBot="1">
      <c r="A204" s="255">
        <v>1</v>
      </c>
      <c r="B204" s="256" t="s">
        <v>1215</v>
      </c>
      <c r="C204" s="256" t="s">
        <v>774</v>
      </c>
      <c r="D204" s="257">
        <v>3000</v>
      </c>
      <c r="E204" s="258"/>
    </row>
    <row r="205" spans="1:5" ht="32.25" thickBot="1">
      <c r="A205" s="255">
        <v>2</v>
      </c>
      <c r="B205" s="256" t="s">
        <v>1205</v>
      </c>
      <c r="C205" s="256" t="s">
        <v>1198</v>
      </c>
      <c r="D205" s="257">
        <v>3000</v>
      </c>
      <c r="E205" s="258"/>
    </row>
    <row r="206" spans="1:5" ht="32.25" thickBot="1">
      <c r="A206" s="255">
        <v>3</v>
      </c>
      <c r="B206" s="256" t="s">
        <v>879</v>
      </c>
      <c r="C206" s="256" t="s">
        <v>1198</v>
      </c>
      <c r="D206" s="257">
        <v>3000</v>
      </c>
      <c r="E206" s="258"/>
    </row>
    <row r="207" spans="1:5" ht="48" thickBot="1">
      <c r="A207" s="255">
        <v>4</v>
      </c>
      <c r="B207" s="256" t="s">
        <v>1178</v>
      </c>
      <c r="C207" s="256" t="s">
        <v>1216</v>
      </c>
      <c r="D207" s="257">
        <v>3000</v>
      </c>
      <c r="E207" s="258"/>
    </row>
    <row r="208" spans="1:5" ht="48" thickBot="1">
      <c r="A208" s="255">
        <v>5</v>
      </c>
      <c r="B208" s="256" t="s">
        <v>840</v>
      </c>
      <c r="C208" s="256" t="s">
        <v>1216</v>
      </c>
      <c r="D208" s="257">
        <v>3000</v>
      </c>
      <c r="E208" s="258"/>
    </row>
    <row r="209" spans="1:5" ht="32.25" thickBot="1">
      <c r="A209" s="255">
        <v>6</v>
      </c>
      <c r="B209" s="256" t="s">
        <v>770</v>
      </c>
      <c r="C209" s="256" t="s">
        <v>1179</v>
      </c>
      <c r="D209" s="257">
        <v>6000</v>
      </c>
      <c r="E209" s="258"/>
    </row>
    <row r="210" spans="1:5" ht="16.5" thickBot="1">
      <c r="A210" s="288" t="s">
        <v>758</v>
      </c>
      <c r="B210" s="289"/>
      <c r="C210" s="260"/>
      <c r="D210" s="416">
        <v>21000</v>
      </c>
      <c r="E210" s="262"/>
    </row>
    <row r="211" spans="1:5" ht="120">
      <c r="A211" s="699" t="s">
        <v>1217</v>
      </c>
    </row>
    <row r="212" spans="1:5">
      <c r="A212" s="699"/>
    </row>
  </sheetData>
  <autoFilter ref="A130:F191">
    <filterColumn colId="1">
      <filters>
        <filter val="Nguyễn Thị  Lan Phương"/>
      </filters>
    </filterColumn>
  </autoFilter>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topLeftCell="A13" workbookViewId="0">
      <selection activeCell="D19" sqref="D19"/>
    </sheetView>
  </sheetViews>
  <sheetFormatPr defaultRowHeight="15"/>
  <cols>
    <col min="2" max="2" width="20.28515625" customWidth="1"/>
    <col min="3" max="3" width="14.5703125" customWidth="1"/>
    <col min="4" max="4" width="12" customWidth="1"/>
  </cols>
  <sheetData>
    <row r="1" spans="1:6" ht="15.75">
      <c r="A1" s="205" t="s">
        <v>1218</v>
      </c>
    </row>
    <row r="2" spans="1:6" ht="16.5" thickBot="1">
      <c r="A2" s="232" t="s">
        <v>1219</v>
      </c>
    </row>
    <row r="3" spans="1:6" ht="15.75" customHeight="1" thickBot="1">
      <c r="A3" s="704" t="s">
        <v>0</v>
      </c>
      <c r="B3" s="704" t="s">
        <v>121</v>
      </c>
      <c r="C3" s="704" t="s">
        <v>632</v>
      </c>
      <c r="D3" s="716" t="s">
        <v>894</v>
      </c>
      <c r="E3" s="717"/>
      <c r="F3" s="704" t="s">
        <v>699</v>
      </c>
    </row>
    <row r="4" spans="1:6" ht="15.75" thickBot="1">
      <c r="A4" s="718"/>
      <c r="B4" s="718"/>
      <c r="C4" s="718"/>
      <c r="D4" s="705" t="s">
        <v>828</v>
      </c>
      <c r="E4" s="705" t="s">
        <v>829</v>
      </c>
      <c r="F4" s="718"/>
    </row>
    <row r="5" spans="1:6" ht="15.75" thickBot="1">
      <c r="A5" s="706">
        <v>1</v>
      </c>
      <c r="B5" s="707" t="s">
        <v>640</v>
      </c>
      <c r="C5" s="708" t="s">
        <v>717</v>
      </c>
      <c r="D5" s="709">
        <v>50000</v>
      </c>
      <c r="E5" s="710"/>
      <c r="F5" s="710"/>
    </row>
    <row r="6" spans="1:6" ht="39" customHeight="1" thickBot="1">
      <c r="A6" s="706">
        <v>2</v>
      </c>
      <c r="B6" s="707" t="s">
        <v>96</v>
      </c>
      <c r="C6" s="708" t="s">
        <v>717</v>
      </c>
      <c r="D6" s="710"/>
      <c r="E6" s="709">
        <v>20000</v>
      </c>
      <c r="F6" s="710"/>
    </row>
    <row r="7" spans="1:6" ht="39" customHeight="1" thickBot="1">
      <c r="A7" s="706">
        <v>3</v>
      </c>
      <c r="B7" s="707" t="s">
        <v>210</v>
      </c>
      <c r="C7" s="708" t="s">
        <v>717</v>
      </c>
      <c r="D7" s="710"/>
      <c r="E7" s="709">
        <v>130000</v>
      </c>
      <c r="F7" s="711"/>
    </row>
    <row r="8" spans="1:6" ht="39" customHeight="1" thickBot="1">
      <c r="A8" s="706">
        <v>4</v>
      </c>
      <c r="B8" s="707" t="s">
        <v>106</v>
      </c>
      <c r="C8" s="708" t="s">
        <v>717</v>
      </c>
      <c r="D8" s="710"/>
      <c r="E8" s="709">
        <v>20000</v>
      </c>
      <c r="F8" s="710"/>
    </row>
    <row r="9" spans="1:6" ht="26.25" customHeight="1" thickBot="1">
      <c r="A9" s="706">
        <v>5</v>
      </c>
      <c r="B9" s="707" t="s">
        <v>639</v>
      </c>
      <c r="C9" s="708" t="s">
        <v>717</v>
      </c>
      <c r="D9" s="710"/>
      <c r="E9" s="709">
        <v>20000</v>
      </c>
      <c r="F9" s="710"/>
    </row>
    <row r="10" spans="1:6" ht="39" customHeight="1" thickBot="1">
      <c r="A10" s="706">
        <v>6</v>
      </c>
      <c r="B10" s="707" t="s">
        <v>687</v>
      </c>
      <c r="C10" s="708" t="s">
        <v>649</v>
      </c>
      <c r="D10" s="709">
        <v>110000</v>
      </c>
      <c r="E10" s="710"/>
      <c r="F10" s="710"/>
    </row>
    <row r="11" spans="1:6" ht="39" customHeight="1" thickBot="1">
      <c r="A11" s="706">
        <v>7</v>
      </c>
      <c r="B11" s="707" t="s">
        <v>684</v>
      </c>
      <c r="C11" s="708" t="s">
        <v>649</v>
      </c>
      <c r="D11" s="709">
        <v>180000</v>
      </c>
      <c r="E11" s="710"/>
      <c r="F11" s="710"/>
    </row>
    <row r="12" spans="1:6" ht="26.25" customHeight="1" thickBot="1">
      <c r="A12" s="706">
        <v>8</v>
      </c>
      <c r="B12" s="707" t="s">
        <v>152</v>
      </c>
      <c r="C12" s="708" t="s">
        <v>649</v>
      </c>
      <c r="D12" s="710"/>
      <c r="E12" s="709">
        <v>10000</v>
      </c>
      <c r="F12" s="710"/>
    </row>
    <row r="13" spans="1:6" ht="26.25" customHeight="1" thickBot="1">
      <c r="A13" s="706">
        <v>9</v>
      </c>
      <c r="B13" s="707" t="s">
        <v>205</v>
      </c>
      <c r="C13" s="708" t="s">
        <v>649</v>
      </c>
      <c r="D13" s="710"/>
      <c r="E13" s="709">
        <v>10000</v>
      </c>
      <c r="F13" s="710"/>
    </row>
    <row r="14" spans="1:6" ht="26.25" customHeight="1" thickBot="1">
      <c r="A14" s="706">
        <v>10</v>
      </c>
      <c r="B14" s="707" t="s">
        <v>683</v>
      </c>
      <c r="C14" s="708" t="s">
        <v>646</v>
      </c>
      <c r="D14" s="709">
        <v>30000</v>
      </c>
      <c r="E14" s="710"/>
      <c r="F14" s="710"/>
    </row>
    <row r="15" spans="1:6" ht="51.75" customHeight="1" thickBot="1">
      <c r="A15" s="706">
        <v>11</v>
      </c>
      <c r="B15" s="707" t="s">
        <v>289</v>
      </c>
      <c r="C15" s="708" t="s">
        <v>646</v>
      </c>
      <c r="D15" s="710"/>
      <c r="E15" s="709">
        <v>10000</v>
      </c>
      <c r="F15" s="710"/>
    </row>
    <row r="16" spans="1:6" ht="26.25" customHeight="1" thickBot="1">
      <c r="A16" s="706">
        <v>12</v>
      </c>
      <c r="B16" s="707" t="s">
        <v>651</v>
      </c>
      <c r="C16" s="708" t="s">
        <v>650</v>
      </c>
      <c r="D16" s="709">
        <v>70000</v>
      </c>
      <c r="E16" s="710"/>
      <c r="F16" s="710"/>
    </row>
    <row r="17" spans="1:6" ht="26.25" customHeight="1" thickBot="1">
      <c r="A17" s="706">
        <v>13</v>
      </c>
      <c r="B17" s="707" t="s">
        <v>688</v>
      </c>
      <c r="C17" s="708" t="s">
        <v>650</v>
      </c>
      <c r="D17" s="709">
        <v>90000</v>
      </c>
      <c r="E17" s="710"/>
      <c r="F17" s="710"/>
    </row>
    <row r="18" spans="1:6" ht="39" customHeight="1" thickBot="1">
      <c r="A18" s="706">
        <v>14</v>
      </c>
      <c r="B18" s="707" t="s">
        <v>269</v>
      </c>
      <c r="C18" s="708" t="s">
        <v>650</v>
      </c>
      <c r="D18" s="710"/>
      <c r="E18" s="709">
        <v>60000</v>
      </c>
      <c r="F18" s="710"/>
    </row>
    <row r="19" spans="1:6" ht="26.25" customHeight="1" thickBot="1">
      <c r="A19" s="706">
        <v>15</v>
      </c>
      <c r="B19" s="707" t="s">
        <v>658</v>
      </c>
      <c r="C19" s="708" t="s">
        <v>653</v>
      </c>
      <c r="D19" s="709">
        <v>30000</v>
      </c>
      <c r="E19" s="710"/>
      <c r="F19" s="710"/>
    </row>
    <row r="20" spans="1:6" ht="26.25" customHeight="1" thickBot="1">
      <c r="A20" s="706">
        <v>16</v>
      </c>
      <c r="B20" s="707" t="s">
        <v>147</v>
      </c>
      <c r="C20" s="708" t="s">
        <v>653</v>
      </c>
      <c r="D20" s="710"/>
      <c r="E20" s="709">
        <v>100000</v>
      </c>
      <c r="F20" s="710"/>
    </row>
    <row r="21" spans="1:6" ht="39" customHeight="1" thickBot="1">
      <c r="A21" s="706">
        <v>17</v>
      </c>
      <c r="B21" s="707" t="s">
        <v>138</v>
      </c>
      <c r="C21" s="708" t="s">
        <v>653</v>
      </c>
      <c r="D21" s="710"/>
      <c r="E21" s="709">
        <v>60000</v>
      </c>
      <c r="F21" s="710"/>
    </row>
    <row r="22" spans="1:6" ht="26.25" customHeight="1" thickBot="1">
      <c r="A22" s="706">
        <v>18</v>
      </c>
      <c r="B22" s="707" t="s">
        <v>670</v>
      </c>
      <c r="C22" s="708" t="s">
        <v>668</v>
      </c>
      <c r="D22" s="709">
        <v>160000</v>
      </c>
      <c r="E22" s="710"/>
      <c r="F22" s="710"/>
    </row>
    <row r="23" spans="1:6" ht="39" customHeight="1" thickBot="1">
      <c r="A23" s="706">
        <v>19</v>
      </c>
      <c r="B23" s="707" t="s">
        <v>669</v>
      </c>
      <c r="C23" s="708" t="s">
        <v>668</v>
      </c>
      <c r="D23" s="709">
        <v>10000</v>
      </c>
      <c r="E23" s="710"/>
      <c r="F23" s="710"/>
    </row>
    <row r="24" spans="1:6" ht="26.25" customHeight="1" thickBot="1">
      <c r="A24" s="706">
        <v>20</v>
      </c>
      <c r="B24" s="707" t="s">
        <v>693</v>
      </c>
      <c r="C24" s="708" t="s">
        <v>668</v>
      </c>
      <c r="D24" s="709">
        <v>40000</v>
      </c>
      <c r="E24" s="710"/>
      <c r="F24" s="710"/>
    </row>
    <row r="25" spans="1:6" ht="39" customHeight="1" thickBot="1">
      <c r="A25" s="706">
        <v>21</v>
      </c>
      <c r="B25" s="707" t="s">
        <v>672</v>
      </c>
      <c r="C25" s="708" t="s">
        <v>668</v>
      </c>
      <c r="D25" s="709">
        <v>110000</v>
      </c>
      <c r="E25" s="710"/>
      <c r="F25" s="710"/>
    </row>
    <row r="26" spans="1:6" ht="39" customHeight="1" thickBot="1">
      <c r="A26" s="706">
        <v>22</v>
      </c>
      <c r="B26" s="707" t="s">
        <v>667</v>
      </c>
      <c r="C26" s="708" t="s">
        <v>668</v>
      </c>
      <c r="D26" s="709">
        <v>20000</v>
      </c>
      <c r="E26" s="710"/>
      <c r="F26" s="710"/>
    </row>
    <row r="27" spans="1:6" ht="51.75" customHeight="1" thickBot="1">
      <c r="A27" s="706">
        <v>23</v>
      </c>
      <c r="B27" s="707" t="s">
        <v>273</v>
      </c>
      <c r="C27" s="708" t="s">
        <v>668</v>
      </c>
      <c r="D27" s="710"/>
      <c r="E27" s="709">
        <v>20000</v>
      </c>
      <c r="F27" s="710"/>
    </row>
    <row r="28" spans="1:6" ht="39" customHeight="1" thickBot="1">
      <c r="A28" s="706">
        <v>24</v>
      </c>
      <c r="B28" s="707" t="s">
        <v>262</v>
      </c>
      <c r="C28" s="708" t="s">
        <v>668</v>
      </c>
      <c r="D28" s="710"/>
      <c r="E28" s="709">
        <v>20000</v>
      </c>
      <c r="F28" s="710"/>
    </row>
    <row r="29" spans="1:6" ht="39" customHeight="1" thickBot="1">
      <c r="A29" s="706">
        <v>25</v>
      </c>
      <c r="B29" s="707" t="s">
        <v>76</v>
      </c>
      <c r="C29" s="708" t="s">
        <v>674</v>
      </c>
      <c r="D29" s="710"/>
      <c r="E29" s="709">
        <v>60000</v>
      </c>
      <c r="F29" s="710"/>
    </row>
    <row r="30" spans="1:6" ht="39" customHeight="1" thickBot="1">
      <c r="A30" s="706">
        <v>26</v>
      </c>
      <c r="B30" s="707" t="s">
        <v>856</v>
      </c>
      <c r="C30" s="708" t="s">
        <v>1220</v>
      </c>
      <c r="D30" s="710"/>
      <c r="E30" s="709">
        <v>20000</v>
      </c>
      <c r="F30" s="710"/>
    </row>
    <row r="31" spans="1:6" ht="15.75" thickBot="1">
      <c r="A31" s="706">
        <v>27</v>
      </c>
      <c r="B31" s="707" t="s">
        <v>861</v>
      </c>
      <c r="C31" s="708" t="s">
        <v>1220</v>
      </c>
      <c r="D31" s="710"/>
      <c r="E31" s="709">
        <v>30000</v>
      </c>
      <c r="F31" s="710"/>
    </row>
    <row r="32" spans="1:6" ht="15.75" thickBot="1">
      <c r="A32" s="719" t="s">
        <v>758</v>
      </c>
      <c r="B32" s="720"/>
      <c r="C32" s="712"/>
      <c r="D32" s="713">
        <v>900000</v>
      </c>
      <c r="E32" s="713">
        <v>590000</v>
      </c>
      <c r="F32" s="714"/>
    </row>
    <row r="33" spans="1:6" ht="15.75" customHeight="1" thickBot="1">
      <c r="A33" s="719" t="s">
        <v>864</v>
      </c>
      <c r="B33" s="720"/>
      <c r="C33" s="712"/>
      <c r="D33" s="721">
        <v>1490000</v>
      </c>
      <c r="E33" s="722"/>
      <c r="F33" s="715"/>
    </row>
    <row r="34" spans="1:6">
      <c r="A34" s="244" t="s">
        <v>1221</v>
      </c>
    </row>
  </sheetData>
  <autoFilter ref="A4:G4"/>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9"/>
  <sheetViews>
    <sheetView topLeftCell="A130" workbookViewId="0">
      <selection activeCell="E140" sqref="E140"/>
    </sheetView>
  </sheetViews>
  <sheetFormatPr defaultRowHeight="15"/>
  <cols>
    <col min="2" max="2" width="24.42578125" customWidth="1"/>
    <col min="4" max="5" width="13.7109375" customWidth="1"/>
  </cols>
  <sheetData>
    <row r="1" spans="1:6" ht="15.75">
      <c r="A1" s="205" t="s">
        <v>1161</v>
      </c>
    </row>
    <row r="2" spans="1:6" ht="15.75">
      <c r="A2" s="205"/>
    </row>
    <row r="3" spans="1:6">
      <c r="A3" s="686" t="s">
        <v>1162</v>
      </c>
    </row>
    <row r="4" spans="1:6" ht="16.5" thickBot="1">
      <c r="A4" s="232" t="s">
        <v>1222</v>
      </c>
    </row>
    <row r="5" spans="1:6" ht="31.5" customHeight="1" thickBot="1">
      <c r="A5" s="380" t="s">
        <v>0</v>
      </c>
      <c r="B5" s="380" t="s">
        <v>121</v>
      </c>
      <c r="C5" s="380" t="s">
        <v>632</v>
      </c>
      <c r="D5" s="398" t="s">
        <v>894</v>
      </c>
      <c r="E5" s="399"/>
      <c r="F5" s="380" t="s">
        <v>699</v>
      </c>
    </row>
    <row r="6" spans="1:6" ht="16.5" thickBot="1">
      <c r="A6" s="400"/>
      <c r="B6" s="400"/>
      <c r="C6" s="400"/>
      <c r="D6" s="381" t="s">
        <v>828</v>
      </c>
      <c r="E6" s="381" t="s">
        <v>829</v>
      </c>
      <c r="F6" s="400"/>
    </row>
    <row r="7" spans="1:6" s="68" customFormat="1" ht="15.75" thickBot="1">
      <c r="A7" s="723">
        <v>1</v>
      </c>
      <c r="B7" s="724" t="s">
        <v>39</v>
      </c>
      <c r="C7" s="725" t="s">
        <v>668</v>
      </c>
      <c r="D7" s="726"/>
      <c r="E7" s="727">
        <v>160000</v>
      </c>
      <c r="F7" s="726"/>
    </row>
    <row r="8" spans="1:6" s="68" customFormat="1" ht="30.75" customHeight="1" thickBot="1">
      <c r="A8" s="723">
        <v>2</v>
      </c>
      <c r="B8" s="724" t="s">
        <v>29</v>
      </c>
      <c r="C8" s="725" t="s">
        <v>668</v>
      </c>
      <c r="D8" s="726"/>
      <c r="E8" s="727">
        <v>10000</v>
      </c>
      <c r="F8" s="726"/>
    </row>
    <row r="9" spans="1:6" s="68" customFormat="1" ht="45.75" customHeight="1" thickBot="1">
      <c r="A9" s="723">
        <v>3</v>
      </c>
      <c r="B9" s="724" t="s">
        <v>31</v>
      </c>
      <c r="C9" s="725" t="s">
        <v>668</v>
      </c>
      <c r="D9" s="726"/>
      <c r="E9" s="727">
        <v>10000</v>
      </c>
      <c r="F9" s="728"/>
    </row>
    <row r="10" spans="1:6" s="68" customFormat="1" ht="30.75" customHeight="1" thickBot="1">
      <c r="A10" s="723">
        <v>4</v>
      </c>
      <c r="B10" s="724" t="s">
        <v>213</v>
      </c>
      <c r="C10" s="725" t="s">
        <v>668</v>
      </c>
      <c r="D10" s="726"/>
      <c r="E10" s="727">
        <v>20000</v>
      </c>
      <c r="F10" s="726"/>
    </row>
    <row r="11" spans="1:6" s="68" customFormat="1" ht="45.75" customHeight="1" thickBot="1">
      <c r="A11" s="723">
        <v>5</v>
      </c>
      <c r="B11" s="724" t="s">
        <v>262</v>
      </c>
      <c r="C11" s="725" t="s">
        <v>668</v>
      </c>
      <c r="D11" s="726"/>
      <c r="E11" s="727">
        <v>10000</v>
      </c>
      <c r="F11" s="726"/>
    </row>
    <row r="12" spans="1:6" s="68" customFormat="1" ht="45.75" customHeight="1" thickBot="1">
      <c r="A12" s="723">
        <v>6</v>
      </c>
      <c r="B12" s="724" t="s">
        <v>295</v>
      </c>
      <c r="C12" s="725" t="s">
        <v>668</v>
      </c>
      <c r="D12" s="726"/>
      <c r="E12" s="727">
        <v>10000</v>
      </c>
      <c r="F12" s="726"/>
    </row>
    <row r="13" spans="1:6" ht="30.75" customHeight="1" thickBot="1">
      <c r="A13" s="694">
        <v>7</v>
      </c>
      <c r="B13" s="383" t="s">
        <v>693</v>
      </c>
      <c r="C13" s="384" t="s">
        <v>668</v>
      </c>
      <c r="D13" s="313">
        <v>30000</v>
      </c>
      <c r="E13" s="449"/>
      <c r="F13" s="449"/>
    </row>
    <row r="14" spans="1:6" ht="45.75" customHeight="1" thickBot="1">
      <c r="A14" s="694">
        <v>8</v>
      </c>
      <c r="B14" s="383" t="s">
        <v>672</v>
      </c>
      <c r="C14" s="384" t="s">
        <v>668</v>
      </c>
      <c r="D14" s="313">
        <v>10000</v>
      </c>
      <c r="E14" s="314"/>
      <c r="F14" s="449"/>
    </row>
    <row r="15" spans="1:6" ht="45.75" customHeight="1" thickBot="1">
      <c r="A15" s="694">
        <v>9</v>
      </c>
      <c r="B15" s="383" t="s">
        <v>732</v>
      </c>
      <c r="C15" s="384" t="s">
        <v>668</v>
      </c>
      <c r="D15" s="313">
        <v>185000</v>
      </c>
      <c r="E15" s="314"/>
      <c r="F15" s="314"/>
    </row>
    <row r="16" spans="1:6" ht="60.75" customHeight="1" thickBot="1">
      <c r="A16" s="694">
        <v>10</v>
      </c>
      <c r="B16" s="383" t="s">
        <v>692</v>
      </c>
      <c r="C16" s="384" t="s">
        <v>668</v>
      </c>
      <c r="D16" s="313">
        <v>180000</v>
      </c>
      <c r="E16" s="314"/>
      <c r="F16" s="449"/>
    </row>
    <row r="17" spans="1:6" ht="45.75" customHeight="1" thickBot="1">
      <c r="A17" s="694">
        <v>11</v>
      </c>
      <c r="B17" s="383" t="s">
        <v>669</v>
      </c>
      <c r="C17" s="384" t="s">
        <v>668</v>
      </c>
      <c r="D17" s="313">
        <v>95000</v>
      </c>
      <c r="E17" s="314"/>
      <c r="F17" s="449"/>
    </row>
    <row r="18" spans="1:6" s="68" customFormat="1" ht="30.75" customHeight="1" thickBot="1">
      <c r="A18" s="723">
        <v>12</v>
      </c>
      <c r="B18" s="724" t="s">
        <v>151</v>
      </c>
      <c r="C18" s="725" t="s">
        <v>653</v>
      </c>
      <c r="D18" s="726"/>
      <c r="E18" s="727">
        <v>210000</v>
      </c>
      <c r="F18" s="728"/>
    </row>
    <row r="19" spans="1:6" s="68" customFormat="1" ht="45.75" customHeight="1" thickBot="1">
      <c r="A19" s="723">
        <v>13</v>
      </c>
      <c r="B19" s="724" t="s">
        <v>52</v>
      </c>
      <c r="C19" s="725" t="s">
        <v>653</v>
      </c>
      <c r="D19" s="726"/>
      <c r="E19" s="727">
        <v>70000</v>
      </c>
      <c r="F19" s="728"/>
    </row>
    <row r="20" spans="1:6" s="68" customFormat="1" ht="45.75" customHeight="1" thickBot="1">
      <c r="A20" s="723">
        <v>14</v>
      </c>
      <c r="B20" s="724" t="s">
        <v>48</v>
      </c>
      <c r="C20" s="725" t="s">
        <v>653</v>
      </c>
      <c r="D20" s="726"/>
      <c r="E20" s="727">
        <v>50000</v>
      </c>
      <c r="F20" s="728"/>
    </row>
    <row r="21" spans="1:6" s="68" customFormat="1" ht="30.75" customHeight="1" thickBot="1">
      <c r="A21" s="723">
        <v>15</v>
      </c>
      <c r="B21" s="724" t="s">
        <v>46</v>
      </c>
      <c r="C21" s="725" t="s">
        <v>653</v>
      </c>
      <c r="D21" s="726"/>
      <c r="E21" s="727">
        <v>10000</v>
      </c>
      <c r="F21" s="728"/>
    </row>
    <row r="22" spans="1:6" ht="30.75" customHeight="1" thickBot="1">
      <c r="A22" s="694">
        <v>16</v>
      </c>
      <c r="B22" s="383" t="s">
        <v>659</v>
      </c>
      <c r="C22" s="384" t="s">
        <v>653</v>
      </c>
      <c r="D22" s="313">
        <v>115000</v>
      </c>
      <c r="E22" s="449"/>
      <c r="F22" s="449"/>
    </row>
    <row r="23" spans="1:6" s="573" customFormat="1" ht="45.75" customHeight="1" thickBot="1">
      <c r="A23" s="729">
        <v>17</v>
      </c>
      <c r="B23" s="730" t="s">
        <v>690</v>
      </c>
      <c r="C23" s="731" t="s">
        <v>653</v>
      </c>
      <c r="D23" s="732"/>
      <c r="E23" s="733">
        <v>150000</v>
      </c>
      <c r="F23" s="734"/>
    </row>
    <row r="24" spans="1:6" s="68" customFormat="1" ht="45.75" customHeight="1" thickBot="1">
      <c r="A24" s="723">
        <v>18</v>
      </c>
      <c r="B24" s="724" t="s">
        <v>56</v>
      </c>
      <c r="C24" s="725" t="s">
        <v>653</v>
      </c>
      <c r="D24" s="726"/>
      <c r="E24" s="727">
        <v>185000</v>
      </c>
      <c r="F24" s="728"/>
    </row>
    <row r="25" spans="1:6" s="68" customFormat="1" ht="45.75" customHeight="1" thickBot="1">
      <c r="A25" s="723">
        <v>19</v>
      </c>
      <c r="B25" s="724" t="s">
        <v>50</v>
      </c>
      <c r="C25" s="725" t="s">
        <v>653</v>
      </c>
      <c r="D25" s="726"/>
      <c r="E25" s="727">
        <v>105000</v>
      </c>
      <c r="F25" s="728"/>
    </row>
    <row r="26" spans="1:6" s="68" customFormat="1" ht="45.75" customHeight="1" thickBot="1">
      <c r="A26" s="723">
        <v>20</v>
      </c>
      <c r="B26" s="724" t="s">
        <v>65</v>
      </c>
      <c r="C26" s="725" t="s">
        <v>646</v>
      </c>
      <c r="D26" s="726"/>
      <c r="E26" s="727">
        <v>20000</v>
      </c>
      <c r="F26" s="728"/>
    </row>
    <row r="27" spans="1:6" s="68" customFormat="1" ht="60.75" customHeight="1" thickBot="1">
      <c r="A27" s="723">
        <v>21</v>
      </c>
      <c r="B27" s="724" t="s">
        <v>289</v>
      </c>
      <c r="C27" s="725" t="s">
        <v>646</v>
      </c>
      <c r="D27" s="726"/>
      <c r="E27" s="727">
        <v>265000</v>
      </c>
      <c r="F27" s="728"/>
    </row>
    <row r="28" spans="1:6" ht="45.75" customHeight="1" thickBot="1">
      <c r="A28" s="694">
        <v>22</v>
      </c>
      <c r="B28" s="383" t="s">
        <v>683</v>
      </c>
      <c r="C28" s="384" t="s">
        <v>646</v>
      </c>
      <c r="D28" s="313">
        <v>35000</v>
      </c>
      <c r="E28" s="314"/>
      <c r="F28" s="449"/>
    </row>
    <row r="29" spans="1:6" s="68" customFormat="1" ht="45.75" customHeight="1" thickBot="1">
      <c r="A29" s="723">
        <v>23</v>
      </c>
      <c r="B29" s="724" t="s">
        <v>148</v>
      </c>
      <c r="C29" s="725" t="s">
        <v>646</v>
      </c>
      <c r="D29" s="726"/>
      <c r="E29" s="727">
        <v>80000</v>
      </c>
      <c r="F29" s="728"/>
    </row>
    <row r="30" spans="1:6" s="68" customFormat="1" ht="45.75" customHeight="1" thickBot="1">
      <c r="A30" s="723">
        <v>24</v>
      </c>
      <c r="B30" s="724" t="s">
        <v>168</v>
      </c>
      <c r="C30" s="725" t="s">
        <v>646</v>
      </c>
      <c r="D30" s="726"/>
      <c r="E30" s="727">
        <v>130000</v>
      </c>
      <c r="F30" s="728"/>
    </row>
    <row r="31" spans="1:6" ht="45.75" customHeight="1" thickBot="1">
      <c r="A31" s="694">
        <v>25</v>
      </c>
      <c r="B31" s="383" t="s">
        <v>1165</v>
      </c>
      <c r="C31" s="384" t="s">
        <v>674</v>
      </c>
      <c r="D31" s="313">
        <v>210000</v>
      </c>
      <c r="E31" s="314"/>
      <c r="F31" s="449"/>
    </row>
    <row r="32" spans="1:6" s="68" customFormat="1" ht="30.75" customHeight="1" thickBot="1">
      <c r="A32" s="723">
        <v>26</v>
      </c>
      <c r="B32" s="724" t="s">
        <v>149</v>
      </c>
      <c r="C32" s="725" t="s">
        <v>674</v>
      </c>
      <c r="D32" s="726"/>
      <c r="E32" s="727">
        <v>110000</v>
      </c>
      <c r="F32" s="728"/>
    </row>
    <row r="33" spans="1:6" ht="30.75" customHeight="1" thickBot="1">
      <c r="A33" s="694">
        <v>27</v>
      </c>
      <c r="B33" s="383" t="s">
        <v>742</v>
      </c>
      <c r="C33" s="384" t="s">
        <v>674</v>
      </c>
      <c r="D33" s="313">
        <v>155000</v>
      </c>
      <c r="E33" s="449"/>
      <c r="F33" s="449"/>
    </row>
    <row r="34" spans="1:6" s="68" customFormat="1" ht="45.75" customHeight="1" thickBot="1">
      <c r="A34" s="723">
        <v>28</v>
      </c>
      <c r="B34" s="724" t="s">
        <v>81</v>
      </c>
      <c r="C34" s="725" t="s">
        <v>649</v>
      </c>
      <c r="D34" s="726"/>
      <c r="E34" s="727">
        <v>115000</v>
      </c>
      <c r="F34" s="728"/>
    </row>
    <row r="35" spans="1:6" s="68" customFormat="1" ht="45.75" customHeight="1" thickBot="1">
      <c r="A35" s="723">
        <v>29</v>
      </c>
      <c r="B35" s="724" t="s">
        <v>27</v>
      </c>
      <c r="C35" s="725" t="s">
        <v>649</v>
      </c>
      <c r="D35" s="726"/>
      <c r="E35" s="727">
        <v>40000</v>
      </c>
      <c r="F35" s="728"/>
    </row>
    <row r="36" spans="1:6" s="68" customFormat="1" ht="30.75" customHeight="1" thickBot="1">
      <c r="A36" s="723">
        <v>30</v>
      </c>
      <c r="B36" s="724" t="s">
        <v>221</v>
      </c>
      <c r="C36" s="725" t="s">
        <v>649</v>
      </c>
      <c r="D36" s="726"/>
      <c r="E36" s="727">
        <v>140000</v>
      </c>
      <c r="F36" s="728"/>
    </row>
    <row r="37" spans="1:6" ht="45.75" customHeight="1" thickBot="1">
      <c r="A37" s="694">
        <v>31</v>
      </c>
      <c r="B37" s="383" t="s">
        <v>686</v>
      </c>
      <c r="C37" s="384" t="s">
        <v>649</v>
      </c>
      <c r="D37" s="313">
        <v>115000</v>
      </c>
      <c r="E37" s="314"/>
      <c r="F37" s="449"/>
    </row>
    <row r="38" spans="1:6" s="68" customFormat="1" ht="30.75" customHeight="1" thickBot="1">
      <c r="A38" s="723">
        <v>32</v>
      </c>
      <c r="B38" s="724" t="s">
        <v>152</v>
      </c>
      <c r="C38" s="725" t="s">
        <v>649</v>
      </c>
      <c r="D38" s="726"/>
      <c r="E38" s="727">
        <v>440000</v>
      </c>
      <c r="F38" s="728"/>
    </row>
    <row r="39" spans="1:6" s="68" customFormat="1" ht="30.75" customHeight="1" thickBot="1">
      <c r="A39" s="723">
        <v>33</v>
      </c>
      <c r="B39" s="724" t="s">
        <v>91</v>
      </c>
      <c r="C39" s="725" t="s">
        <v>650</v>
      </c>
      <c r="D39" s="726"/>
      <c r="E39" s="727">
        <v>140000</v>
      </c>
      <c r="F39" s="728"/>
    </row>
    <row r="40" spans="1:6" s="68" customFormat="1" ht="45.75" customHeight="1" thickBot="1">
      <c r="A40" s="723">
        <v>34</v>
      </c>
      <c r="B40" s="724" t="s">
        <v>83</v>
      </c>
      <c r="C40" s="725" t="s">
        <v>650</v>
      </c>
      <c r="D40" s="726"/>
      <c r="E40" s="727">
        <v>80000</v>
      </c>
      <c r="F40" s="728"/>
    </row>
    <row r="41" spans="1:6" ht="30.75" customHeight="1" thickBot="1">
      <c r="A41" s="694">
        <v>35</v>
      </c>
      <c r="B41" s="383" t="s">
        <v>688</v>
      </c>
      <c r="C41" s="384" t="s">
        <v>650</v>
      </c>
      <c r="D41" s="313">
        <v>250000</v>
      </c>
      <c r="E41" s="449"/>
      <c r="F41" s="449"/>
    </row>
    <row r="42" spans="1:6" ht="45.75" customHeight="1" thickBot="1">
      <c r="A42" s="694">
        <v>36</v>
      </c>
      <c r="B42" s="383" t="s">
        <v>727</v>
      </c>
      <c r="C42" s="384" t="s">
        <v>650</v>
      </c>
      <c r="D42" s="313">
        <v>100000</v>
      </c>
      <c r="E42" s="314"/>
      <c r="F42" s="449"/>
    </row>
    <row r="43" spans="1:6" ht="30.75" customHeight="1" thickBot="1">
      <c r="A43" s="694">
        <v>37</v>
      </c>
      <c r="B43" s="383" t="s">
        <v>652</v>
      </c>
      <c r="C43" s="384" t="s">
        <v>650</v>
      </c>
      <c r="D43" s="313">
        <v>30000</v>
      </c>
      <c r="E43" s="314"/>
      <c r="F43" s="449"/>
    </row>
    <row r="44" spans="1:6" s="68" customFormat="1" ht="45.75" customHeight="1" thickBot="1">
      <c r="A44" s="723">
        <v>38</v>
      </c>
      <c r="B44" s="724" t="s">
        <v>86</v>
      </c>
      <c r="C44" s="725" t="s">
        <v>642</v>
      </c>
      <c r="D44" s="726"/>
      <c r="E44" s="727">
        <v>120000</v>
      </c>
      <c r="F44" s="728"/>
    </row>
    <row r="45" spans="1:6" s="68" customFormat="1" ht="30.75" customHeight="1" thickBot="1">
      <c r="A45" s="723">
        <v>39</v>
      </c>
      <c r="B45" s="724" t="s">
        <v>644</v>
      </c>
      <c r="C45" s="725" t="s">
        <v>642</v>
      </c>
      <c r="D45" s="726"/>
      <c r="E45" s="727">
        <v>50000</v>
      </c>
      <c r="F45" s="728"/>
    </row>
    <row r="46" spans="1:6" ht="30.75" customHeight="1" thickBot="1">
      <c r="A46" s="694">
        <v>40</v>
      </c>
      <c r="B46" s="383" t="s">
        <v>153</v>
      </c>
      <c r="C46" s="384" t="s">
        <v>642</v>
      </c>
      <c r="D46" s="314"/>
      <c r="E46" s="313">
        <v>85000</v>
      </c>
      <c r="F46" s="449"/>
    </row>
    <row r="47" spans="1:6" ht="45.75" customHeight="1" thickBot="1">
      <c r="A47" s="694">
        <v>41</v>
      </c>
      <c r="B47" s="383" t="s">
        <v>682</v>
      </c>
      <c r="C47" s="384" t="s">
        <v>642</v>
      </c>
      <c r="D47" s="313">
        <v>70000</v>
      </c>
      <c r="E47" s="314"/>
      <c r="F47" s="449"/>
    </row>
    <row r="48" spans="1:6" ht="45.75" customHeight="1" thickBot="1">
      <c r="A48" s="694">
        <v>42</v>
      </c>
      <c r="B48" s="383" t="s">
        <v>715</v>
      </c>
      <c r="C48" s="384" t="s">
        <v>642</v>
      </c>
      <c r="D48" s="313">
        <v>140000</v>
      </c>
      <c r="E48" s="314"/>
      <c r="F48" s="449"/>
    </row>
    <row r="49" spans="1:8" ht="45.75" customHeight="1" thickBot="1">
      <c r="A49" s="694">
        <v>43</v>
      </c>
      <c r="B49" s="383" t="s">
        <v>637</v>
      </c>
      <c r="C49" s="384" t="s">
        <v>636</v>
      </c>
      <c r="D49" s="313">
        <v>70000</v>
      </c>
      <c r="E49" s="383"/>
      <c r="F49" s="446"/>
    </row>
    <row r="50" spans="1:8" s="68" customFormat="1" ht="30.75" customHeight="1" thickBot="1">
      <c r="A50" s="723">
        <v>44</v>
      </c>
      <c r="B50" s="724" t="s">
        <v>98</v>
      </c>
      <c r="C50" s="725" t="s">
        <v>636</v>
      </c>
      <c r="D50" s="726"/>
      <c r="E50" s="727">
        <v>140000</v>
      </c>
      <c r="F50" s="728"/>
    </row>
    <row r="51" spans="1:8" s="68" customFormat="1" ht="45.75" customHeight="1" thickBot="1">
      <c r="A51" s="723">
        <v>45</v>
      </c>
      <c r="B51" s="724" t="s">
        <v>100</v>
      </c>
      <c r="C51" s="725" t="s">
        <v>636</v>
      </c>
      <c r="D51" s="726"/>
      <c r="E51" s="727">
        <v>20000</v>
      </c>
      <c r="F51" s="728"/>
    </row>
    <row r="52" spans="1:8" s="68" customFormat="1" ht="45.75" customHeight="1" thickBot="1">
      <c r="A52" s="723">
        <v>46</v>
      </c>
      <c r="B52" s="724" t="s">
        <v>210</v>
      </c>
      <c r="C52" s="725" t="s">
        <v>636</v>
      </c>
      <c r="D52" s="726"/>
      <c r="E52" s="727">
        <v>445000</v>
      </c>
      <c r="F52" s="728"/>
    </row>
    <row r="53" spans="1:8" ht="30.75" customHeight="1" thickBot="1">
      <c r="A53" s="694">
        <v>47</v>
      </c>
      <c r="B53" s="383" t="s">
        <v>639</v>
      </c>
      <c r="C53" s="384" t="s">
        <v>636</v>
      </c>
      <c r="D53" s="314"/>
      <c r="E53" s="313">
        <v>10000</v>
      </c>
      <c r="F53" s="449"/>
    </row>
    <row r="54" spans="1:8" s="68" customFormat="1" ht="45.75" customHeight="1" thickBot="1">
      <c r="A54" s="723">
        <v>48</v>
      </c>
      <c r="B54" s="724" t="s">
        <v>96</v>
      </c>
      <c r="C54" s="725" t="s">
        <v>636</v>
      </c>
      <c r="D54" s="726"/>
      <c r="E54" s="727">
        <v>145000</v>
      </c>
      <c r="F54" s="728"/>
      <c r="H54" s="68">
        <v>3675000</v>
      </c>
    </row>
    <row r="55" spans="1:8" ht="45.75" customHeight="1" thickBot="1">
      <c r="A55" s="694">
        <v>49</v>
      </c>
      <c r="B55" s="383" t="s">
        <v>641</v>
      </c>
      <c r="C55" s="384" t="s">
        <v>636</v>
      </c>
      <c r="D55" s="313">
        <v>85000</v>
      </c>
      <c r="E55" s="314"/>
      <c r="F55" s="449"/>
    </row>
    <row r="56" spans="1:8" s="68" customFormat="1" ht="60.75" customHeight="1" thickBot="1">
      <c r="A56" s="723">
        <v>50</v>
      </c>
      <c r="B56" s="724" t="s">
        <v>154</v>
      </c>
      <c r="C56" s="725" t="s">
        <v>636</v>
      </c>
      <c r="D56" s="726"/>
      <c r="E56" s="727">
        <v>75000</v>
      </c>
      <c r="F56" s="728"/>
    </row>
    <row r="57" spans="1:8" ht="45.75" customHeight="1" thickBot="1">
      <c r="A57" s="694">
        <v>51</v>
      </c>
      <c r="B57" s="383" t="s">
        <v>747</v>
      </c>
      <c r="C57" s="384" t="s">
        <v>746</v>
      </c>
      <c r="D57" s="313">
        <v>125000</v>
      </c>
      <c r="E57" s="314"/>
      <c r="F57" s="449"/>
    </row>
    <row r="58" spans="1:8" ht="45.75" customHeight="1" thickBot="1">
      <c r="A58" s="694">
        <v>52</v>
      </c>
      <c r="B58" s="383" t="s">
        <v>660</v>
      </c>
      <c r="C58" s="384" t="s">
        <v>746</v>
      </c>
      <c r="D58" s="313">
        <v>25000</v>
      </c>
      <c r="E58" s="314"/>
      <c r="F58" s="449"/>
    </row>
    <row r="59" spans="1:8" ht="45.75" customHeight="1" thickBot="1">
      <c r="A59" s="694">
        <v>53</v>
      </c>
      <c r="B59" s="383" t="s">
        <v>662</v>
      </c>
      <c r="C59" s="384" t="s">
        <v>746</v>
      </c>
      <c r="D59" s="313">
        <v>25000</v>
      </c>
      <c r="E59" s="314"/>
      <c r="F59" s="449"/>
    </row>
    <row r="60" spans="1:8" ht="45.75" customHeight="1" thickBot="1">
      <c r="A60" s="694">
        <v>54</v>
      </c>
      <c r="B60" s="383" t="s">
        <v>748</v>
      </c>
      <c r="C60" s="384" t="s">
        <v>746</v>
      </c>
      <c r="D60" s="313">
        <v>70000</v>
      </c>
      <c r="E60" s="314"/>
      <c r="F60" s="449"/>
    </row>
    <row r="61" spans="1:8" ht="45.75" customHeight="1" thickBot="1">
      <c r="A61" s="694">
        <v>55</v>
      </c>
      <c r="B61" s="383" t="s">
        <v>664</v>
      </c>
      <c r="C61" s="384" t="s">
        <v>746</v>
      </c>
      <c r="D61" s="314"/>
      <c r="E61" s="313">
        <v>25000</v>
      </c>
      <c r="F61" s="449"/>
    </row>
    <row r="62" spans="1:8" ht="45.75" customHeight="1" thickBot="1">
      <c r="A62" s="694">
        <v>56</v>
      </c>
      <c r="B62" s="383" t="s">
        <v>752</v>
      </c>
      <c r="C62" s="384" t="s">
        <v>746</v>
      </c>
      <c r="D62" s="314"/>
      <c r="E62" s="313">
        <v>70000</v>
      </c>
      <c r="F62" s="449"/>
    </row>
    <row r="63" spans="1:8" ht="30.75" customHeight="1" thickBot="1">
      <c r="A63" s="694">
        <v>57</v>
      </c>
      <c r="B63" s="383" t="s">
        <v>1223</v>
      </c>
      <c r="C63" s="384" t="s">
        <v>756</v>
      </c>
      <c r="D63" s="313">
        <v>30000</v>
      </c>
      <c r="E63" s="314"/>
      <c r="F63" s="449"/>
    </row>
    <row r="64" spans="1:8" s="68" customFormat="1" ht="30.75" customHeight="1" thickBot="1">
      <c r="A64" s="723">
        <v>58</v>
      </c>
      <c r="B64" s="724" t="s">
        <v>144</v>
      </c>
      <c r="C64" s="725" t="s">
        <v>1224</v>
      </c>
      <c r="D64" s="726"/>
      <c r="E64" s="727">
        <v>40000</v>
      </c>
      <c r="F64" s="728"/>
    </row>
    <row r="65" spans="1:6" s="68" customFormat="1" ht="45.75" customHeight="1" thickBot="1">
      <c r="A65" s="723">
        <v>59</v>
      </c>
      <c r="B65" s="724" t="s">
        <v>104</v>
      </c>
      <c r="C65" s="725" t="s">
        <v>774</v>
      </c>
      <c r="D65" s="726"/>
      <c r="E65" s="727">
        <v>30000</v>
      </c>
      <c r="F65" s="728"/>
    </row>
    <row r="66" spans="1:6" s="68" customFormat="1" ht="15.75" thickBot="1">
      <c r="A66" s="723">
        <v>60</v>
      </c>
      <c r="B66" s="724" t="s">
        <v>289</v>
      </c>
      <c r="C66" s="725" t="s">
        <v>646</v>
      </c>
      <c r="D66" s="726"/>
      <c r="E66" s="727">
        <v>200000</v>
      </c>
      <c r="F66" s="728"/>
    </row>
    <row r="67" spans="1:6" ht="15.75" thickBot="1">
      <c r="A67" s="700" t="s">
        <v>758</v>
      </c>
      <c r="B67" s="701"/>
      <c r="C67" s="318"/>
      <c r="D67" s="695">
        <v>2150000</v>
      </c>
      <c r="E67" s="695">
        <v>4015000</v>
      </c>
      <c r="F67" s="696"/>
    </row>
    <row r="68" spans="1:6" ht="15.75" customHeight="1" thickBot="1">
      <c r="A68" s="700" t="s">
        <v>864</v>
      </c>
      <c r="B68" s="701"/>
      <c r="C68" s="318"/>
      <c r="D68" s="702">
        <v>6165000</v>
      </c>
      <c r="E68" s="703"/>
      <c r="F68" s="697"/>
    </row>
    <row r="69" spans="1:6">
      <c r="A69" s="244" t="s">
        <v>1225</v>
      </c>
    </row>
    <row r="70" spans="1:6" ht="15.75">
      <c r="A70" s="245"/>
      <c r="B70" s="247"/>
    </row>
    <row r="71" spans="1:6" ht="110.25" customHeight="1">
      <c r="A71" s="594" t="s">
        <v>111</v>
      </c>
      <c r="B71" s="247" t="s">
        <v>932</v>
      </c>
    </row>
    <row r="72" spans="1:6" ht="82.5">
      <c r="A72" s="594" t="s">
        <v>113</v>
      </c>
      <c r="B72" s="588" t="s">
        <v>114</v>
      </c>
    </row>
    <row r="73" spans="1:6" ht="33">
      <c r="A73" s="588" t="s">
        <v>1167</v>
      </c>
      <c r="B73" s="248"/>
    </row>
    <row r="74" spans="1:6" ht="99">
      <c r="A74" s="588" t="s">
        <v>116</v>
      </c>
      <c r="B74" s="248"/>
    </row>
    <row r="75" spans="1:6" ht="16.5">
      <c r="A75" s="246"/>
      <c r="B75" s="248"/>
    </row>
    <row r="76" spans="1:6" ht="15.75">
      <c r="A76" s="205" t="s">
        <v>678</v>
      </c>
    </row>
    <row r="77" spans="1:6" ht="15.75">
      <c r="A77" s="205" t="s">
        <v>1168</v>
      </c>
    </row>
    <row r="78" spans="1:6" ht="16.5" thickBot="1">
      <c r="A78" s="232" t="s">
        <v>1226</v>
      </c>
    </row>
    <row r="79" spans="1:6" ht="43.5" thickBot="1">
      <c r="A79" s="233" t="s">
        <v>0</v>
      </c>
      <c r="B79" s="234" t="s">
        <v>121</v>
      </c>
      <c r="C79" s="234" t="s">
        <v>632</v>
      </c>
      <c r="D79" s="234" t="s">
        <v>633</v>
      </c>
      <c r="E79" s="235" t="s">
        <v>634</v>
      </c>
    </row>
    <row r="80" spans="1:6" ht="45.75" thickBot="1">
      <c r="A80" s="236">
        <v>1</v>
      </c>
      <c r="B80" s="237" t="s">
        <v>1227</v>
      </c>
      <c r="C80" s="236" t="s">
        <v>1171</v>
      </c>
      <c r="D80" s="238">
        <v>25000</v>
      </c>
      <c r="E80" s="239"/>
    </row>
    <row r="81" spans="1:5" ht="45.75" thickBot="1">
      <c r="A81" s="236">
        <v>2</v>
      </c>
      <c r="B81" s="237" t="s">
        <v>842</v>
      </c>
      <c r="C81" s="236" t="s">
        <v>1171</v>
      </c>
      <c r="D81" s="238">
        <v>15000</v>
      </c>
      <c r="E81" s="239"/>
    </row>
    <row r="82" spans="1:5" ht="45.75" thickBot="1">
      <c r="A82" s="236">
        <v>3</v>
      </c>
      <c r="B82" s="237" t="s">
        <v>1177</v>
      </c>
      <c r="C82" s="236" t="s">
        <v>1171</v>
      </c>
      <c r="D82" s="238">
        <v>15000</v>
      </c>
      <c r="E82" s="239"/>
    </row>
    <row r="83" spans="1:5" ht="45.75" thickBot="1">
      <c r="A83" s="236">
        <v>4</v>
      </c>
      <c r="B83" s="237" t="s">
        <v>1228</v>
      </c>
      <c r="C83" s="236" t="s">
        <v>1171</v>
      </c>
      <c r="D83" s="238">
        <v>15000</v>
      </c>
      <c r="E83" s="239"/>
    </row>
    <row r="84" spans="1:5" ht="45.75" thickBot="1">
      <c r="A84" s="236">
        <v>5</v>
      </c>
      <c r="B84" s="237" t="s">
        <v>1229</v>
      </c>
      <c r="C84" s="236" t="s">
        <v>1171</v>
      </c>
      <c r="D84" s="238">
        <v>15000</v>
      </c>
      <c r="E84" s="239"/>
    </row>
    <row r="85" spans="1:5" ht="30.75" thickBot="1">
      <c r="A85" s="236">
        <v>6</v>
      </c>
      <c r="B85" s="237" t="s">
        <v>768</v>
      </c>
      <c r="C85" s="236" t="s">
        <v>1179</v>
      </c>
      <c r="D85" s="238">
        <v>15000</v>
      </c>
      <c r="E85" s="239"/>
    </row>
    <row r="86" spans="1:5" ht="30.75" thickBot="1">
      <c r="A86" s="236">
        <v>7</v>
      </c>
      <c r="B86" s="237" t="s">
        <v>846</v>
      </c>
      <c r="C86" s="236" t="s">
        <v>1179</v>
      </c>
      <c r="D86" s="238">
        <v>15000</v>
      </c>
      <c r="E86" s="239"/>
    </row>
    <row r="87" spans="1:5" ht="30.75" thickBot="1">
      <c r="A87" s="236">
        <v>8</v>
      </c>
      <c r="B87" s="237" t="s">
        <v>1230</v>
      </c>
      <c r="C87" s="236" t="s">
        <v>1179</v>
      </c>
      <c r="D87" s="238">
        <v>270000</v>
      </c>
      <c r="E87" s="239"/>
    </row>
    <row r="88" spans="1:5" ht="30.75" thickBot="1">
      <c r="A88" s="236">
        <v>9</v>
      </c>
      <c r="B88" s="237" t="s">
        <v>849</v>
      </c>
      <c r="C88" s="236" t="s">
        <v>1179</v>
      </c>
      <c r="D88" s="238">
        <v>15000</v>
      </c>
      <c r="E88" s="239"/>
    </row>
    <row r="89" spans="1:5" ht="30.75" thickBot="1">
      <c r="A89" s="236">
        <v>10</v>
      </c>
      <c r="B89" s="237" t="s">
        <v>1180</v>
      </c>
      <c r="C89" s="236" t="s">
        <v>1179</v>
      </c>
      <c r="D89" s="238">
        <v>15000</v>
      </c>
      <c r="E89" s="239"/>
    </row>
    <row r="90" spans="1:5" ht="45.75" customHeight="1" thickBot="1">
      <c r="A90" s="236">
        <v>11</v>
      </c>
      <c r="B90" s="237" t="s">
        <v>1187</v>
      </c>
      <c r="C90" s="236" t="s">
        <v>1182</v>
      </c>
      <c r="D90" s="238">
        <v>15000</v>
      </c>
      <c r="E90" s="239"/>
    </row>
    <row r="91" spans="1:5" ht="60.75" customHeight="1" thickBot="1">
      <c r="A91" s="236">
        <v>12</v>
      </c>
      <c r="B91" s="237" t="s">
        <v>856</v>
      </c>
      <c r="C91" s="236" t="s">
        <v>1182</v>
      </c>
      <c r="D91" s="238">
        <v>15000</v>
      </c>
      <c r="E91" s="239"/>
    </row>
    <row r="92" spans="1:5" ht="30.75" thickBot="1">
      <c r="A92" s="236">
        <v>13</v>
      </c>
      <c r="B92" s="237" t="s">
        <v>857</v>
      </c>
      <c r="C92" s="236" t="s">
        <v>1182</v>
      </c>
      <c r="D92" s="238">
        <v>15000</v>
      </c>
      <c r="E92" s="239"/>
    </row>
    <row r="93" spans="1:5" ht="30.75" thickBot="1">
      <c r="A93" s="236">
        <v>14</v>
      </c>
      <c r="B93" s="237" t="s">
        <v>1231</v>
      </c>
      <c r="C93" s="236" t="s">
        <v>1182</v>
      </c>
      <c r="D93" s="238">
        <v>30000</v>
      </c>
      <c r="E93" s="239"/>
    </row>
    <row r="94" spans="1:5" ht="30.75" thickBot="1">
      <c r="A94" s="236">
        <v>15</v>
      </c>
      <c r="B94" s="237" t="s">
        <v>1194</v>
      </c>
      <c r="C94" s="236" t="s">
        <v>1182</v>
      </c>
      <c r="D94" s="238">
        <v>15000</v>
      </c>
      <c r="E94" s="239"/>
    </row>
    <row r="95" spans="1:5" ht="30.75" thickBot="1">
      <c r="A95" s="236">
        <v>16</v>
      </c>
      <c r="B95" s="237" t="s">
        <v>861</v>
      </c>
      <c r="C95" s="236" t="s">
        <v>1182</v>
      </c>
      <c r="D95" s="238">
        <v>15000</v>
      </c>
      <c r="E95" s="239"/>
    </row>
    <row r="96" spans="1:5" ht="45.75" customHeight="1" thickBot="1">
      <c r="A96" s="236">
        <v>17</v>
      </c>
      <c r="B96" s="237" t="s">
        <v>1197</v>
      </c>
      <c r="C96" s="236" t="s">
        <v>1198</v>
      </c>
      <c r="D96" s="238">
        <v>15000</v>
      </c>
      <c r="E96" s="239"/>
    </row>
    <row r="97" spans="1:5" ht="45.75" customHeight="1" thickBot="1">
      <c r="A97" s="236">
        <v>18</v>
      </c>
      <c r="B97" s="237" t="s">
        <v>1199</v>
      </c>
      <c r="C97" s="236" t="s">
        <v>1198</v>
      </c>
      <c r="D97" s="238">
        <v>15000</v>
      </c>
      <c r="E97" s="239"/>
    </row>
    <row r="98" spans="1:5" ht="45.75" customHeight="1" thickBot="1">
      <c r="A98" s="236">
        <v>19</v>
      </c>
      <c r="B98" s="237" t="s">
        <v>879</v>
      </c>
      <c r="C98" s="236" t="s">
        <v>1198</v>
      </c>
      <c r="D98" s="238">
        <v>18000</v>
      </c>
      <c r="E98" s="239"/>
    </row>
    <row r="99" spans="1:5" ht="45.75" customHeight="1" thickBot="1">
      <c r="A99" s="236">
        <v>20</v>
      </c>
      <c r="B99" s="237" t="s">
        <v>1232</v>
      </c>
      <c r="C99" s="236" t="s">
        <v>1198</v>
      </c>
      <c r="D99" s="238">
        <v>15000</v>
      </c>
      <c r="E99" s="239"/>
    </row>
    <row r="100" spans="1:5" ht="45.75" customHeight="1" thickBot="1">
      <c r="A100" s="236">
        <v>21</v>
      </c>
      <c r="B100" s="237" t="s">
        <v>1201</v>
      </c>
      <c r="C100" s="236" t="s">
        <v>1198</v>
      </c>
      <c r="D100" s="238">
        <v>18000</v>
      </c>
      <c r="E100" s="239"/>
    </row>
    <row r="101" spans="1:5" ht="45.75" customHeight="1" thickBot="1">
      <c r="A101" s="236">
        <v>22</v>
      </c>
      <c r="B101" s="237" t="s">
        <v>1202</v>
      </c>
      <c r="C101" s="236" t="s">
        <v>1198</v>
      </c>
      <c r="D101" s="238">
        <v>15000</v>
      </c>
      <c r="E101" s="239"/>
    </row>
    <row r="102" spans="1:5" ht="45.75" customHeight="1" thickBot="1">
      <c r="A102" s="236">
        <v>23</v>
      </c>
      <c r="B102" s="237" t="s">
        <v>1203</v>
      </c>
      <c r="C102" s="236" t="s">
        <v>1198</v>
      </c>
      <c r="D102" s="238">
        <v>15000</v>
      </c>
      <c r="E102" s="239"/>
    </row>
    <row r="103" spans="1:5" ht="30.75" thickBot="1">
      <c r="A103" s="236">
        <v>24</v>
      </c>
      <c r="B103" s="237" t="s">
        <v>1205</v>
      </c>
      <c r="C103" s="236" t="s">
        <v>1198</v>
      </c>
      <c r="D103" s="238">
        <v>15000</v>
      </c>
      <c r="E103" s="239"/>
    </row>
    <row r="104" spans="1:5" ht="45.75" customHeight="1" thickBot="1">
      <c r="A104" s="236">
        <v>25</v>
      </c>
      <c r="B104" s="237" t="s">
        <v>1206</v>
      </c>
      <c r="C104" s="236" t="s">
        <v>1198</v>
      </c>
      <c r="D104" s="238">
        <v>15000</v>
      </c>
      <c r="E104" s="239"/>
    </row>
    <row r="105" spans="1:5" ht="45.75" thickBot="1">
      <c r="A105" s="236">
        <v>26</v>
      </c>
      <c r="B105" s="237" t="s">
        <v>1233</v>
      </c>
      <c r="C105" s="236" t="s">
        <v>1234</v>
      </c>
      <c r="D105" s="238">
        <v>15000</v>
      </c>
      <c r="E105" s="239"/>
    </row>
    <row r="106" spans="1:5" ht="15.75" thickBot="1">
      <c r="A106" s="286" t="s">
        <v>758</v>
      </c>
      <c r="B106" s="287"/>
      <c r="C106" s="241"/>
      <c r="D106" s="693">
        <v>676000</v>
      </c>
      <c r="E106" s="243"/>
    </row>
    <row r="107" spans="1:5">
      <c r="A107" s="244" t="s">
        <v>1235</v>
      </c>
    </row>
    <row r="108" spans="1:5">
      <c r="A108" s="245"/>
      <c r="B108" s="513"/>
    </row>
    <row r="109" spans="1:5" ht="99.75" customHeight="1">
      <c r="A109" s="691" t="s">
        <v>111</v>
      </c>
      <c r="B109" s="663" t="s">
        <v>932</v>
      </c>
    </row>
    <row r="110" spans="1:5" ht="60">
      <c r="A110" s="691" t="s">
        <v>113</v>
      </c>
      <c r="B110" s="663" t="s">
        <v>114</v>
      </c>
    </row>
    <row r="111" spans="1:5" ht="28.5">
      <c r="A111" s="663" t="s">
        <v>1167</v>
      </c>
      <c r="B111" s="248"/>
    </row>
    <row r="112" spans="1:5" ht="71.25">
      <c r="A112" s="663" t="s">
        <v>116</v>
      </c>
      <c r="B112" s="248"/>
    </row>
    <row r="113" spans="1:6">
      <c r="A113" s="691"/>
      <c r="B113" s="248"/>
    </row>
    <row r="114" spans="1:6" ht="15.75">
      <c r="A114" s="205" t="s">
        <v>696</v>
      </c>
    </row>
    <row r="115" spans="1:6" ht="15.75">
      <c r="A115" s="205"/>
    </row>
    <row r="116" spans="1:6" ht="15.75">
      <c r="A116" s="205" t="s">
        <v>1212</v>
      </c>
    </row>
    <row r="117" spans="1:6" ht="15.75">
      <c r="A117" s="232" t="s">
        <v>1226</v>
      </c>
    </row>
    <row r="118" spans="1:6" ht="16.5" thickBot="1">
      <c r="A118" s="232"/>
    </row>
    <row r="119" spans="1:6" ht="31.5" customHeight="1" thickBot="1">
      <c r="A119" s="380" t="s">
        <v>0</v>
      </c>
      <c r="B119" s="380" t="s">
        <v>121</v>
      </c>
      <c r="C119" s="380" t="s">
        <v>632</v>
      </c>
      <c r="D119" s="398" t="s">
        <v>894</v>
      </c>
      <c r="E119" s="399"/>
      <c r="F119" s="380" t="s">
        <v>699</v>
      </c>
    </row>
    <row r="120" spans="1:6" ht="16.5" thickBot="1">
      <c r="A120" s="400"/>
      <c r="B120" s="400"/>
      <c r="C120" s="400"/>
      <c r="D120" s="381" t="s">
        <v>828</v>
      </c>
      <c r="E120" s="381" t="s">
        <v>829</v>
      </c>
      <c r="F120" s="400"/>
    </row>
    <row r="121" spans="1:6" s="68" customFormat="1" ht="16.5" thickBot="1">
      <c r="A121" s="735">
        <v>1</v>
      </c>
      <c r="B121" s="736" t="s">
        <v>154</v>
      </c>
      <c r="C121" s="737" t="s">
        <v>717</v>
      </c>
      <c r="D121" s="738"/>
      <c r="E121" s="739">
        <v>6000</v>
      </c>
      <c r="F121" s="738"/>
    </row>
    <row r="122" spans="1:6" s="68" customFormat="1" ht="32.25" customHeight="1" thickBot="1">
      <c r="A122" s="735">
        <v>2</v>
      </c>
      <c r="B122" s="736" t="s">
        <v>98</v>
      </c>
      <c r="C122" s="737" t="s">
        <v>717</v>
      </c>
      <c r="D122" s="738"/>
      <c r="E122" s="739">
        <v>3000</v>
      </c>
      <c r="F122" s="738"/>
    </row>
    <row r="123" spans="1:6" ht="48" customHeight="1" thickBot="1">
      <c r="A123" s="382">
        <v>3</v>
      </c>
      <c r="B123" s="687" t="s">
        <v>681</v>
      </c>
      <c r="C123" s="688" t="s">
        <v>642</v>
      </c>
      <c r="D123" s="386"/>
      <c r="E123" s="689">
        <v>3000</v>
      </c>
      <c r="F123" s="387"/>
    </row>
    <row r="124" spans="1:6" s="68" customFormat="1" ht="48" customHeight="1" thickBot="1">
      <c r="A124" s="735">
        <v>4</v>
      </c>
      <c r="B124" s="736" t="s">
        <v>65</v>
      </c>
      <c r="C124" s="737" t="s">
        <v>646</v>
      </c>
      <c r="D124" s="738"/>
      <c r="E124" s="739">
        <v>9000</v>
      </c>
      <c r="F124" s="738"/>
    </row>
    <row r="125" spans="1:6" s="68" customFormat="1" ht="48" customHeight="1" thickBot="1">
      <c r="A125" s="735">
        <v>5</v>
      </c>
      <c r="B125" s="736" t="s">
        <v>168</v>
      </c>
      <c r="C125" s="737" t="s">
        <v>646</v>
      </c>
      <c r="D125" s="738"/>
      <c r="E125" s="739">
        <v>9000</v>
      </c>
      <c r="F125" s="738"/>
    </row>
    <row r="126" spans="1:6" ht="48" customHeight="1" thickBot="1">
      <c r="A126" s="382">
        <v>6</v>
      </c>
      <c r="B126" s="687" t="s">
        <v>722</v>
      </c>
      <c r="C126" s="688" t="s">
        <v>646</v>
      </c>
      <c r="D126" s="689">
        <v>6000</v>
      </c>
      <c r="E126" s="387"/>
      <c r="F126" s="386"/>
    </row>
    <row r="127" spans="1:6" s="68" customFormat="1" ht="63.75" customHeight="1" thickBot="1">
      <c r="A127" s="735">
        <v>7</v>
      </c>
      <c r="B127" s="736" t="s">
        <v>289</v>
      </c>
      <c r="C127" s="737" t="s">
        <v>646</v>
      </c>
      <c r="D127" s="738"/>
      <c r="E127" s="739">
        <v>3000</v>
      </c>
      <c r="F127" s="740"/>
    </row>
    <row r="128" spans="1:6" ht="48" customHeight="1" thickBot="1">
      <c r="A128" s="382">
        <v>8</v>
      </c>
      <c r="B128" s="687" t="s">
        <v>647</v>
      </c>
      <c r="C128" s="688" t="s">
        <v>646</v>
      </c>
      <c r="D128" s="689">
        <v>3000</v>
      </c>
      <c r="E128" s="386"/>
      <c r="F128" s="387"/>
    </row>
    <row r="129" spans="1:6" s="68" customFormat="1" ht="48" customHeight="1" thickBot="1">
      <c r="A129" s="735">
        <v>9</v>
      </c>
      <c r="B129" s="736" t="s">
        <v>205</v>
      </c>
      <c r="C129" s="737" t="s">
        <v>649</v>
      </c>
      <c r="D129" s="738"/>
      <c r="E129" s="739">
        <v>3000</v>
      </c>
      <c r="F129" s="738"/>
    </row>
    <row r="130" spans="1:6" ht="48" customHeight="1" thickBot="1">
      <c r="A130" s="382">
        <v>10</v>
      </c>
      <c r="B130" s="687" t="s">
        <v>685</v>
      </c>
      <c r="C130" s="688" t="s">
        <v>649</v>
      </c>
      <c r="D130" s="689">
        <v>3000</v>
      </c>
      <c r="E130" s="386"/>
      <c r="F130" s="387"/>
    </row>
    <row r="131" spans="1:6" s="68" customFormat="1" ht="32.25" customHeight="1" thickBot="1">
      <c r="A131" s="735">
        <v>11</v>
      </c>
      <c r="B131" s="736" t="s">
        <v>91</v>
      </c>
      <c r="C131" s="737" t="s">
        <v>650</v>
      </c>
      <c r="D131" s="738"/>
      <c r="E131" s="739">
        <v>36000</v>
      </c>
      <c r="F131" s="740"/>
    </row>
    <row r="132" spans="1:6" ht="32.25" customHeight="1" thickBot="1">
      <c r="A132" s="382">
        <v>12</v>
      </c>
      <c r="B132" s="687" t="s">
        <v>651</v>
      </c>
      <c r="C132" s="688" t="s">
        <v>650</v>
      </c>
      <c r="D132" s="689">
        <v>15000</v>
      </c>
      <c r="E132" s="386"/>
      <c r="F132" s="387"/>
    </row>
    <row r="133" spans="1:6" ht="48" customHeight="1" thickBot="1">
      <c r="A133" s="382">
        <v>13</v>
      </c>
      <c r="B133" s="687" t="s">
        <v>728</v>
      </c>
      <c r="C133" s="688" t="s">
        <v>650</v>
      </c>
      <c r="D133" s="689">
        <v>6000</v>
      </c>
      <c r="E133" s="386"/>
      <c r="F133" s="387"/>
    </row>
    <row r="134" spans="1:6" ht="48" customHeight="1" thickBot="1">
      <c r="A134" s="382">
        <v>14</v>
      </c>
      <c r="B134" s="687" t="s">
        <v>727</v>
      </c>
      <c r="C134" s="688" t="s">
        <v>650</v>
      </c>
      <c r="D134" s="689">
        <v>6000</v>
      </c>
      <c r="E134" s="386"/>
      <c r="F134" s="387"/>
    </row>
    <row r="135" spans="1:6" s="68" customFormat="1" ht="63.75" customHeight="1" thickBot="1">
      <c r="A135" s="735">
        <v>15</v>
      </c>
      <c r="B135" s="736" t="s">
        <v>89</v>
      </c>
      <c r="C135" s="737" t="s">
        <v>650</v>
      </c>
      <c r="D135" s="738"/>
      <c r="E135" s="739">
        <v>3000</v>
      </c>
      <c r="F135" s="740"/>
    </row>
    <row r="136" spans="1:6" ht="32.25" customHeight="1" thickBot="1">
      <c r="A136" s="382">
        <v>16</v>
      </c>
      <c r="B136" s="687" t="s">
        <v>688</v>
      </c>
      <c r="C136" s="688" t="s">
        <v>650</v>
      </c>
      <c r="D136" s="689">
        <v>3000</v>
      </c>
      <c r="E136" s="387"/>
      <c r="F136" s="387"/>
    </row>
    <row r="137" spans="1:6" s="68" customFormat="1" ht="48" customHeight="1" thickBot="1">
      <c r="A137" s="735">
        <v>17</v>
      </c>
      <c r="B137" s="736" t="s">
        <v>269</v>
      </c>
      <c r="C137" s="737" t="s">
        <v>650</v>
      </c>
      <c r="D137" s="738"/>
      <c r="E137" s="739">
        <v>3000</v>
      </c>
      <c r="F137" s="740"/>
    </row>
    <row r="138" spans="1:6" ht="48" customHeight="1" thickBot="1">
      <c r="A138" s="382">
        <v>18</v>
      </c>
      <c r="B138" s="687" t="s">
        <v>657</v>
      </c>
      <c r="C138" s="688" t="s">
        <v>653</v>
      </c>
      <c r="D138" s="386"/>
      <c r="E138" s="689">
        <v>6000</v>
      </c>
      <c r="F138" s="387"/>
    </row>
    <row r="139" spans="1:6" s="68" customFormat="1" ht="32.25" customHeight="1" thickBot="1">
      <c r="A139" s="735">
        <v>19</v>
      </c>
      <c r="B139" s="736" t="s">
        <v>146</v>
      </c>
      <c r="C139" s="737" t="s">
        <v>653</v>
      </c>
      <c r="D139" s="738"/>
      <c r="E139" s="739">
        <v>18000</v>
      </c>
      <c r="F139" s="740"/>
    </row>
    <row r="140" spans="1:6" s="68" customFormat="1" ht="32.25" customHeight="1" thickBot="1">
      <c r="A140" s="735">
        <v>20</v>
      </c>
      <c r="B140" s="736" t="s">
        <v>46</v>
      </c>
      <c r="C140" s="737" t="s">
        <v>653</v>
      </c>
      <c r="D140" s="738"/>
      <c r="E140" s="739">
        <v>3000</v>
      </c>
      <c r="F140" s="740"/>
    </row>
    <row r="141" spans="1:6" ht="32.25" customHeight="1" thickBot="1">
      <c r="A141" s="382">
        <v>21</v>
      </c>
      <c r="B141" s="687" t="s">
        <v>658</v>
      </c>
      <c r="C141" s="688" t="s">
        <v>653</v>
      </c>
      <c r="D141" s="689">
        <v>3000</v>
      </c>
      <c r="E141" s="386"/>
      <c r="F141" s="387"/>
    </row>
    <row r="142" spans="1:6" ht="32.25" customHeight="1" thickBot="1">
      <c r="A142" s="382">
        <v>22</v>
      </c>
      <c r="B142" s="687" t="s">
        <v>659</v>
      </c>
      <c r="C142" s="688" t="s">
        <v>653</v>
      </c>
      <c r="D142" s="689">
        <v>3000</v>
      </c>
      <c r="E142" s="386"/>
      <c r="F142" s="387"/>
    </row>
    <row r="143" spans="1:6" s="68" customFormat="1" ht="32.25" customHeight="1" thickBot="1">
      <c r="A143" s="735">
        <v>23</v>
      </c>
      <c r="B143" s="736" t="s">
        <v>147</v>
      </c>
      <c r="C143" s="737" t="s">
        <v>653</v>
      </c>
      <c r="D143" s="738"/>
      <c r="E143" s="739">
        <v>3000</v>
      </c>
      <c r="F143" s="740"/>
    </row>
    <row r="144" spans="1:6" ht="48" customHeight="1" thickBot="1">
      <c r="A144" s="382">
        <v>24</v>
      </c>
      <c r="B144" s="687" t="s">
        <v>656</v>
      </c>
      <c r="C144" s="688" t="s">
        <v>653</v>
      </c>
      <c r="D144" s="689">
        <v>3000</v>
      </c>
      <c r="E144" s="386"/>
      <c r="F144" s="387"/>
    </row>
    <row r="145" spans="1:6" s="68" customFormat="1" ht="48" customHeight="1" thickBot="1">
      <c r="A145" s="735">
        <v>25</v>
      </c>
      <c r="B145" s="736" t="s">
        <v>50</v>
      </c>
      <c r="C145" s="737" t="s">
        <v>653</v>
      </c>
      <c r="D145" s="738"/>
      <c r="E145" s="739">
        <v>3000</v>
      </c>
      <c r="F145" s="740"/>
    </row>
    <row r="146" spans="1:6" s="68" customFormat="1" ht="48" customHeight="1" thickBot="1">
      <c r="A146" s="735">
        <v>26</v>
      </c>
      <c r="B146" s="736" t="s">
        <v>60</v>
      </c>
      <c r="C146" s="737" t="s">
        <v>653</v>
      </c>
      <c r="D146" s="738"/>
      <c r="E146" s="739">
        <v>3000</v>
      </c>
      <c r="F146" s="740"/>
    </row>
    <row r="147" spans="1:6" ht="48" customHeight="1" thickBot="1">
      <c r="A147" s="382">
        <v>27</v>
      </c>
      <c r="B147" s="687" t="s">
        <v>732</v>
      </c>
      <c r="C147" s="688" t="s">
        <v>668</v>
      </c>
      <c r="D147" s="689">
        <v>30000</v>
      </c>
      <c r="E147" s="387"/>
      <c r="F147" s="387"/>
    </row>
    <row r="148" spans="1:6" ht="63.75" customHeight="1" thickBot="1">
      <c r="A148" s="382">
        <v>28</v>
      </c>
      <c r="B148" s="687" t="s">
        <v>692</v>
      </c>
      <c r="C148" s="688" t="s">
        <v>668</v>
      </c>
      <c r="D148" s="689">
        <v>24000</v>
      </c>
      <c r="E148" s="386"/>
      <c r="F148" s="387"/>
    </row>
    <row r="149" spans="1:6" s="68" customFormat="1" ht="48" customHeight="1" thickBot="1">
      <c r="A149" s="735">
        <v>29</v>
      </c>
      <c r="B149" s="736" t="s">
        <v>262</v>
      </c>
      <c r="C149" s="737" t="s">
        <v>668</v>
      </c>
      <c r="D149" s="738"/>
      <c r="E149" s="739">
        <v>21000</v>
      </c>
      <c r="F149" s="740"/>
    </row>
    <row r="150" spans="1:6" ht="48" customHeight="1" thickBot="1">
      <c r="A150" s="382">
        <v>30</v>
      </c>
      <c r="B150" s="687" t="s">
        <v>670</v>
      </c>
      <c r="C150" s="688" t="s">
        <v>668</v>
      </c>
      <c r="D150" s="689">
        <v>6000</v>
      </c>
      <c r="E150" s="386"/>
      <c r="F150" s="387"/>
    </row>
    <row r="151" spans="1:6" ht="48" customHeight="1" thickBot="1">
      <c r="A151" s="382">
        <v>31</v>
      </c>
      <c r="B151" s="687" t="s">
        <v>671</v>
      </c>
      <c r="C151" s="688" t="s">
        <v>668</v>
      </c>
      <c r="D151" s="689">
        <v>9000</v>
      </c>
      <c r="E151" s="386"/>
      <c r="F151" s="387"/>
    </row>
    <row r="152" spans="1:6" ht="48" customHeight="1" thickBot="1">
      <c r="A152" s="382">
        <v>32</v>
      </c>
      <c r="B152" s="687" t="s">
        <v>672</v>
      </c>
      <c r="C152" s="688" t="s">
        <v>668</v>
      </c>
      <c r="D152" s="689">
        <v>3000</v>
      </c>
      <c r="E152" s="386"/>
      <c r="F152" s="387"/>
    </row>
    <row r="153" spans="1:6" s="68" customFormat="1" ht="48" customHeight="1" thickBot="1">
      <c r="A153" s="735">
        <v>33</v>
      </c>
      <c r="B153" s="736" t="s">
        <v>39</v>
      </c>
      <c r="C153" s="737" t="s">
        <v>668</v>
      </c>
      <c r="D153" s="738"/>
      <c r="E153" s="739">
        <v>6000</v>
      </c>
      <c r="F153" s="740"/>
    </row>
    <row r="154" spans="1:6" s="68" customFormat="1" ht="48" customHeight="1" thickBot="1">
      <c r="A154" s="735">
        <v>34</v>
      </c>
      <c r="B154" s="736" t="s">
        <v>25</v>
      </c>
      <c r="C154" s="737" t="s">
        <v>668</v>
      </c>
      <c r="D154" s="738"/>
      <c r="E154" s="739">
        <v>6000</v>
      </c>
      <c r="F154" s="740"/>
    </row>
    <row r="155" spans="1:6" ht="32.25" customHeight="1" thickBot="1">
      <c r="A155" s="382">
        <v>35</v>
      </c>
      <c r="B155" s="687" t="s">
        <v>693</v>
      </c>
      <c r="C155" s="688" t="s">
        <v>668</v>
      </c>
      <c r="D155" s="689">
        <v>6000</v>
      </c>
      <c r="E155" s="387"/>
      <c r="F155" s="387"/>
    </row>
    <row r="156" spans="1:6" s="68" customFormat="1" ht="63.75" customHeight="1" thickBot="1">
      <c r="A156" s="735">
        <v>36</v>
      </c>
      <c r="B156" s="736" t="s">
        <v>435</v>
      </c>
      <c r="C156" s="737" t="s">
        <v>668</v>
      </c>
      <c r="D156" s="738"/>
      <c r="E156" s="739">
        <v>3000</v>
      </c>
      <c r="F156" s="740"/>
    </row>
    <row r="157" spans="1:6" s="68" customFormat="1" ht="32.25" customHeight="1" thickBot="1">
      <c r="A157" s="735">
        <v>37</v>
      </c>
      <c r="B157" s="736" t="s">
        <v>29</v>
      </c>
      <c r="C157" s="737" t="s">
        <v>668</v>
      </c>
      <c r="D157" s="738"/>
      <c r="E157" s="739">
        <v>3000</v>
      </c>
      <c r="F157" s="740"/>
    </row>
    <row r="158" spans="1:6" s="68" customFormat="1" ht="48" customHeight="1" thickBot="1">
      <c r="A158" s="735">
        <v>38</v>
      </c>
      <c r="B158" s="736" t="s">
        <v>31</v>
      </c>
      <c r="C158" s="737" t="s">
        <v>668</v>
      </c>
      <c r="D158" s="738"/>
      <c r="E158" s="739">
        <v>3000</v>
      </c>
      <c r="F158" s="740"/>
    </row>
    <row r="159" spans="1:6" s="68" customFormat="1" ht="32.25" customHeight="1" thickBot="1">
      <c r="A159" s="735">
        <v>39</v>
      </c>
      <c r="B159" s="736" t="s">
        <v>149</v>
      </c>
      <c r="C159" s="737" t="s">
        <v>674</v>
      </c>
      <c r="D159" s="738"/>
      <c r="E159" s="739">
        <v>42000</v>
      </c>
      <c r="F159" s="740"/>
    </row>
    <row r="160" spans="1:6" ht="48" customHeight="1" thickBot="1">
      <c r="A160" s="382">
        <v>40</v>
      </c>
      <c r="B160" s="687" t="s">
        <v>675</v>
      </c>
      <c r="C160" s="688" t="s">
        <v>674</v>
      </c>
      <c r="D160" s="689">
        <v>42000</v>
      </c>
      <c r="E160" s="386"/>
      <c r="F160" s="387"/>
    </row>
    <row r="161" spans="1:6" s="68" customFormat="1" ht="48" customHeight="1" thickBot="1">
      <c r="A161" s="735">
        <v>41</v>
      </c>
      <c r="B161" s="736" t="s">
        <v>182</v>
      </c>
      <c r="C161" s="737" t="s">
        <v>674</v>
      </c>
      <c r="D161" s="738"/>
      <c r="E161" s="739">
        <v>9000</v>
      </c>
      <c r="F161" s="740"/>
    </row>
    <row r="162" spans="1:6" ht="48" customHeight="1" thickBot="1">
      <c r="A162" s="382">
        <v>42</v>
      </c>
      <c r="B162" s="687" t="s">
        <v>1236</v>
      </c>
      <c r="C162" s="688" t="s">
        <v>774</v>
      </c>
      <c r="D162" s="689">
        <v>15000</v>
      </c>
      <c r="E162" s="386"/>
      <c r="F162" s="387"/>
    </row>
    <row r="163" spans="1:6" ht="48" customHeight="1" thickBot="1">
      <c r="A163" s="382">
        <v>43</v>
      </c>
      <c r="B163" s="687" t="s">
        <v>660</v>
      </c>
      <c r="C163" s="688" t="s">
        <v>661</v>
      </c>
      <c r="D163" s="689">
        <v>9000</v>
      </c>
      <c r="E163" s="386"/>
      <c r="F163" s="690"/>
    </row>
    <row r="164" spans="1:6" ht="16.5" thickBot="1">
      <c r="A164" s="382">
        <v>44</v>
      </c>
      <c r="B164" s="687" t="s">
        <v>747</v>
      </c>
      <c r="C164" s="688" t="s">
        <v>661</v>
      </c>
      <c r="D164" s="689">
        <v>3000</v>
      </c>
      <c r="E164" s="386"/>
      <c r="F164" s="387"/>
    </row>
    <row r="165" spans="1:6" ht="16.5" thickBot="1">
      <c r="A165" s="401" t="s">
        <v>758</v>
      </c>
      <c r="B165" s="402"/>
      <c r="C165" s="336"/>
      <c r="D165" s="388">
        <v>198000</v>
      </c>
      <c r="E165" s="388">
        <v>207000</v>
      </c>
      <c r="F165" s="389"/>
    </row>
    <row r="166" spans="1:6" ht="16.5" customHeight="1" thickBot="1">
      <c r="A166" s="401" t="s">
        <v>864</v>
      </c>
      <c r="B166" s="402"/>
      <c r="C166" s="336"/>
      <c r="D166" s="403">
        <v>405000</v>
      </c>
      <c r="E166" s="404"/>
      <c r="F166" s="390"/>
    </row>
    <row r="167" spans="1:6" ht="15.75">
      <c r="A167" s="365" t="s">
        <v>1237</v>
      </c>
    </row>
    <row r="168" spans="1:6">
      <c r="A168" s="244"/>
    </row>
    <row r="169" spans="1:6">
      <c r="A169" s="244"/>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3"/>
  <sheetViews>
    <sheetView topLeftCell="A31" workbookViewId="0">
      <selection activeCell="D19" sqref="D19"/>
    </sheetView>
  </sheetViews>
  <sheetFormatPr defaultRowHeight="15"/>
  <cols>
    <col min="2" max="3" width="17.42578125" customWidth="1"/>
    <col min="4" max="4" width="16" customWidth="1"/>
    <col min="5" max="5" width="19.85546875" style="776" customWidth="1"/>
    <col min="8" max="8" width="11.5703125" bestFit="1" customWidth="1"/>
  </cols>
  <sheetData>
    <row r="1" spans="1:6" ht="16.5">
      <c r="A1" s="324" t="s">
        <v>868</v>
      </c>
    </row>
    <row r="2" spans="1:6">
      <c r="A2" s="331"/>
    </row>
    <row r="3" spans="1:6" ht="15.75">
      <c r="A3" s="295" t="s">
        <v>630</v>
      </c>
    </row>
    <row r="4" spans="1:6" ht="15.75">
      <c r="A4" s="296" t="s">
        <v>1238</v>
      </c>
    </row>
    <row r="5" spans="1:6" ht="17.25" thickBot="1">
      <c r="A5" s="297"/>
    </row>
    <row r="6" spans="1:6" ht="28.5" customHeight="1" thickBot="1">
      <c r="A6" s="353" t="s">
        <v>0</v>
      </c>
      <c r="B6" s="353" t="s">
        <v>121</v>
      </c>
      <c r="C6" s="353" t="s">
        <v>632</v>
      </c>
      <c r="D6" s="325" t="s">
        <v>633</v>
      </c>
      <c r="E6" s="777"/>
      <c r="F6" s="353" t="s">
        <v>634</v>
      </c>
    </row>
    <row r="7" spans="1:6" ht="17.25" thickBot="1">
      <c r="A7" s="355"/>
      <c r="B7" s="355"/>
      <c r="C7" s="355"/>
      <c r="D7" s="299" t="s">
        <v>739</v>
      </c>
      <c r="E7" s="778" t="s">
        <v>740</v>
      </c>
      <c r="F7" s="355"/>
    </row>
    <row r="8" spans="1:6" ht="32.25" thickBot="1">
      <c r="A8" s="255">
        <v>1</v>
      </c>
      <c r="B8" s="256" t="s">
        <v>39</v>
      </c>
      <c r="C8" s="255" t="s">
        <v>668</v>
      </c>
      <c r="D8" s="413"/>
      <c r="E8" s="779">
        <v>1200300</v>
      </c>
      <c r="F8" s="258"/>
    </row>
    <row r="9" spans="1:6" ht="16.5" thickBot="1">
      <c r="A9" s="255">
        <v>2</v>
      </c>
      <c r="B9" s="256" t="s">
        <v>29</v>
      </c>
      <c r="C9" s="255" t="s">
        <v>668</v>
      </c>
      <c r="D9" s="413"/>
      <c r="E9" s="779">
        <v>881400</v>
      </c>
      <c r="F9" s="258"/>
    </row>
    <row r="10" spans="1:6" ht="16.5" thickBot="1">
      <c r="A10" s="255">
        <v>3</v>
      </c>
      <c r="B10" s="256" t="s">
        <v>31</v>
      </c>
      <c r="C10" s="255" t="s">
        <v>668</v>
      </c>
      <c r="D10" s="413"/>
      <c r="E10" s="779">
        <v>497640</v>
      </c>
      <c r="F10" s="258"/>
    </row>
    <row r="11" spans="1:6" ht="32.25" thickBot="1">
      <c r="A11" s="255">
        <v>4</v>
      </c>
      <c r="B11" s="256" t="s">
        <v>213</v>
      </c>
      <c r="C11" s="255" t="s">
        <v>668</v>
      </c>
      <c r="D11" s="413"/>
      <c r="E11" s="779">
        <v>321800</v>
      </c>
      <c r="F11" s="258"/>
    </row>
    <row r="12" spans="1:6" ht="32.25" thickBot="1">
      <c r="A12" s="255">
        <v>5</v>
      </c>
      <c r="B12" s="256" t="s">
        <v>262</v>
      </c>
      <c r="C12" s="255" t="s">
        <v>668</v>
      </c>
      <c r="D12" s="413"/>
      <c r="E12" s="779">
        <v>503040</v>
      </c>
      <c r="F12" s="258"/>
    </row>
    <row r="13" spans="1:6" ht="32.25" thickBot="1">
      <c r="A13" s="255">
        <v>6</v>
      </c>
      <c r="B13" s="256" t="s">
        <v>435</v>
      </c>
      <c r="C13" s="255" t="s">
        <v>668</v>
      </c>
      <c r="D13" s="413"/>
      <c r="E13" s="779">
        <v>431280</v>
      </c>
      <c r="F13" s="258"/>
    </row>
    <row r="14" spans="1:6" ht="16.5" thickBot="1">
      <c r="A14" s="255">
        <v>7</v>
      </c>
      <c r="B14" s="256" t="s">
        <v>295</v>
      </c>
      <c r="C14" s="255" t="s">
        <v>668</v>
      </c>
      <c r="D14" s="413"/>
      <c r="E14" s="779">
        <v>408240</v>
      </c>
      <c r="F14" s="258"/>
    </row>
    <row r="15" spans="1:6" ht="32.25" thickBot="1">
      <c r="A15" s="255">
        <v>8</v>
      </c>
      <c r="B15" s="256" t="s">
        <v>52</v>
      </c>
      <c r="C15" s="255" t="s">
        <v>653</v>
      </c>
      <c r="D15" s="413"/>
      <c r="E15" s="779">
        <v>406800</v>
      </c>
      <c r="F15" s="258"/>
    </row>
    <row r="16" spans="1:6" ht="32.25" thickBot="1">
      <c r="A16" s="255">
        <v>9</v>
      </c>
      <c r="B16" s="256" t="s">
        <v>50</v>
      </c>
      <c r="C16" s="255" t="s">
        <v>653</v>
      </c>
      <c r="D16" s="413"/>
      <c r="E16" s="779">
        <v>1244400</v>
      </c>
      <c r="F16" s="258"/>
    </row>
    <row r="17" spans="1:6" ht="16.5" thickBot="1">
      <c r="A17" s="255">
        <v>10</v>
      </c>
      <c r="B17" s="256" t="s">
        <v>742</v>
      </c>
      <c r="C17" s="255" t="s">
        <v>674</v>
      </c>
      <c r="D17" s="257">
        <v>1169280</v>
      </c>
      <c r="E17" s="780"/>
      <c r="F17" s="258"/>
    </row>
    <row r="18" spans="1:6" ht="32.25" thickBot="1">
      <c r="A18" s="255">
        <v>11</v>
      </c>
      <c r="B18" s="256" t="s">
        <v>685</v>
      </c>
      <c r="C18" s="255" t="s">
        <v>649</v>
      </c>
      <c r="D18" s="257">
        <v>230000</v>
      </c>
      <c r="E18" s="780"/>
      <c r="F18" s="258"/>
    </row>
    <row r="19" spans="1:6" ht="16.5" thickBot="1">
      <c r="A19" s="255">
        <v>12</v>
      </c>
      <c r="B19" s="256" t="s">
        <v>187</v>
      </c>
      <c r="C19" s="255" t="s">
        <v>649</v>
      </c>
      <c r="D19" s="413"/>
      <c r="E19" s="779">
        <v>808500</v>
      </c>
      <c r="F19" s="258"/>
    </row>
    <row r="20" spans="1:6" ht="16.5" thickBot="1">
      <c r="A20" s="255">
        <v>13</v>
      </c>
      <c r="B20" s="256" t="s">
        <v>91</v>
      </c>
      <c r="C20" s="255" t="s">
        <v>650</v>
      </c>
      <c r="D20" s="413"/>
      <c r="E20" s="779">
        <v>319000</v>
      </c>
      <c r="F20" s="258"/>
    </row>
    <row r="21" spans="1:6" ht="16.5" thickBot="1">
      <c r="A21" s="255">
        <v>14</v>
      </c>
      <c r="B21" s="256" t="s">
        <v>727</v>
      </c>
      <c r="C21" s="255" t="s">
        <v>650</v>
      </c>
      <c r="D21" s="257">
        <v>851000</v>
      </c>
      <c r="E21" s="780"/>
      <c r="F21" s="258"/>
    </row>
    <row r="22" spans="1:6" ht="16.5" thickBot="1">
      <c r="A22" s="255">
        <v>15</v>
      </c>
      <c r="B22" s="256" t="s">
        <v>728</v>
      </c>
      <c r="C22" s="255" t="s">
        <v>650</v>
      </c>
      <c r="D22" s="257">
        <v>1788000</v>
      </c>
      <c r="E22" s="780"/>
      <c r="F22" s="258"/>
    </row>
    <row r="23" spans="1:6" ht="32.25" thickBot="1">
      <c r="A23" s="255">
        <v>16</v>
      </c>
      <c r="B23" s="256" t="s">
        <v>86</v>
      </c>
      <c r="C23" s="255" t="s">
        <v>642</v>
      </c>
      <c r="D23" s="413"/>
      <c r="E23" s="779">
        <v>324600</v>
      </c>
      <c r="F23" s="258"/>
    </row>
    <row r="24" spans="1:6" ht="32.25" thickBot="1">
      <c r="A24" s="255">
        <v>17</v>
      </c>
      <c r="B24" s="256" t="s">
        <v>715</v>
      </c>
      <c r="C24" s="255" t="s">
        <v>642</v>
      </c>
      <c r="D24" s="257">
        <v>869900</v>
      </c>
      <c r="E24" s="780"/>
      <c r="F24" s="258"/>
    </row>
    <row r="25" spans="1:6" ht="16.5" thickBot="1">
      <c r="A25" s="255">
        <v>18</v>
      </c>
      <c r="B25" s="256" t="s">
        <v>98</v>
      </c>
      <c r="C25" s="255" t="s">
        <v>636</v>
      </c>
      <c r="D25" s="413"/>
      <c r="E25" s="779">
        <v>437760</v>
      </c>
      <c r="F25" s="258"/>
    </row>
    <row r="26" spans="1:6" ht="32.25" thickBot="1">
      <c r="A26" s="255">
        <v>19</v>
      </c>
      <c r="B26" s="256" t="s">
        <v>19</v>
      </c>
      <c r="C26" s="255" t="s">
        <v>636</v>
      </c>
      <c r="D26" s="413"/>
      <c r="E26" s="779">
        <v>330800</v>
      </c>
      <c r="F26" s="258"/>
    </row>
    <row r="27" spans="1:6" ht="32.25" thickBot="1">
      <c r="A27" s="255">
        <v>20</v>
      </c>
      <c r="B27" s="256" t="s">
        <v>210</v>
      </c>
      <c r="C27" s="255" t="s">
        <v>636</v>
      </c>
      <c r="D27" s="413"/>
      <c r="E27" s="779">
        <v>377900</v>
      </c>
      <c r="F27" s="258"/>
    </row>
    <row r="28" spans="1:6" ht="32.25" thickBot="1">
      <c r="A28" s="255">
        <v>21</v>
      </c>
      <c r="B28" s="256" t="s">
        <v>106</v>
      </c>
      <c r="C28" s="255" t="s">
        <v>636</v>
      </c>
      <c r="D28" s="413"/>
      <c r="E28" s="779">
        <v>735750</v>
      </c>
      <c r="F28" s="258"/>
    </row>
    <row r="29" spans="1:6" ht="32.25" thickBot="1">
      <c r="A29" s="255">
        <v>22</v>
      </c>
      <c r="B29" s="256" t="s">
        <v>638</v>
      </c>
      <c r="C29" s="255" t="s">
        <v>636</v>
      </c>
      <c r="D29" s="257">
        <v>1247880</v>
      </c>
      <c r="E29" s="780"/>
      <c r="F29" s="258"/>
    </row>
    <row r="30" spans="1:6" ht="32.25" thickBot="1">
      <c r="A30" s="255">
        <v>23</v>
      </c>
      <c r="B30" s="256" t="s">
        <v>154</v>
      </c>
      <c r="C30" s="255" t="s">
        <v>636</v>
      </c>
      <c r="D30" s="413" t="s">
        <v>1239</v>
      </c>
      <c r="E30" s="779">
        <v>2806050</v>
      </c>
      <c r="F30" s="258"/>
    </row>
    <row r="31" spans="1:6" ht="16.5" thickBot="1">
      <c r="A31" s="742">
        <v>24</v>
      </c>
      <c r="B31" s="743" t="s">
        <v>744</v>
      </c>
      <c r="C31" s="742" t="s">
        <v>636</v>
      </c>
      <c r="D31" s="744">
        <v>1706250</v>
      </c>
      <c r="E31" s="781"/>
      <c r="F31" s="745"/>
    </row>
    <row r="32" spans="1:6" ht="16.5" thickBot="1">
      <c r="A32" s="746">
        <v>25</v>
      </c>
      <c r="B32" s="687" t="s">
        <v>745</v>
      </c>
      <c r="C32" s="688" t="s">
        <v>746</v>
      </c>
      <c r="D32" s="689">
        <v>146600</v>
      </c>
      <c r="E32" s="782"/>
      <c r="F32" s="386"/>
    </row>
    <row r="33" spans="1:6" ht="32.25" thickBot="1">
      <c r="A33" s="746">
        <v>26</v>
      </c>
      <c r="B33" s="687" t="s">
        <v>662</v>
      </c>
      <c r="C33" s="688" t="s">
        <v>746</v>
      </c>
      <c r="D33" s="689">
        <v>154800</v>
      </c>
      <c r="E33" s="782"/>
      <c r="F33" s="386"/>
    </row>
    <row r="34" spans="1:6" ht="32.25" thickBot="1">
      <c r="A34" s="746">
        <v>27</v>
      </c>
      <c r="B34" s="687" t="s">
        <v>748</v>
      </c>
      <c r="C34" s="688" t="s">
        <v>746</v>
      </c>
      <c r="D34" s="689">
        <v>71600</v>
      </c>
      <c r="E34" s="782"/>
      <c r="F34" s="386"/>
    </row>
    <row r="35" spans="1:6" ht="32.25" thickBot="1">
      <c r="A35" s="255">
        <v>28</v>
      </c>
      <c r="B35" s="256" t="s">
        <v>663</v>
      </c>
      <c r="C35" s="255" t="s">
        <v>746</v>
      </c>
      <c r="D35" s="413"/>
      <c r="E35" s="779">
        <v>754000</v>
      </c>
      <c r="F35" s="258"/>
    </row>
    <row r="36" spans="1:6" ht="32.25" thickBot="1">
      <c r="A36" s="255">
        <v>29</v>
      </c>
      <c r="B36" s="256" t="s">
        <v>664</v>
      </c>
      <c r="C36" s="255" t="s">
        <v>746</v>
      </c>
      <c r="D36" s="413"/>
      <c r="E36" s="779">
        <v>705500</v>
      </c>
      <c r="F36" s="258"/>
    </row>
    <row r="37" spans="1:6" ht="16.5" thickBot="1">
      <c r="A37" s="255">
        <v>30</v>
      </c>
      <c r="B37" s="256" t="s">
        <v>665</v>
      </c>
      <c r="C37" s="255" t="s">
        <v>746</v>
      </c>
      <c r="D37" s="413"/>
      <c r="E37" s="779">
        <v>416800</v>
      </c>
      <c r="F37" s="258"/>
    </row>
    <row r="38" spans="1:6" ht="16.5" thickBot="1">
      <c r="A38" s="255">
        <v>31</v>
      </c>
      <c r="B38" s="256" t="s">
        <v>750</v>
      </c>
      <c r="C38" s="255" t="s">
        <v>746</v>
      </c>
      <c r="D38" s="413"/>
      <c r="E38" s="779">
        <v>73500</v>
      </c>
      <c r="F38" s="258"/>
    </row>
    <row r="39" spans="1:6" ht="16.5" thickBot="1">
      <c r="A39" s="255">
        <v>32</v>
      </c>
      <c r="B39" s="256" t="s">
        <v>752</v>
      </c>
      <c r="C39" s="255" t="s">
        <v>746</v>
      </c>
      <c r="D39" s="413"/>
      <c r="E39" s="779">
        <v>76300</v>
      </c>
      <c r="F39" s="258"/>
    </row>
    <row r="40" spans="1:6" ht="16.5" thickBot="1">
      <c r="A40" s="360" t="s">
        <v>676</v>
      </c>
      <c r="B40" s="361"/>
      <c r="C40" s="747"/>
      <c r="D40" s="748">
        <v>8235310</v>
      </c>
      <c r="E40" s="783">
        <v>14061360</v>
      </c>
      <c r="F40" s="337"/>
    </row>
    <row r="41" spans="1:6" ht="16.5" customHeight="1" thickBot="1">
      <c r="A41" s="360" t="s">
        <v>753</v>
      </c>
      <c r="B41" s="361"/>
      <c r="C41" s="336"/>
      <c r="D41" s="773">
        <v>22296670</v>
      </c>
      <c r="E41" s="784"/>
      <c r="F41" s="337"/>
    </row>
    <row r="42" spans="1:6" ht="15.75">
      <c r="A42" s="338" t="s">
        <v>1240</v>
      </c>
    </row>
    <row r="43" spans="1:6" ht="82.5">
      <c r="A43" s="749" t="s">
        <v>113</v>
      </c>
      <c r="B43" s="750" t="s">
        <v>114</v>
      </c>
    </row>
    <row r="44" spans="1:6" ht="33">
      <c r="A44" s="750" t="s">
        <v>1167</v>
      </c>
      <c r="B44" s="248"/>
    </row>
    <row r="45" spans="1:6" ht="99">
      <c r="A45" s="750" t="s">
        <v>116</v>
      </c>
      <c r="B45" s="248"/>
    </row>
    <row r="46" spans="1:6" ht="16.5">
      <c r="A46" s="749"/>
      <c r="B46" s="248"/>
    </row>
    <row r="47" spans="1:6" ht="16.5">
      <c r="A47" s="324" t="s">
        <v>678</v>
      </c>
    </row>
    <row r="48" spans="1:6" ht="16.5">
      <c r="A48" s="324" t="s">
        <v>1241</v>
      </c>
    </row>
    <row r="49" spans="1:5" ht="16.5">
      <c r="A49" s="324" t="s">
        <v>1242</v>
      </c>
    </row>
    <row r="50" spans="1:5" ht="17.25" thickBot="1">
      <c r="A50" s="297" t="s">
        <v>1243</v>
      </c>
    </row>
    <row r="51" spans="1:5" ht="29.25" thickBot="1">
      <c r="A51" s="741" t="s">
        <v>0</v>
      </c>
      <c r="B51" s="741" t="s">
        <v>1244</v>
      </c>
      <c r="C51" s="325" t="s">
        <v>632</v>
      </c>
      <c r="D51" s="326" t="s">
        <v>1245</v>
      </c>
      <c r="E51" s="785" t="s">
        <v>634</v>
      </c>
    </row>
    <row r="52" spans="1:5" ht="30.75" thickBot="1">
      <c r="A52" s="751">
        <v>1</v>
      </c>
      <c r="B52" s="752" t="s">
        <v>667</v>
      </c>
      <c r="C52" s="753" t="s">
        <v>668</v>
      </c>
      <c r="D52" s="754">
        <v>35250</v>
      </c>
      <c r="E52" s="786"/>
    </row>
    <row r="53" spans="1:5" ht="30.75" thickBot="1">
      <c r="A53" s="302">
        <v>2</v>
      </c>
      <c r="B53" s="755" t="s">
        <v>275</v>
      </c>
      <c r="C53" s="753" t="s">
        <v>668</v>
      </c>
      <c r="D53" s="754">
        <v>41250</v>
      </c>
      <c r="E53" s="787"/>
    </row>
    <row r="54" spans="1:5" ht="30.75" thickBot="1">
      <c r="A54" s="302">
        <v>3</v>
      </c>
      <c r="B54" s="755" t="s">
        <v>273</v>
      </c>
      <c r="C54" s="753" t="s">
        <v>668</v>
      </c>
      <c r="D54" s="754">
        <v>77100</v>
      </c>
      <c r="E54" s="787"/>
    </row>
    <row r="55" spans="1:5" ht="15.75" thickBot="1">
      <c r="A55" s="302">
        <v>4</v>
      </c>
      <c r="B55" s="755" t="s">
        <v>670</v>
      </c>
      <c r="C55" s="753" t="s">
        <v>668</v>
      </c>
      <c r="D55" s="754">
        <v>59925</v>
      </c>
      <c r="E55" s="787"/>
    </row>
    <row r="56" spans="1:5" ht="15.75" thickBot="1">
      <c r="A56" s="302">
        <v>5</v>
      </c>
      <c r="B56" s="755" t="s">
        <v>693</v>
      </c>
      <c r="C56" s="753" t="s">
        <v>668</v>
      </c>
      <c r="D56" s="754">
        <v>60075</v>
      </c>
      <c r="E56" s="787"/>
    </row>
    <row r="57" spans="1:5" ht="15.75" thickBot="1">
      <c r="A57" s="302">
        <v>6</v>
      </c>
      <c r="B57" s="755" t="s">
        <v>671</v>
      </c>
      <c r="C57" s="753" t="s">
        <v>668</v>
      </c>
      <c r="D57" s="754">
        <v>47175</v>
      </c>
      <c r="E57" s="787"/>
    </row>
    <row r="58" spans="1:5" ht="30.75" thickBot="1">
      <c r="A58" s="302">
        <v>7</v>
      </c>
      <c r="B58" s="755" t="s">
        <v>672</v>
      </c>
      <c r="C58" s="753" t="s">
        <v>668</v>
      </c>
      <c r="D58" s="754">
        <v>29625</v>
      </c>
      <c r="E58" s="787"/>
    </row>
    <row r="59" spans="1:5" ht="15.75" thickBot="1">
      <c r="A59" s="302">
        <v>8</v>
      </c>
      <c r="B59" s="755" t="s">
        <v>732</v>
      </c>
      <c r="C59" s="753" t="s">
        <v>668</v>
      </c>
      <c r="D59" s="754">
        <v>70605</v>
      </c>
      <c r="E59" s="787"/>
    </row>
    <row r="60" spans="1:5" ht="30.75" thickBot="1">
      <c r="A60" s="302">
        <v>9</v>
      </c>
      <c r="B60" s="755" t="s">
        <v>692</v>
      </c>
      <c r="C60" s="753" t="s">
        <v>668</v>
      </c>
      <c r="D60" s="754">
        <v>87855</v>
      </c>
      <c r="E60" s="787"/>
    </row>
    <row r="61" spans="1:5" ht="30.75" thickBot="1">
      <c r="A61" s="302">
        <v>10</v>
      </c>
      <c r="B61" s="755" t="s">
        <v>669</v>
      </c>
      <c r="C61" s="753" t="s">
        <v>668</v>
      </c>
      <c r="D61" s="754">
        <v>94650</v>
      </c>
      <c r="E61" s="787"/>
    </row>
    <row r="62" spans="1:5" ht="15.75" thickBot="1">
      <c r="A62" s="302">
        <v>11</v>
      </c>
      <c r="B62" s="755" t="s">
        <v>654</v>
      </c>
      <c r="C62" s="753" t="s">
        <v>653</v>
      </c>
      <c r="D62" s="754">
        <v>19350</v>
      </c>
      <c r="E62" s="787"/>
    </row>
    <row r="63" spans="1:5" ht="15.75" thickBot="1">
      <c r="A63" s="302">
        <v>12</v>
      </c>
      <c r="B63" s="755" t="s">
        <v>151</v>
      </c>
      <c r="C63" s="753" t="s">
        <v>653</v>
      </c>
      <c r="D63" s="754">
        <v>26550</v>
      </c>
      <c r="E63" s="787"/>
    </row>
    <row r="64" spans="1:5" ht="30.75" thickBot="1">
      <c r="A64" s="302">
        <v>13</v>
      </c>
      <c r="B64" s="755" t="s">
        <v>215</v>
      </c>
      <c r="C64" s="753" t="s">
        <v>653</v>
      </c>
      <c r="D64" s="754">
        <v>32850</v>
      </c>
      <c r="E64" s="787"/>
    </row>
    <row r="65" spans="1:5" ht="15.75" thickBot="1">
      <c r="A65" s="302">
        <v>14</v>
      </c>
      <c r="B65" s="755" t="s">
        <v>655</v>
      </c>
      <c r="C65" s="753" t="s">
        <v>653</v>
      </c>
      <c r="D65" s="754">
        <v>19350</v>
      </c>
      <c r="E65" s="787"/>
    </row>
    <row r="66" spans="1:5" ht="15.75" thickBot="1">
      <c r="A66" s="302">
        <v>15</v>
      </c>
      <c r="B66" s="755" t="s">
        <v>48</v>
      </c>
      <c r="C66" s="753" t="s">
        <v>653</v>
      </c>
      <c r="D66" s="754">
        <v>30150</v>
      </c>
      <c r="E66" s="787"/>
    </row>
    <row r="67" spans="1:5" ht="30.75" thickBot="1">
      <c r="A67" s="302">
        <v>16</v>
      </c>
      <c r="B67" s="755" t="s">
        <v>138</v>
      </c>
      <c r="C67" s="753" t="s">
        <v>653</v>
      </c>
      <c r="D67" s="754">
        <v>24030</v>
      </c>
      <c r="E67" s="787"/>
    </row>
    <row r="68" spans="1:5" ht="15.75" thickBot="1">
      <c r="A68" s="302">
        <v>17</v>
      </c>
      <c r="B68" s="755" t="s">
        <v>656</v>
      </c>
      <c r="C68" s="753" t="s">
        <v>653</v>
      </c>
      <c r="D68" s="754">
        <v>44745</v>
      </c>
      <c r="E68" s="787"/>
    </row>
    <row r="69" spans="1:5" ht="30.75" thickBot="1">
      <c r="A69" s="302">
        <v>18</v>
      </c>
      <c r="B69" s="755" t="s">
        <v>689</v>
      </c>
      <c r="C69" s="753" t="s">
        <v>653</v>
      </c>
      <c r="D69" s="754">
        <v>50925</v>
      </c>
      <c r="E69" s="787"/>
    </row>
    <row r="70" spans="1:5" ht="15.75" thickBot="1">
      <c r="A70" s="302">
        <v>19</v>
      </c>
      <c r="B70" s="755" t="s">
        <v>730</v>
      </c>
      <c r="C70" s="753" t="s">
        <v>653</v>
      </c>
      <c r="D70" s="754">
        <v>69375</v>
      </c>
      <c r="E70" s="787"/>
    </row>
    <row r="71" spans="1:5" ht="15.75" thickBot="1">
      <c r="A71" s="302">
        <v>20</v>
      </c>
      <c r="B71" s="755" t="s">
        <v>146</v>
      </c>
      <c r="C71" s="753" t="s">
        <v>653</v>
      </c>
      <c r="D71" s="754">
        <v>53625</v>
      </c>
      <c r="E71" s="787"/>
    </row>
    <row r="72" spans="1:5" ht="15.75" thickBot="1">
      <c r="A72" s="302">
        <v>21</v>
      </c>
      <c r="B72" s="755" t="s">
        <v>147</v>
      </c>
      <c r="C72" s="753" t="s">
        <v>653</v>
      </c>
      <c r="D72" s="754">
        <v>67425</v>
      </c>
      <c r="E72" s="787"/>
    </row>
    <row r="73" spans="1:5" ht="30.75" thickBot="1">
      <c r="A73" s="302">
        <v>22</v>
      </c>
      <c r="B73" s="755" t="s">
        <v>657</v>
      </c>
      <c r="C73" s="753" t="s">
        <v>653</v>
      </c>
      <c r="D73" s="754">
        <v>77025</v>
      </c>
      <c r="E73" s="787"/>
    </row>
    <row r="74" spans="1:5" ht="15.75" thickBot="1">
      <c r="A74" s="302">
        <v>23</v>
      </c>
      <c r="B74" s="755" t="s">
        <v>658</v>
      </c>
      <c r="C74" s="753" t="s">
        <v>653</v>
      </c>
      <c r="D74" s="754">
        <v>59625</v>
      </c>
      <c r="E74" s="787"/>
    </row>
    <row r="75" spans="1:5" ht="30.75" thickBot="1">
      <c r="A75" s="302">
        <v>24</v>
      </c>
      <c r="B75" s="755" t="s">
        <v>690</v>
      </c>
      <c r="C75" s="753" t="s">
        <v>653</v>
      </c>
      <c r="D75" s="754">
        <v>36555</v>
      </c>
      <c r="E75" s="787"/>
    </row>
    <row r="76" spans="1:5" ht="15.75" thickBot="1">
      <c r="A76" s="302">
        <v>25</v>
      </c>
      <c r="B76" s="755" t="s">
        <v>60</v>
      </c>
      <c r="C76" s="753" t="s">
        <v>653</v>
      </c>
      <c r="D76" s="754">
        <v>45225</v>
      </c>
      <c r="E76" s="787"/>
    </row>
    <row r="77" spans="1:5" ht="15.75" thickBot="1">
      <c r="A77" s="302">
        <v>26</v>
      </c>
      <c r="B77" s="755" t="s">
        <v>282</v>
      </c>
      <c r="C77" s="753" t="s">
        <v>646</v>
      </c>
      <c r="D77" s="754">
        <v>29550</v>
      </c>
      <c r="E77" s="787"/>
    </row>
    <row r="78" spans="1:5" ht="30.75" thickBot="1">
      <c r="A78" s="302">
        <v>27</v>
      </c>
      <c r="B78" s="755" t="s">
        <v>65</v>
      </c>
      <c r="C78" s="753" t="s">
        <v>646</v>
      </c>
      <c r="D78" s="754">
        <v>27600</v>
      </c>
      <c r="E78" s="787"/>
    </row>
    <row r="79" spans="1:5" ht="15.75" thickBot="1">
      <c r="A79" s="302">
        <v>28</v>
      </c>
      <c r="B79" s="755" t="s">
        <v>683</v>
      </c>
      <c r="C79" s="753" t="s">
        <v>646</v>
      </c>
      <c r="D79" s="754">
        <v>87975</v>
      </c>
      <c r="E79" s="787"/>
    </row>
    <row r="80" spans="1:5" ht="30.75" thickBot="1">
      <c r="A80" s="302">
        <v>29</v>
      </c>
      <c r="B80" s="755" t="s">
        <v>722</v>
      </c>
      <c r="C80" s="753" t="s">
        <v>646</v>
      </c>
      <c r="D80" s="754">
        <v>59475</v>
      </c>
      <c r="E80" s="787"/>
    </row>
    <row r="81" spans="1:5" ht="15.75" thickBot="1">
      <c r="A81" s="302">
        <v>30</v>
      </c>
      <c r="B81" s="755" t="s">
        <v>148</v>
      </c>
      <c r="C81" s="753" t="s">
        <v>646</v>
      </c>
      <c r="D81" s="754">
        <v>107925</v>
      </c>
      <c r="E81" s="787"/>
    </row>
    <row r="82" spans="1:5" ht="15.75" thickBot="1">
      <c r="A82" s="302">
        <v>31</v>
      </c>
      <c r="B82" s="755" t="s">
        <v>1246</v>
      </c>
      <c r="C82" s="753" t="s">
        <v>646</v>
      </c>
      <c r="D82" s="754">
        <v>118725</v>
      </c>
      <c r="E82" s="787"/>
    </row>
    <row r="83" spans="1:5" ht="15.75" thickBot="1">
      <c r="A83" s="302">
        <v>32</v>
      </c>
      <c r="B83" s="755" t="s">
        <v>723</v>
      </c>
      <c r="C83" s="753" t="s">
        <v>646</v>
      </c>
      <c r="D83" s="754">
        <v>87285</v>
      </c>
      <c r="E83" s="787"/>
    </row>
    <row r="84" spans="1:5" ht="15.75" thickBot="1">
      <c r="A84" s="302">
        <v>33</v>
      </c>
      <c r="B84" s="755" t="s">
        <v>725</v>
      </c>
      <c r="C84" s="753" t="s">
        <v>646</v>
      </c>
      <c r="D84" s="754">
        <v>124425</v>
      </c>
      <c r="E84" s="787"/>
    </row>
    <row r="85" spans="1:5" ht="30.75" thickBot="1">
      <c r="A85" s="302">
        <v>34</v>
      </c>
      <c r="B85" s="755" t="s">
        <v>647</v>
      </c>
      <c r="C85" s="753" t="s">
        <v>646</v>
      </c>
      <c r="D85" s="754">
        <v>50445</v>
      </c>
      <c r="E85" s="787"/>
    </row>
    <row r="86" spans="1:5" ht="15.75" thickBot="1">
      <c r="A86" s="302">
        <v>35</v>
      </c>
      <c r="B86" s="755" t="s">
        <v>1165</v>
      </c>
      <c r="C86" s="753" t="s">
        <v>674</v>
      </c>
      <c r="D86" s="754">
        <v>22500</v>
      </c>
      <c r="E86" s="787"/>
    </row>
    <row r="87" spans="1:5" ht="15.75" thickBot="1">
      <c r="A87" s="302">
        <v>36</v>
      </c>
      <c r="B87" s="755" t="s">
        <v>673</v>
      </c>
      <c r="C87" s="753" t="s">
        <v>674</v>
      </c>
      <c r="D87" s="754">
        <v>22500</v>
      </c>
      <c r="E87" s="787"/>
    </row>
    <row r="88" spans="1:5" ht="30.75" thickBot="1">
      <c r="A88" s="302">
        <v>37</v>
      </c>
      <c r="B88" s="755" t="s">
        <v>76</v>
      </c>
      <c r="C88" s="753" t="s">
        <v>674</v>
      </c>
      <c r="D88" s="754">
        <v>22230</v>
      </c>
      <c r="E88" s="787"/>
    </row>
    <row r="89" spans="1:5" ht="30.75" thickBot="1">
      <c r="A89" s="302">
        <v>38</v>
      </c>
      <c r="B89" s="755" t="s">
        <v>150</v>
      </c>
      <c r="C89" s="753" t="s">
        <v>674</v>
      </c>
      <c r="D89" s="754">
        <v>77325</v>
      </c>
      <c r="E89" s="787"/>
    </row>
    <row r="90" spans="1:5" ht="30.75" thickBot="1">
      <c r="A90" s="302">
        <v>39</v>
      </c>
      <c r="B90" s="755" t="s">
        <v>182</v>
      </c>
      <c r="C90" s="753" t="s">
        <v>674</v>
      </c>
      <c r="D90" s="754">
        <v>79125</v>
      </c>
      <c r="E90" s="787"/>
    </row>
    <row r="91" spans="1:5" ht="15.75" thickBot="1">
      <c r="A91" s="302">
        <v>40</v>
      </c>
      <c r="B91" s="755" t="s">
        <v>149</v>
      </c>
      <c r="C91" s="753" t="s">
        <v>674</v>
      </c>
      <c r="D91" s="754">
        <v>49755</v>
      </c>
      <c r="E91" s="787"/>
    </row>
    <row r="92" spans="1:5" ht="15.75" thickBot="1">
      <c r="A92" s="302">
        <v>41</v>
      </c>
      <c r="B92" s="755" t="s">
        <v>741</v>
      </c>
      <c r="C92" s="753" t="s">
        <v>674</v>
      </c>
      <c r="D92" s="754">
        <v>55875</v>
      </c>
      <c r="E92" s="787"/>
    </row>
    <row r="93" spans="1:5" ht="15.75" thickBot="1">
      <c r="A93" s="302">
        <v>42</v>
      </c>
      <c r="B93" s="755" t="s">
        <v>675</v>
      </c>
      <c r="C93" s="753" t="s">
        <v>674</v>
      </c>
      <c r="D93" s="754">
        <v>42525</v>
      </c>
      <c r="E93" s="787"/>
    </row>
    <row r="94" spans="1:5" ht="30.75" thickBot="1">
      <c r="A94" s="302">
        <v>43</v>
      </c>
      <c r="B94" s="755" t="s">
        <v>648</v>
      </c>
      <c r="C94" s="753" t="s">
        <v>649</v>
      </c>
      <c r="D94" s="754">
        <v>18150</v>
      </c>
      <c r="E94" s="787"/>
    </row>
    <row r="95" spans="1:5" ht="15.75" thickBot="1">
      <c r="A95" s="302">
        <v>44</v>
      </c>
      <c r="B95" s="755" t="s">
        <v>221</v>
      </c>
      <c r="C95" s="753" t="s">
        <v>649</v>
      </c>
      <c r="D95" s="754">
        <v>40140</v>
      </c>
      <c r="E95" s="787"/>
    </row>
    <row r="96" spans="1:5" ht="30.75" thickBot="1">
      <c r="A96" s="302">
        <v>45</v>
      </c>
      <c r="B96" s="755" t="s">
        <v>684</v>
      </c>
      <c r="C96" s="753" t="s">
        <v>649</v>
      </c>
      <c r="D96" s="754">
        <v>30675</v>
      </c>
      <c r="E96" s="787"/>
    </row>
    <row r="97" spans="1:5" ht="15.75" thickBot="1">
      <c r="A97" s="302">
        <v>46</v>
      </c>
      <c r="B97" s="755" t="s">
        <v>205</v>
      </c>
      <c r="C97" s="753" t="s">
        <v>649</v>
      </c>
      <c r="D97" s="754">
        <v>40425</v>
      </c>
      <c r="E97" s="787"/>
    </row>
    <row r="98" spans="1:5" ht="15.75" thickBot="1">
      <c r="A98" s="302">
        <v>47</v>
      </c>
      <c r="B98" s="755" t="s">
        <v>686</v>
      </c>
      <c r="C98" s="753" t="s">
        <v>649</v>
      </c>
      <c r="D98" s="754">
        <v>44925</v>
      </c>
      <c r="E98" s="787"/>
    </row>
    <row r="99" spans="1:5" ht="30.75" thickBot="1">
      <c r="A99" s="302">
        <v>48</v>
      </c>
      <c r="B99" s="755" t="s">
        <v>687</v>
      </c>
      <c r="C99" s="753" t="s">
        <v>649</v>
      </c>
      <c r="D99" s="754">
        <v>26355</v>
      </c>
      <c r="E99" s="787"/>
    </row>
    <row r="100" spans="1:5" ht="15.75" thickBot="1">
      <c r="A100" s="302">
        <v>49</v>
      </c>
      <c r="B100" s="755" t="s">
        <v>152</v>
      </c>
      <c r="C100" s="753" t="s">
        <v>649</v>
      </c>
      <c r="D100" s="754">
        <v>72510</v>
      </c>
      <c r="E100" s="787"/>
    </row>
    <row r="101" spans="1:5" ht="30.75" thickBot="1">
      <c r="A101" s="236">
        <v>50</v>
      </c>
      <c r="B101" s="755" t="s">
        <v>89</v>
      </c>
      <c r="C101" s="753" t="s">
        <v>650</v>
      </c>
      <c r="D101" s="754">
        <v>29850</v>
      </c>
      <c r="E101" s="787"/>
    </row>
    <row r="102" spans="1:5" ht="15.75" thickBot="1">
      <c r="A102" s="236">
        <v>51</v>
      </c>
      <c r="B102" s="755" t="s">
        <v>765</v>
      </c>
      <c r="C102" s="753" t="s">
        <v>650</v>
      </c>
      <c r="D102" s="754">
        <v>18150</v>
      </c>
      <c r="E102" s="787"/>
    </row>
    <row r="103" spans="1:5" ht="15.75" thickBot="1">
      <c r="A103" s="236">
        <v>52</v>
      </c>
      <c r="B103" s="755" t="s">
        <v>688</v>
      </c>
      <c r="C103" s="753" t="s">
        <v>650</v>
      </c>
      <c r="D103" s="754">
        <v>26475</v>
      </c>
      <c r="E103" s="787"/>
    </row>
    <row r="104" spans="1:5" ht="15.75" thickBot="1">
      <c r="A104" s="236">
        <v>53</v>
      </c>
      <c r="B104" s="755" t="s">
        <v>651</v>
      </c>
      <c r="C104" s="753" t="s">
        <v>650</v>
      </c>
      <c r="D104" s="754">
        <v>61425</v>
      </c>
      <c r="E104" s="787"/>
    </row>
    <row r="105" spans="1:5" ht="15.75" thickBot="1">
      <c r="A105" s="236">
        <v>54</v>
      </c>
      <c r="B105" s="755" t="s">
        <v>652</v>
      </c>
      <c r="C105" s="753" t="s">
        <v>650</v>
      </c>
      <c r="D105" s="754">
        <v>72675</v>
      </c>
      <c r="E105" s="787"/>
    </row>
    <row r="106" spans="1:5" ht="15.75" thickBot="1">
      <c r="A106" s="236">
        <v>55</v>
      </c>
      <c r="B106" s="755" t="s">
        <v>269</v>
      </c>
      <c r="C106" s="753" t="s">
        <v>650</v>
      </c>
      <c r="D106" s="754">
        <v>59625</v>
      </c>
      <c r="E106" s="787"/>
    </row>
    <row r="107" spans="1:5" ht="15.75" thickBot="1">
      <c r="A107" s="236">
        <v>56</v>
      </c>
      <c r="B107" s="755" t="s">
        <v>755</v>
      </c>
      <c r="C107" s="753" t="s">
        <v>642</v>
      </c>
      <c r="D107" s="754">
        <v>26550</v>
      </c>
      <c r="E107" s="787"/>
    </row>
    <row r="108" spans="1:5" ht="30.75" thickBot="1">
      <c r="A108" s="236">
        <v>57</v>
      </c>
      <c r="B108" s="755" t="s">
        <v>94</v>
      </c>
      <c r="C108" s="753" t="s">
        <v>642</v>
      </c>
      <c r="D108" s="754">
        <v>29100</v>
      </c>
      <c r="E108" s="787"/>
    </row>
    <row r="109" spans="1:5" ht="30.75" thickBot="1">
      <c r="A109" s="236">
        <v>58</v>
      </c>
      <c r="B109" s="755" t="s">
        <v>716</v>
      </c>
      <c r="C109" s="753" t="s">
        <v>642</v>
      </c>
      <c r="D109" s="754">
        <v>23100</v>
      </c>
      <c r="E109" s="787"/>
    </row>
    <row r="110" spans="1:5" ht="15.75" thickBot="1">
      <c r="A110" s="236">
        <v>59</v>
      </c>
      <c r="B110" s="755" t="s">
        <v>644</v>
      </c>
      <c r="C110" s="753" t="s">
        <v>642</v>
      </c>
      <c r="D110" s="754">
        <v>30120</v>
      </c>
      <c r="E110" s="787"/>
    </row>
    <row r="111" spans="1:5" ht="15.75" thickBot="1">
      <c r="A111" s="236">
        <v>60</v>
      </c>
      <c r="B111" s="755" t="s">
        <v>153</v>
      </c>
      <c r="C111" s="753" t="s">
        <v>642</v>
      </c>
      <c r="D111" s="754">
        <v>94725</v>
      </c>
      <c r="E111" s="787"/>
    </row>
    <row r="112" spans="1:5" ht="15.75" thickBot="1">
      <c r="A112" s="236">
        <v>61</v>
      </c>
      <c r="B112" s="755" t="s">
        <v>682</v>
      </c>
      <c r="C112" s="753" t="s">
        <v>642</v>
      </c>
      <c r="D112" s="754">
        <v>29325</v>
      </c>
      <c r="E112" s="787"/>
    </row>
    <row r="113" spans="1:5" ht="30.75" thickBot="1">
      <c r="A113" s="236">
        <v>62</v>
      </c>
      <c r="B113" s="755" t="s">
        <v>169</v>
      </c>
      <c r="C113" s="753" t="s">
        <v>642</v>
      </c>
      <c r="D113" s="754">
        <v>91725</v>
      </c>
      <c r="E113" s="787"/>
    </row>
    <row r="114" spans="1:5" ht="30.75" thickBot="1">
      <c r="A114" s="236">
        <v>63</v>
      </c>
      <c r="B114" s="755" t="s">
        <v>681</v>
      </c>
      <c r="C114" s="753" t="s">
        <v>642</v>
      </c>
      <c r="D114" s="754">
        <v>86205</v>
      </c>
      <c r="E114" s="787"/>
    </row>
    <row r="115" spans="1:5" ht="15.75" thickBot="1">
      <c r="A115" s="236">
        <v>64</v>
      </c>
      <c r="B115" s="755" t="s">
        <v>643</v>
      </c>
      <c r="C115" s="753" t="s">
        <v>642</v>
      </c>
      <c r="D115" s="754">
        <v>183300</v>
      </c>
      <c r="E115" s="787"/>
    </row>
    <row r="116" spans="1:5" ht="15.75" thickBot="1">
      <c r="A116" s="236">
        <v>65</v>
      </c>
      <c r="B116" s="755" t="s">
        <v>635</v>
      </c>
      <c r="C116" s="753" t="s">
        <v>636</v>
      </c>
      <c r="D116" s="754">
        <v>35850</v>
      </c>
      <c r="E116" s="787"/>
    </row>
    <row r="117" spans="1:5" ht="15.75" thickBot="1">
      <c r="A117" s="236">
        <v>66</v>
      </c>
      <c r="B117" s="755" t="s">
        <v>637</v>
      </c>
      <c r="C117" s="753" t="s">
        <v>636</v>
      </c>
      <c r="D117" s="754">
        <v>20700</v>
      </c>
      <c r="E117" s="787"/>
    </row>
    <row r="118" spans="1:5" ht="15.75" thickBot="1">
      <c r="A118" s="236">
        <v>67</v>
      </c>
      <c r="B118" s="755" t="s">
        <v>639</v>
      </c>
      <c r="C118" s="753" t="s">
        <v>636</v>
      </c>
      <c r="D118" s="754">
        <v>94725</v>
      </c>
      <c r="E118" s="787"/>
    </row>
    <row r="119" spans="1:5" ht="15.75" thickBot="1">
      <c r="A119" s="236">
        <v>68</v>
      </c>
      <c r="B119" s="755" t="s">
        <v>640</v>
      </c>
      <c r="C119" s="753" t="s">
        <v>636</v>
      </c>
      <c r="D119" s="754">
        <v>65925</v>
      </c>
      <c r="E119" s="787"/>
    </row>
    <row r="120" spans="1:5" ht="15.75" thickBot="1">
      <c r="A120" s="236">
        <v>69</v>
      </c>
      <c r="B120" s="755" t="s">
        <v>641</v>
      </c>
      <c r="C120" s="753" t="s">
        <v>636</v>
      </c>
      <c r="D120" s="754">
        <v>31125</v>
      </c>
      <c r="E120" s="787"/>
    </row>
    <row r="121" spans="1:5" ht="15.75" thickBot="1">
      <c r="A121" s="236">
        <v>70</v>
      </c>
      <c r="B121" s="755" t="s">
        <v>660</v>
      </c>
      <c r="C121" s="753" t="s">
        <v>746</v>
      </c>
      <c r="D121" s="754">
        <v>8160</v>
      </c>
      <c r="E121" s="787"/>
    </row>
    <row r="122" spans="1:5" ht="30.75" thickBot="1">
      <c r="A122" s="236">
        <v>71</v>
      </c>
      <c r="B122" s="755" t="s">
        <v>142</v>
      </c>
      <c r="C122" s="753" t="s">
        <v>746</v>
      </c>
      <c r="D122" s="754">
        <v>9000</v>
      </c>
      <c r="E122" s="787"/>
    </row>
    <row r="123" spans="1:5" ht="15.75" thickBot="1">
      <c r="A123" s="236">
        <v>72</v>
      </c>
      <c r="B123" s="755" t="s">
        <v>143</v>
      </c>
      <c r="C123" s="753" t="s">
        <v>746</v>
      </c>
      <c r="D123" s="754">
        <v>14250</v>
      </c>
      <c r="E123" s="787"/>
    </row>
    <row r="124" spans="1:5" ht="30.75" thickBot="1">
      <c r="A124" s="236">
        <v>73</v>
      </c>
      <c r="B124" s="755" t="s">
        <v>749</v>
      </c>
      <c r="C124" s="753" t="s">
        <v>746</v>
      </c>
      <c r="D124" s="754">
        <v>9180</v>
      </c>
      <c r="E124" s="787"/>
    </row>
    <row r="125" spans="1:5" ht="30.75" thickBot="1">
      <c r="A125" s="236">
        <v>74</v>
      </c>
      <c r="B125" s="755" t="s">
        <v>666</v>
      </c>
      <c r="C125" s="753" t="s">
        <v>746</v>
      </c>
      <c r="D125" s="754">
        <v>17550</v>
      </c>
      <c r="E125" s="787"/>
    </row>
    <row r="126" spans="1:5" ht="30.75" thickBot="1">
      <c r="A126" s="302">
        <v>75</v>
      </c>
      <c r="B126" s="755" t="s">
        <v>751</v>
      </c>
      <c r="C126" s="753" t="s">
        <v>746</v>
      </c>
      <c r="D126" s="754">
        <v>16050</v>
      </c>
      <c r="E126" s="787"/>
    </row>
    <row r="127" spans="1:5" ht="15.75" thickBot="1">
      <c r="A127" s="236">
        <v>76</v>
      </c>
      <c r="B127" s="755" t="s">
        <v>734</v>
      </c>
      <c r="C127" s="753" t="s">
        <v>756</v>
      </c>
      <c r="D127" s="754">
        <v>41250</v>
      </c>
      <c r="E127" s="787"/>
    </row>
    <row r="128" spans="1:5" ht="15.75" thickBot="1">
      <c r="A128" s="236">
        <v>77</v>
      </c>
      <c r="B128" s="755" t="s">
        <v>1223</v>
      </c>
      <c r="C128" s="753" t="s">
        <v>756</v>
      </c>
      <c r="D128" s="754">
        <v>39150</v>
      </c>
      <c r="E128" s="787"/>
    </row>
    <row r="129" spans="1:8" ht="15.75" thickBot="1">
      <c r="A129" s="236">
        <v>78</v>
      </c>
      <c r="B129" s="755" t="s">
        <v>757</v>
      </c>
      <c r="C129" s="753" t="s">
        <v>756</v>
      </c>
      <c r="D129" s="754">
        <v>41250</v>
      </c>
      <c r="E129" s="787"/>
    </row>
    <row r="130" spans="1:8" ht="30.75" thickBot="1">
      <c r="A130" s="236">
        <v>79</v>
      </c>
      <c r="B130" s="755" t="s">
        <v>1247</v>
      </c>
      <c r="C130" s="753" t="s">
        <v>756</v>
      </c>
      <c r="D130" s="754">
        <v>37500</v>
      </c>
      <c r="E130" s="787"/>
    </row>
    <row r="131" spans="1:8" ht="15.75" thickBot="1">
      <c r="A131" s="236">
        <v>80</v>
      </c>
      <c r="B131" s="755" t="s">
        <v>1248</v>
      </c>
      <c r="C131" s="753" t="s">
        <v>756</v>
      </c>
      <c r="D131" s="754">
        <v>41250</v>
      </c>
      <c r="E131" s="787"/>
    </row>
    <row r="132" spans="1:8" ht="16.5" thickBot="1">
      <c r="A132" s="255"/>
      <c r="B132" s="360" t="s">
        <v>676</v>
      </c>
      <c r="C132" s="363"/>
      <c r="D132" s="756">
        <v>3984000</v>
      </c>
      <c r="E132" s="788"/>
    </row>
    <row r="133" spans="1:8">
      <c r="A133" s="328" t="s">
        <v>1249</v>
      </c>
    </row>
    <row r="134" spans="1:8" ht="16.5">
      <c r="A134" s="324" t="s">
        <v>1256</v>
      </c>
    </row>
    <row r="135" spans="1:8">
      <c r="A135" s="331"/>
    </row>
    <row r="136" spans="1:8" ht="15.75">
      <c r="A136" s="295" t="s">
        <v>679</v>
      </c>
    </row>
    <row r="137" spans="1:8" ht="15.75">
      <c r="A137" s="296" t="s">
        <v>1257</v>
      </c>
    </row>
    <row r="138" spans="1:8" ht="15.75" thickBot="1">
      <c r="A138" s="329"/>
    </row>
    <row r="139" spans="1:8" ht="28.5" customHeight="1" thickBot="1">
      <c r="A139" s="353" t="s">
        <v>0</v>
      </c>
      <c r="B139" s="353" t="s">
        <v>121</v>
      </c>
      <c r="C139" s="353" t="s">
        <v>632</v>
      </c>
      <c r="D139" s="325" t="s">
        <v>633</v>
      </c>
      <c r="E139" s="777"/>
      <c r="F139" s="353" t="s">
        <v>634</v>
      </c>
    </row>
    <row r="140" spans="1:8" ht="17.25" thickBot="1">
      <c r="A140" s="355"/>
      <c r="B140" s="355"/>
      <c r="C140" s="355"/>
      <c r="D140" s="299" t="s">
        <v>739</v>
      </c>
      <c r="E140" s="778" t="s">
        <v>740</v>
      </c>
      <c r="F140" s="355"/>
    </row>
    <row r="141" spans="1:8" ht="16.5" thickBot="1">
      <c r="A141" s="255">
        <v>1</v>
      </c>
      <c r="B141" s="332" t="s">
        <v>670</v>
      </c>
      <c r="C141" s="333" t="s">
        <v>668</v>
      </c>
      <c r="D141" s="334">
        <v>110</v>
      </c>
      <c r="E141" s="795">
        <v>0</v>
      </c>
      <c r="F141" s="258"/>
      <c r="G141">
        <v>1000</v>
      </c>
      <c r="H141" s="561">
        <f>E141*G141</f>
        <v>0</v>
      </c>
    </row>
    <row r="142" spans="1:8" ht="16.5" thickBot="1">
      <c r="A142" s="255">
        <v>2</v>
      </c>
      <c r="B142" s="332" t="s">
        <v>693</v>
      </c>
      <c r="C142" s="333" t="s">
        <v>668</v>
      </c>
      <c r="D142" s="334">
        <v>280</v>
      </c>
      <c r="E142" s="795">
        <v>0</v>
      </c>
      <c r="F142" s="258"/>
      <c r="G142">
        <v>1000</v>
      </c>
      <c r="H142" s="561">
        <f t="shared" ref="H142:H176" si="0">E142*G142</f>
        <v>0</v>
      </c>
    </row>
    <row r="143" spans="1:8" ht="16.5" thickBot="1">
      <c r="A143" s="255">
        <v>3</v>
      </c>
      <c r="B143" s="332" t="s">
        <v>671</v>
      </c>
      <c r="C143" s="333" t="s">
        <v>668</v>
      </c>
      <c r="D143" s="334">
        <v>40</v>
      </c>
      <c r="E143" s="795">
        <v>0</v>
      </c>
      <c r="F143" s="258"/>
      <c r="G143">
        <v>1000</v>
      </c>
      <c r="H143" s="561">
        <f t="shared" si="0"/>
        <v>0</v>
      </c>
    </row>
    <row r="144" spans="1:8" ht="16.5" thickBot="1">
      <c r="A144" s="255">
        <v>4</v>
      </c>
      <c r="B144" s="332" t="s">
        <v>732</v>
      </c>
      <c r="C144" s="333" t="s">
        <v>668</v>
      </c>
      <c r="D144" s="334">
        <v>240</v>
      </c>
      <c r="E144" s="795">
        <v>0</v>
      </c>
      <c r="F144" s="258"/>
      <c r="G144">
        <v>1000</v>
      </c>
      <c r="H144" s="561">
        <f t="shared" si="0"/>
        <v>0</v>
      </c>
    </row>
    <row r="145" spans="1:8" ht="32.25" thickBot="1">
      <c r="A145" s="255">
        <v>5</v>
      </c>
      <c r="B145" s="332" t="s">
        <v>692</v>
      </c>
      <c r="C145" s="333" t="s">
        <v>668</v>
      </c>
      <c r="D145" s="334">
        <v>500</v>
      </c>
      <c r="E145" s="795">
        <v>0</v>
      </c>
      <c r="F145" s="258"/>
      <c r="G145">
        <v>1000</v>
      </c>
      <c r="H145" s="561">
        <f t="shared" si="0"/>
        <v>0</v>
      </c>
    </row>
    <row r="146" spans="1:8" ht="16.5" thickBot="1">
      <c r="A146" s="255">
        <v>6</v>
      </c>
      <c r="B146" s="332" t="s">
        <v>46</v>
      </c>
      <c r="C146" s="333" t="s">
        <v>653</v>
      </c>
      <c r="D146" s="334">
        <v>40</v>
      </c>
      <c r="E146" s="795">
        <v>0</v>
      </c>
      <c r="F146" s="258"/>
      <c r="G146">
        <v>1000</v>
      </c>
      <c r="H146" s="561">
        <f t="shared" si="0"/>
        <v>0</v>
      </c>
    </row>
    <row r="147" spans="1:8" ht="16.5" thickBot="1">
      <c r="A147" s="255">
        <v>7</v>
      </c>
      <c r="B147" s="332" t="s">
        <v>731</v>
      </c>
      <c r="C147" s="333" t="s">
        <v>653</v>
      </c>
      <c r="D147" s="334">
        <v>40</v>
      </c>
      <c r="E147" s="795">
        <v>0</v>
      </c>
      <c r="F147" s="258"/>
      <c r="G147">
        <v>1000</v>
      </c>
      <c r="H147" s="561">
        <f t="shared" si="0"/>
        <v>0</v>
      </c>
    </row>
    <row r="148" spans="1:8" ht="32.25" thickBot="1">
      <c r="A148" s="255">
        <v>8</v>
      </c>
      <c r="B148" s="332" t="s">
        <v>730</v>
      </c>
      <c r="C148" s="333" t="s">
        <v>653</v>
      </c>
      <c r="D148" s="334">
        <v>25</v>
      </c>
      <c r="E148" s="795">
        <v>0</v>
      </c>
      <c r="F148" s="258"/>
      <c r="G148">
        <v>1000</v>
      </c>
      <c r="H148" s="561">
        <f t="shared" si="0"/>
        <v>0</v>
      </c>
    </row>
    <row r="149" spans="1:8" ht="16.5" thickBot="1">
      <c r="A149" s="255">
        <v>9</v>
      </c>
      <c r="B149" s="332" t="s">
        <v>146</v>
      </c>
      <c r="C149" s="333" t="s">
        <v>653</v>
      </c>
      <c r="D149" s="334"/>
      <c r="E149" s="795">
        <v>40000</v>
      </c>
      <c r="F149" s="258"/>
      <c r="G149">
        <v>1000</v>
      </c>
      <c r="H149" s="561">
        <f t="shared" si="0"/>
        <v>40000000</v>
      </c>
    </row>
    <row r="150" spans="1:8" ht="16.5" thickBot="1">
      <c r="A150" s="255">
        <v>10</v>
      </c>
      <c r="B150" s="332" t="s">
        <v>147</v>
      </c>
      <c r="C150" s="333" t="s">
        <v>653</v>
      </c>
      <c r="D150" s="334"/>
      <c r="E150" s="795">
        <v>320000</v>
      </c>
      <c r="F150" s="258"/>
      <c r="G150">
        <v>1000</v>
      </c>
      <c r="H150" s="561">
        <f t="shared" si="0"/>
        <v>320000000</v>
      </c>
    </row>
    <row r="151" spans="1:8" ht="16.5" thickBot="1">
      <c r="A151" s="255">
        <v>11</v>
      </c>
      <c r="B151" s="332" t="s">
        <v>658</v>
      </c>
      <c r="C151" s="333" t="s">
        <v>653</v>
      </c>
      <c r="D151" s="334">
        <v>35</v>
      </c>
      <c r="E151" s="795">
        <v>0</v>
      </c>
      <c r="F151" s="258"/>
      <c r="G151">
        <v>1000</v>
      </c>
      <c r="H151" s="561">
        <f t="shared" si="0"/>
        <v>0</v>
      </c>
    </row>
    <row r="152" spans="1:8" ht="16.5" thickBot="1">
      <c r="A152" s="255">
        <v>12</v>
      </c>
      <c r="B152" s="332" t="s">
        <v>659</v>
      </c>
      <c r="C152" s="333" t="s">
        <v>653</v>
      </c>
      <c r="D152" s="334">
        <v>80</v>
      </c>
      <c r="E152" s="795">
        <v>0</v>
      </c>
      <c r="F152" s="258"/>
      <c r="G152">
        <v>1000</v>
      </c>
      <c r="H152" s="561">
        <f t="shared" si="0"/>
        <v>0</v>
      </c>
    </row>
    <row r="153" spans="1:8" ht="32.25" thickBot="1">
      <c r="A153" s="255">
        <v>13</v>
      </c>
      <c r="B153" s="332" t="s">
        <v>690</v>
      </c>
      <c r="C153" s="333" t="s">
        <v>653</v>
      </c>
      <c r="D153" s="334"/>
      <c r="E153" s="795">
        <v>220000</v>
      </c>
      <c r="F153" s="258"/>
      <c r="G153">
        <v>1000</v>
      </c>
      <c r="H153" s="561">
        <f t="shared" si="0"/>
        <v>220000000</v>
      </c>
    </row>
    <row r="154" spans="1:8" ht="16.5" thickBot="1">
      <c r="A154" s="255">
        <v>14</v>
      </c>
      <c r="B154" s="332" t="s">
        <v>60</v>
      </c>
      <c r="C154" s="333" t="s">
        <v>653</v>
      </c>
      <c r="D154" s="334"/>
      <c r="E154" s="795">
        <v>155000</v>
      </c>
      <c r="F154" s="258"/>
      <c r="G154">
        <v>1000</v>
      </c>
      <c r="H154" s="561">
        <f t="shared" si="0"/>
        <v>155000000</v>
      </c>
    </row>
    <row r="155" spans="1:8" ht="16.5" thickBot="1">
      <c r="A155" s="255">
        <v>15</v>
      </c>
      <c r="B155" s="332" t="s">
        <v>683</v>
      </c>
      <c r="C155" s="333" t="s">
        <v>646</v>
      </c>
      <c r="D155" s="334">
        <v>40</v>
      </c>
      <c r="E155" s="795">
        <v>0</v>
      </c>
      <c r="F155" s="258"/>
      <c r="G155">
        <v>1000</v>
      </c>
      <c r="H155" s="561">
        <f t="shared" si="0"/>
        <v>0</v>
      </c>
    </row>
    <row r="156" spans="1:8" ht="32.25" thickBot="1">
      <c r="A156" s="255">
        <v>16</v>
      </c>
      <c r="B156" s="332" t="s">
        <v>722</v>
      </c>
      <c r="C156" s="333" t="s">
        <v>646</v>
      </c>
      <c r="D156" s="334">
        <v>240</v>
      </c>
      <c r="E156" s="795">
        <v>0</v>
      </c>
      <c r="F156" s="258"/>
      <c r="G156">
        <v>1000</v>
      </c>
      <c r="H156" s="561">
        <f t="shared" si="0"/>
        <v>0</v>
      </c>
    </row>
    <row r="157" spans="1:8" ht="16.5" thickBot="1">
      <c r="A157" s="255">
        <v>17</v>
      </c>
      <c r="B157" s="332" t="s">
        <v>148</v>
      </c>
      <c r="C157" s="333" t="s">
        <v>646</v>
      </c>
      <c r="D157" s="334"/>
      <c r="E157" s="795">
        <v>435000</v>
      </c>
      <c r="F157" s="258"/>
      <c r="G157">
        <v>1000</v>
      </c>
      <c r="H157" s="561">
        <f t="shared" si="0"/>
        <v>435000000</v>
      </c>
    </row>
    <row r="158" spans="1:8" ht="16.5" thickBot="1">
      <c r="A158" s="255">
        <v>18</v>
      </c>
      <c r="B158" s="332" t="s">
        <v>723</v>
      </c>
      <c r="C158" s="333" t="s">
        <v>646</v>
      </c>
      <c r="D158" s="334">
        <v>230</v>
      </c>
      <c r="E158" s="795">
        <v>0</v>
      </c>
      <c r="F158" s="258"/>
      <c r="G158">
        <v>1000</v>
      </c>
      <c r="H158" s="561">
        <f t="shared" si="0"/>
        <v>0</v>
      </c>
    </row>
    <row r="159" spans="1:8" ht="16.5" thickBot="1">
      <c r="A159" s="255">
        <v>19</v>
      </c>
      <c r="B159" s="332" t="s">
        <v>725</v>
      </c>
      <c r="C159" s="333" t="s">
        <v>646</v>
      </c>
      <c r="D159" s="334"/>
      <c r="E159" s="795">
        <v>160000</v>
      </c>
      <c r="F159" s="258"/>
      <c r="G159">
        <v>1000</v>
      </c>
      <c r="H159" s="561">
        <f t="shared" si="0"/>
        <v>160000000</v>
      </c>
    </row>
    <row r="160" spans="1:8" ht="32.25" thickBot="1">
      <c r="A160" s="255">
        <v>20</v>
      </c>
      <c r="B160" s="332" t="s">
        <v>647</v>
      </c>
      <c r="C160" s="333" t="s">
        <v>646</v>
      </c>
      <c r="D160" s="334">
        <v>120</v>
      </c>
      <c r="E160" s="795">
        <v>0</v>
      </c>
      <c r="F160" s="258"/>
      <c r="G160">
        <v>1000</v>
      </c>
      <c r="H160" s="561">
        <f t="shared" si="0"/>
        <v>0</v>
      </c>
    </row>
    <row r="161" spans="1:8" ht="32.25" thickBot="1">
      <c r="A161" s="255">
        <v>21</v>
      </c>
      <c r="B161" s="332" t="s">
        <v>168</v>
      </c>
      <c r="C161" s="333" t="s">
        <v>646</v>
      </c>
      <c r="D161" s="334"/>
      <c r="E161" s="795">
        <v>40000</v>
      </c>
      <c r="F161" s="258"/>
      <c r="G161">
        <v>1000</v>
      </c>
      <c r="H161" s="561">
        <f t="shared" si="0"/>
        <v>40000000</v>
      </c>
    </row>
    <row r="162" spans="1:8" ht="16.5" thickBot="1">
      <c r="A162" s="255">
        <v>22</v>
      </c>
      <c r="B162" s="332" t="s">
        <v>72</v>
      </c>
      <c r="C162" s="333" t="s">
        <v>674</v>
      </c>
      <c r="D162" s="334"/>
      <c r="E162" s="795">
        <v>320000</v>
      </c>
      <c r="F162" s="258"/>
      <c r="G162">
        <v>1000</v>
      </c>
      <c r="H162" s="561">
        <f t="shared" si="0"/>
        <v>320000000</v>
      </c>
    </row>
    <row r="163" spans="1:8" ht="32.25" thickBot="1">
      <c r="A163" s="255">
        <v>23</v>
      </c>
      <c r="B163" s="332" t="s">
        <v>76</v>
      </c>
      <c r="C163" s="333" t="s">
        <v>674</v>
      </c>
      <c r="D163" s="334"/>
      <c r="E163" s="795">
        <v>80000</v>
      </c>
      <c r="F163" s="258"/>
      <c r="G163">
        <v>1000</v>
      </c>
      <c r="H163" s="561">
        <f t="shared" si="0"/>
        <v>80000000</v>
      </c>
    </row>
    <row r="164" spans="1:8" ht="32.25" thickBot="1">
      <c r="A164" s="255">
        <v>24</v>
      </c>
      <c r="B164" s="332" t="s">
        <v>182</v>
      </c>
      <c r="C164" s="333" t="s">
        <v>674</v>
      </c>
      <c r="D164" s="334"/>
      <c r="E164" s="795">
        <v>60000</v>
      </c>
      <c r="F164" s="258"/>
      <c r="G164">
        <v>1000</v>
      </c>
      <c r="H164" s="561">
        <f t="shared" si="0"/>
        <v>60000000</v>
      </c>
    </row>
    <row r="165" spans="1:8" ht="16.5" thickBot="1">
      <c r="A165" s="255">
        <v>25</v>
      </c>
      <c r="B165" s="332" t="s">
        <v>149</v>
      </c>
      <c r="C165" s="333" t="s">
        <v>674</v>
      </c>
      <c r="D165" s="334"/>
      <c r="E165" s="795">
        <v>120000</v>
      </c>
      <c r="F165" s="258"/>
      <c r="G165">
        <v>1000</v>
      </c>
      <c r="H165" s="561">
        <f t="shared" si="0"/>
        <v>120000000</v>
      </c>
    </row>
    <row r="166" spans="1:8" ht="32.25" thickBot="1">
      <c r="A166" s="255">
        <v>26</v>
      </c>
      <c r="B166" s="332" t="s">
        <v>81</v>
      </c>
      <c r="C166" s="333" t="s">
        <v>649</v>
      </c>
      <c r="D166" s="334"/>
      <c r="E166" s="795">
        <v>40000</v>
      </c>
      <c r="F166" s="258"/>
      <c r="G166">
        <v>1000</v>
      </c>
      <c r="H166" s="561">
        <f t="shared" si="0"/>
        <v>40000000</v>
      </c>
    </row>
    <row r="167" spans="1:8" ht="32.25" thickBot="1">
      <c r="A167" s="255">
        <v>27</v>
      </c>
      <c r="B167" s="332" t="s">
        <v>684</v>
      </c>
      <c r="C167" s="333" t="s">
        <v>649</v>
      </c>
      <c r="D167" s="334">
        <v>180</v>
      </c>
      <c r="E167" s="795">
        <v>0</v>
      </c>
      <c r="F167" s="258"/>
      <c r="G167">
        <v>1000</v>
      </c>
      <c r="H167" s="561">
        <f t="shared" si="0"/>
        <v>0</v>
      </c>
    </row>
    <row r="168" spans="1:8" ht="32.25" thickBot="1">
      <c r="A168" s="255">
        <v>28</v>
      </c>
      <c r="B168" s="332" t="s">
        <v>685</v>
      </c>
      <c r="C168" s="333" t="s">
        <v>649</v>
      </c>
      <c r="D168" s="334">
        <v>660</v>
      </c>
      <c r="E168" s="795">
        <v>0</v>
      </c>
      <c r="F168" s="258"/>
      <c r="G168">
        <v>1000</v>
      </c>
      <c r="H168" s="561">
        <f t="shared" si="0"/>
        <v>0</v>
      </c>
    </row>
    <row r="169" spans="1:8" ht="32.25" thickBot="1">
      <c r="A169" s="255">
        <v>29</v>
      </c>
      <c r="B169" s="332" t="s">
        <v>205</v>
      </c>
      <c r="C169" s="333" t="s">
        <v>649</v>
      </c>
      <c r="D169" s="334"/>
      <c r="E169" s="795">
        <v>100000</v>
      </c>
      <c r="F169" s="258"/>
      <c r="G169">
        <v>1000</v>
      </c>
      <c r="H169" s="561">
        <f t="shared" si="0"/>
        <v>100000000</v>
      </c>
    </row>
    <row r="170" spans="1:8" ht="16.5" thickBot="1">
      <c r="A170" s="255">
        <v>30</v>
      </c>
      <c r="B170" s="332" t="s">
        <v>686</v>
      </c>
      <c r="C170" s="333" t="s">
        <v>649</v>
      </c>
      <c r="D170" s="334">
        <v>80</v>
      </c>
      <c r="E170" s="795">
        <v>0</v>
      </c>
      <c r="F170" s="258"/>
      <c r="G170">
        <v>1000</v>
      </c>
      <c r="H170" s="561">
        <f t="shared" si="0"/>
        <v>0</v>
      </c>
    </row>
    <row r="171" spans="1:8" ht="32.25" thickBot="1">
      <c r="A171" s="255">
        <v>31</v>
      </c>
      <c r="B171" s="332" t="s">
        <v>687</v>
      </c>
      <c r="C171" s="333" t="s">
        <v>649</v>
      </c>
      <c r="D171" s="334">
        <v>100</v>
      </c>
      <c r="E171" s="795">
        <v>0</v>
      </c>
      <c r="F171" s="258"/>
      <c r="G171">
        <v>1000</v>
      </c>
      <c r="H171" s="561">
        <f t="shared" si="0"/>
        <v>0</v>
      </c>
    </row>
    <row r="172" spans="1:8" ht="16.5" thickBot="1">
      <c r="A172" s="255">
        <v>32</v>
      </c>
      <c r="B172" s="332" t="s">
        <v>91</v>
      </c>
      <c r="C172" s="333" t="s">
        <v>650</v>
      </c>
      <c r="D172" s="334"/>
      <c r="E172" s="795">
        <v>40000</v>
      </c>
      <c r="F172" s="258"/>
      <c r="G172">
        <v>1000</v>
      </c>
      <c r="H172" s="561">
        <f t="shared" si="0"/>
        <v>40000000</v>
      </c>
    </row>
    <row r="173" spans="1:8" ht="16.5" thickBot="1">
      <c r="A173" s="255">
        <v>33</v>
      </c>
      <c r="B173" s="332" t="s">
        <v>269</v>
      </c>
      <c r="C173" s="333" t="s">
        <v>650</v>
      </c>
      <c r="D173" s="334"/>
      <c r="E173" s="795">
        <v>80000</v>
      </c>
      <c r="F173" s="258"/>
      <c r="G173">
        <v>1000</v>
      </c>
      <c r="H173" s="561">
        <f t="shared" si="0"/>
        <v>80000000</v>
      </c>
    </row>
    <row r="174" spans="1:8" ht="16.5" thickBot="1">
      <c r="A174" s="255">
        <v>34</v>
      </c>
      <c r="B174" s="332" t="s">
        <v>153</v>
      </c>
      <c r="C174" s="333" t="s">
        <v>642</v>
      </c>
      <c r="D174" s="334"/>
      <c r="E174" s="795">
        <v>100000</v>
      </c>
      <c r="F174" s="258"/>
      <c r="G174">
        <v>1000</v>
      </c>
      <c r="H174" s="561">
        <f t="shared" si="0"/>
        <v>100000000</v>
      </c>
    </row>
    <row r="175" spans="1:8" ht="16.5" thickBot="1">
      <c r="A175" s="255">
        <v>35</v>
      </c>
      <c r="B175" s="332" t="s">
        <v>682</v>
      </c>
      <c r="C175" s="333" t="s">
        <v>642</v>
      </c>
      <c r="D175" s="334">
        <v>180</v>
      </c>
      <c r="E175" s="795">
        <v>0</v>
      </c>
      <c r="F175" s="258"/>
      <c r="G175">
        <v>1000</v>
      </c>
      <c r="H175" s="561">
        <f t="shared" si="0"/>
        <v>0</v>
      </c>
    </row>
    <row r="176" spans="1:8" ht="32.25" thickBot="1">
      <c r="A176" s="255">
        <v>36</v>
      </c>
      <c r="B176" s="332" t="s">
        <v>681</v>
      </c>
      <c r="C176" s="333" t="s">
        <v>642</v>
      </c>
      <c r="D176" s="334"/>
      <c r="E176" s="795">
        <v>180000</v>
      </c>
      <c r="F176" s="258"/>
      <c r="G176">
        <v>1000</v>
      </c>
      <c r="H176" s="561">
        <f t="shared" si="0"/>
        <v>180000000</v>
      </c>
    </row>
    <row r="177" spans="1:6" ht="16.5" thickBot="1">
      <c r="A177" s="360" t="s">
        <v>676</v>
      </c>
      <c r="B177" s="361"/>
      <c r="C177" s="336"/>
      <c r="D177" s="337" t="s">
        <v>1258</v>
      </c>
      <c r="E177" s="792" t="s">
        <v>1259</v>
      </c>
      <c r="F177" s="337"/>
    </row>
    <row r="178" spans="1:6" ht="16.5" customHeight="1" thickBot="1">
      <c r="A178" s="360" t="s">
        <v>753</v>
      </c>
      <c r="B178" s="361"/>
      <c r="C178" s="336"/>
      <c r="D178" s="362" t="s">
        <v>1260</v>
      </c>
      <c r="E178" s="793"/>
      <c r="F178" s="337"/>
    </row>
    <row r="179" spans="1:6" ht="15.75">
      <c r="A179" s="338" t="s">
        <v>1261</v>
      </c>
    </row>
    <row r="180" spans="1:6" ht="16.5">
      <c r="A180" s="749"/>
      <c r="B180" s="248"/>
    </row>
    <row r="181" spans="1:6" ht="16.5">
      <c r="A181" s="324" t="s">
        <v>1262</v>
      </c>
    </row>
    <row r="182" spans="1:6" ht="16.5">
      <c r="A182" s="324" t="s">
        <v>1263</v>
      </c>
    </row>
    <row r="183" spans="1:6" ht="17.25" thickBot="1">
      <c r="A183" s="297" t="s">
        <v>1264</v>
      </c>
    </row>
    <row r="184" spans="1:6" ht="33.75" thickBot="1">
      <c r="A184" s="757" t="s">
        <v>0</v>
      </c>
      <c r="B184" s="757" t="s">
        <v>1244</v>
      </c>
      <c r="C184" s="763" t="s">
        <v>632</v>
      </c>
      <c r="D184" s="764" t="s">
        <v>1245</v>
      </c>
      <c r="E184" s="789" t="s">
        <v>634</v>
      </c>
    </row>
    <row r="185" spans="1:6" ht="30.75" thickBot="1">
      <c r="A185" s="340">
        <v>1</v>
      </c>
      <c r="B185" s="765" t="s">
        <v>667</v>
      </c>
      <c r="C185" s="766" t="s">
        <v>668</v>
      </c>
      <c r="D185" s="767">
        <v>20</v>
      </c>
      <c r="E185" s="790"/>
    </row>
    <row r="186" spans="1:6" ht="30.75" thickBot="1">
      <c r="A186" s="333">
        <v>2</v>
      </c>
      <c r="B186" s="768" t="s">
        <v>275</v>
      </c>
      <c r="C186" s="766" t="s">
        <v>668</v>
      </c>
      <c r="D186" s="767">
        <v>30</v>
      </c>
      <c r="E186" s="791"/>
    </row>
    <row r="187" spans="1:6" ht="16.5" thickBot="1">
      <c r="A187" s="333">
        <v>3</v>
      </c>
      <c r="B187" s="768" t="s">
        <v>31</v>
      </c>
      <c r="C187" s="766" t="s">
        <v>668</v>
      </c>
      <c r="D187" s="767">
        <v>10</v>
      </c>
      <c r="E187" s="791"/>
    </row>
    <row r="188" spans="1:6" ht="30.75" thickBot="1">
      <c r="A188" s="333">
        <v>4</v>
      </c>
      <c r="B188" s="768" t="s">
        <v>435</v>
      </c>
      <c r="C188" s="766" t="s">
        <v>668</v>
      </c>
      <c r="D188" s="767">
        <v>10</v>
      </c>
      <c r="E188" s="791"/>
    </row>
    <row r="189" spans="1:6" ht="16.5" thickBot="1">
      <c r="A189" s="333">
        <v>5</v>
      </c>
      <c r="B189" s="768" t="s">
        <v>295</v>
      </c>
      <c r="C189" s="766" t="s">
        <v>668</v>
      </c>
      <c r="D189" s="767">
        <v>10</v>
      </c>
      <c r="E189" s="791"/>
    </row>
    <row r="190" spans="1:6" ht="30.75" thickBot="1">
      <c r="A190" s="333">
        <v>6</v>
      </c>
      <c r="B190" s="768" t="s">
        <v>672</v>
      </c>
      <c r="C190" s="766" t="s">
        <v>668</v>
      </c>
      <c r="D190" s="767">
        <v>35</v>
      </c>
      <c r="E190" s="791"/>
    </row>
    <row r="191" spans="1:6" ht="16.5" thickBot="1">
      <c r="A191" s="333">
        <v>7</v>
      </c>
      <c r="B191" s="768" t="s">
        <v>151</v>
      </c>
      <c r="C191" s="766" t="s">
        <v>653</v>
      </c>
      <c r="D191" s="767">
        <v>30</v>
      </c>
      <c r="E191" s="791"/>
    </row>
    <row r="192" spans="1:6" ht="16.5" thickBot="1">
      <c r="A192" s="333">
        <v>8</v>
      </c>
      <c r="B192" s="768" t="s">
        <v>48</v>
      </c>
      <c r="C192" s="766" t="s">
        <v>653</v>
      </c>
      <c r="D192" s="767">
        <v>10</v>
      </c>
      <c r="E192" s="791"/>
    </row>
    <row r="193" spans="1:5" ht="16.5" thickBot="1">
      <c r="A193" s="333">
        <v>9</v>
      </c>
      <c r="B193" s="768" t="s">
        <v>656</v>
      </c>
      <c r="C193" s="766" t="s">
        <v>653</v>
      </c>
      <c r="D193" s="767">
        <v>10</v>
      </c>
      <c r="E193" s="791"/>
    </row>
    <row r="194" spans="1:5" ht="30.75" thickBot="1">
      <c r="A194" s="333">
        <v>10</v>
      </c>
      <c r="B194" s="768" t="s">
        <v>689</v>
      </c>
      <c r="C194" s="766" t="s">
        <v>653</v>
      </c>
      <c r="D194" s="767">
        <v>10</v>
      </c>
      <c r="E194" s="791"/>
    </row>
    <row r="195" spans="1:5" ht="30.75" thickBot="1">
      <c r="A195" s="333">
        <v>11</v>
      </c>
      <c r="B195" s="768" t="s">
        <v>50</v>
      </c>
      <c r="C195" s="766" t="s">
        <v>653</v>
      </c>
      <c r="D195" s="767">
        <v>20</v>
      </c>
      <c r="E195" s="791"/>
    </row>
    <row r="196" spans="1:5" ht="30.75" thickBot="1">
      <c r="A196" s="333">
        <v>12</v>
      </c>
      <c r="B196" s="768" t="s">
        <v>65</v>
      </c>
      <c r="C196" s="766" t="s">
        <v>646</v>
      </c>
      <c r="D196" s="767">
        <v>10</v>
      </c>
      <c r="E196" s="791"/>
    </row>
    <row r="197" spans="1:5" ht="30.75" thickBot="1">
      <c r="A197" s="333">
        <v>13</v>
      </c>
      <c r="B197" s="768" t="s">
        <v>289</v>
      </c>
      <c r="C197" s="766" t="s">
        <v>646</v>
      </c>
      <c r="D197" s="767">
        <v>10</v>
      </c>
      <c r="E197" s="791"/>
    </row>
    <row r="198" spans="1:5" ht="16.5" thickBot="1">
      <c r="A198" s="333">
        <v>14</v>
      </c>
      <c r="B198" s="768" t="s">
        <v>1246</v>
      </c>
      <c r="C198" s="766" t="s">
        <v>646</v>
      </c>
      <c r="D198" s="767">
        <v>5</v>
      </c>
      <c r="E198" s="791"/>
    </row>
    <row r="199" spans="1:5" ht="16.5" thickBot="1">
      <c r="A199" s="333">
        <v>15</v>
      </c>
      <c r="B199" s="768" t="s">
        <v>673</v>
      </c>
      <c r="C199" s="766" t="s">
        <v>674</v>
      </c>
      <c r="D199" s="767">
        <v>30</v>
      </c>
      <c r="E199" s="791"/>
    </row>
    <row r="200" spans="1:5" ht="16.5" thickBot="1">
      <c r="A200" s="333">
        <v>16</v>
      </c>
      <c r="B200" s="768" t="s">
        <v>741</v>
      </c>
      <c r="C200" s="766" t="s">
        <v>674</v>
      </c>
      <c r="D200" s="767">
        <v>85</v>
      </c>
      <c r="E200" s="791"/>
    </row>
    <row r="201" spans="1:5" ht="16.5" thickBot="1">
      <c r="A201" s="333">
        <v>17</v>
      </c>
      <c r="B201" s="768" t="s">
        <v>675</v>
      </c>
      <c r="C201" s="766" t="s">
        <v>674</v>
      </c>
      <c r="D201" s="767">
        <v>40</v>
      </c>
      <c r="E201" s="791"/>
    </row>
    <row r="202" spans="1:5" ht="16.5" thickBot="1">
      <c r="A202" s="333">
        <v>18</v>
      </c>
      <c r="B202" s="768" t="s">
        <v>78</v>
      </c>
      <c r="C202" s="766" t="s">
        <v>649</v>
      </c>
      <c r="D202" s="767">
        <v>10</v>
      </c>
      <c r="E202" s="791"/>
    </row>
    <row r="203" spans="1:5" ht="16.5" thickBot="1">
      <c r="A203" s="333">
        <v>19</v>
      </c>
      <c r="B203" s="768" t="s">
        <v>765</v>
      </c>
      <c r="C203" s="766" t="s">
        <v>650</v>
      </c>
      <c r="D203" s="767">
        <v>30</v>
      </c>
      <c r="E203" s="791"/>
    </row>
    <row r="204" spans="1:5" ht="30.75" thickBot="1">
      <c r="A204" s="333">
        <v>20</v>
      </c>
      <c r="B204" s="768" t="s">
        <v>83</v>
      </c>
      <c r="C204" s="766" t="s">
        <v>650</v>
      </c>
      <c r="D204" s="767">
        <v>10</v>
      </c>
      <c r="E204" s="791"/>
    </row>
    <row r="205" spans="1:5" ht="16.5" thickBot="1">
      <c r="A205" s="333">
        <v>21</v>
      </c>
      <c r="B205" s="768" t="s">
        <v>688</v>
      </c>
      <c r="C205" s="766" t="s">
        <v>650</v>
      </c>
      <c r="D205" s="767">
        <v>150</v>
      </c>
      <c r="E205" s="791"/>
    </row>
    <row r="206" spans="1:5" ht="16.5" thickBot="1">
      <c r="A206" s="333">
        <v>22</v>
      </c>
      <c r="B206" s="768" t="s">
        <v>651</v>
      </c>
      <c r="C206" s="766" t="s">
        <v>650</v>
      </c>
      <c r="D206" s="767">
        <v>50</v>
      </c>
      <c r="E206" s="791"/>
    </row>
    <row r="207" spans="1:5" ht="16.5" thickBot="1">
      <c r="A207" s="333">
        <v>23</v>
      </c>
      <c r="B207" s="768" t="s">
        <v>652</v>
      </c>
      <c r="C207" s="766" t="s">
        <v>650</v>
      </c>
      <c r="D207" s="767">
        <v>95</v>
      </c>
      <c r="E207" s="791"/>
    </row>
    <row r="208" spans="1:5" ht="16.5" thickBot="1">
      <c r="A208" s="333">
        <v>24</v>
      </c>
      <c r="B208" s="768" t="s">
        <v>755</v>
      </c>
      <c r="C208" s="766" t="s">
        <v>642</v>
      </c>
      <c r="D208" s="767">
        <v>10</v>
      </c>
      <c r="E208" s="791"/>
    </row>
    <row r="209" spans="1:5" ht="30.75" thickBot="1">
      <c r="A209" s="333">
        <v>25</v>
      </c>
      <c r="B209" s="768" t="s">
        <v>94</v>
      </c>
      <c r="C209" s="766" t="s">
        <v>642</v>
      </c>
      <c r="D209" s="767">
        <v>10</v>
      </c>
      <c r="E209" s="791"/>
    </row>
    <row r="210" spans="1:5" ht="30.75" thickBot="1">
      <c r="A210" s="333">
        <v>26</v>
      </c>
      <c r="B210" s="768" t="s">
        <v>716</v>
      </c>
      <c r="C210" s="766" t="s">
        <v>642</v>
      </c>
      <c r="D210" s="767">
        <v>10</v>
      </c>
      <c r="E210" s="791"/>
    </row>
    <row r="211" spans="1:5" ht="30.75" thickBot="1">
      <c r="A211" s="333">
        <v>27</v>
      </c>
      <c r="B211" s="768" t="s">
        <v>86</v>
      </c>
      <c r="C211" s="766" t="s">
        <v>642</v>
      </c>
      <c r="D211" s="767">
        <v>20</v>
      </c>
      <c r="E211" s="791"/>
    </row>
    <row r="212" spans="1:5" ht="16.5" thickBot="1">
      <c r="A212" s="333">
        <v>28</v>
      </c>
      <c r="B212" s="768" t="s">
        <v>644</v>
      </c>
      <c r="C212" s="766" t="s">
        <v>642</v>
      </c>
      <c r="D212" s="767">
        <v>20</v>
      </c>
      <c r="E212" s="791"/>
    </row>
    <row r="213" spans="1:5" ht="30.75" thickBot="1">
      <c r="A213" s="333">
        <v>29</v>
      </c>
      <c r="B213" s="768" t="s">
        <v>207</v>
      </c>
      <c r="C213" s="766" t="s">
        <v>642</v>
      </c>
      <c r="D213" s="767">
        <v>110</v>
      </c>
      <c r="E213" s="791"/>
    </row>
    <row r="214" spans="1:5" ht="30.75" thickBot="1">
      <c r="A214" s="333">
        <v>30</v>
      </c>
      <c r="B214" s="768" t="s">
        <v>169</v>
      </c>
      <c r="C214" s="766" t="s">
        <v>642</v>
      </c>
      <c r="D214" s="767">
        <v>85</v>
      </c>
      <c r="E214" s="791"/>
    </row>
    <row r="215" spans="1:5" ht="16.5" thickBot="1">
      <c r="A215" s="333">
        <v>31</v>
      </c>
      <c r="B215" s="768" t="s">
        <v>643</v>
      </c>
      <c r="C215" s="766" t="s">
        <v>642</v>
      </c>
      <c r="D215" s="767">
        <v>20</v>
      </c>
      <c r="E215" s="791"/>
    </row>
    <row r="216" spans="1:5" ht="16.5" thickBot="1">
      <c r="A216" s="333">
        <v>32</v>
      </c>
      <c r="B216" s="768" t="s">
        <v>635</v>
      </c>
      <c r="C216" s="766" t="s">
        <v>636</v>
      </c>
      <c r="D216" s="767">
        <v>20</v>
      </c>
      <c r="E216" s="791"/>
    </row>
    <row r="217" spans="1:5" ht="16.5" thickBot="1">
      <c r="A217" s="333">
        <v>33</v>
      </c>
      <c r="B217" s="768" t="s">
        <v>637</v>
      </c>
      <c r="C217" s="766" t="s">
        <v>636</v>
      </c>
      <c r="D217" s="767">
        <v>20</v>
      </c>
      <c r="E217" s="791"/>
    </row>
    <row r="218" spans="1:5" ht="16.5" thickBot="1">
      <c r="A218" s="333">
        <v>34</v>
      </c>
      <c r="B218" s="768" t="s">
        <v>98</v>
      </c>
      <c r="C218" s="766" t="s">
        <v>636</v>
      </c>
      <c r="D218" s="767">
        <v>20</v>
      </c>
      <c r="E218" s="791"/>
    </row>
    <row r="219" spans="1:5" ht="30.75" thickBot="1">
      <c r="A219" s="333">
        <v>35</v>
      </c>
      <c r="B219" s="768" t="s">
        <v>19</v>
      </c>
      <c r="C219" s="766" t="s">
        <v>636</v>
      </c>
      <c r="D219" s="767">
        <v>20</v>
      </c>
      <c r="E219" s="791"/>
    </row>
    <row r="220" spans="1:5" ht="30.75" thickBot="1">
      <c r="A220" s="333">
        <v>36</v>
      </c>
      <c r="B220" s="768" t="s">
        <v>210</v>
      </c>
      <c r="C220" s="766" t="s">
        <v>636</v>
      </c>
      <c r="D220" s="767">
        <v>30</v>
      </c>
      <c r="E220" s="791"/>
    </row>
    <row r="221" spans="1:5" ht="30.75" thickBot="1">
      <c r="A221" s="333">
        <v>37</v>
      </c>
      <c r="B221" s="768" t="s">
        <v>96</v>
      </c>
      <c r="C221" s="766" t="s">
        <v>636</v>
      </c>
      <c r="D221" s="767">
        <v>55</v>
      </c>
      <c r="E221" s="791"/>
    </row>
    <row r="222" spans="1:5" ht="16.5" thickBot="1">
      <c r="A222" s="333">
        <v>38</v>
      </c>
      <c r="B222" s="768" t="s">
        <v>641</v>
      </c>
      <c r="C222" s="766" t="s">
        <v>636</v>
      </c>
      <c r="D222" s="767">
        <v>95</v>
      </c>
      <c r="E222" s="791"/>
    </row>
    <row r="223" spans="1:5" ht="30.75" thickBot="1">
      <c r="A223" s="333">
        <v>39</v>
      </c>
      <c r="B223" s="768" t="s">
        <v>106</v>
      </c>
      <c r="C223" s="766" t="s">
        <v>636</v>
      </c>
      <c r="D223" s="767">
        <v>100</v>
      </c>
      <c r="E223" s="791"/>
    </row>
    <row r="224" spans="1:5" ht="30.75" thickBot="1">
      <c r="A224" s="333">
        <v>40</v>
      </c>
      <c r="B224" s="768" t="s">
        <v>154</v>
      </c>
      <c r="C224" s="766" t="s">
        <v>636</v>
      </c>
      <c r="D224" s="767">
        <v>20</v>
      </c>
      <c r="E224" s="791"/>
    </row>
    <row r="225" spans="1:5" ht="16.5" thickBot="1">
      <c r="A225" s="333">
        <v>41</v>
      </c>
      <c r="B225" s="768" t="s">
        <v>744</v>
      </c>
      <c r="C225" s="766" t="s">
        <v>636</v>
      </c>
      <c r="D225" s="767">
        <v>20</v>
      </c>
      <c r="E225" s="791"/>
    </row>
    <row r="226" spans="1:5" ht="16.5" thickBot="1">
      <c r="A226" s="333">
        <v>42</v>
      </c>
      <c r="B226" s="768" t="s">
        <v>1223</v>
      </c>
      <c r="C226" s="766" t="s">
        <v>756</v>
      </c>
      <c r="D226" s="767">
        <v>10</v>
      </c>
      <c r="E226" s="791"/>
    </row>
    <row r="227" spans="1:5" ht="16.5" thickBot="1">
      <c r="A227" s="333">
        <v>43</v>
      </c>
      <c r="B227" s="768" t="s">
        <v>757</v>
      </c>
      <c r="C227" s="766" t="s">
        <v>756</v>
      </c>
      <c r="D227" s="767">
        <v>20</v>
      </c>
      <c r="E227" s="791"/>
    </row>
    <row r="228" spans="1:5" ht="30.75" thickBot="1">
      <c r="A228" s="333">
        <v>44</v>
      </c>
      <c r="B228" s="768" t="s">
        <v>1247</v>
      </c>
      <c r="C228" s="766" t="s">
        <v>756</v>
      </c>
      <c r="D228" s="767">
        <v>20</v>
      </c>
      <c r="E228" s="791"/>
    </row>
    <row r="229" spans="1:5" ht="16.5" thickBot="1">
      <c r="A229" s="333">
        <v>45</v>
      </c>
      <c r="B229" s="768" t="s">
        <v>1248</v>
      </c>
      <c r="C229" s="766" t="s">
        <v>756</v>
      </c>
      <c r="D229" s="767">
        <v>20</v>
      </c>
      <c r="E229" s="791"/>
    </row>
    <row r="230" spans="1:5" ht="16.5" thickBot="1">
      <c r="A230" s="255"/>
      <c r="B230" s="360" t="s">
        <v>676</v>
      </c>
      <c r="C230" s="363"/>
      <c r="D230" s="769" t="s">
        <v>1265</v>
      </c>
      <c r="E230" s="788"/>
    </row>
    <row r="231" spans="1:5" ht="15.75">
      <c r="A231" s="338" t="s">
        <v>1266</v>
      </c>
    </row>
    <row r="232" spans="1:5">
      <c r="A232" s="320"/>
    </row>
    <row r="233" spans="1:5" ht="33">
      <c r="A233" s="750" t="s">
        <v>1167</v>
      </c>
      <c r="B233" s="248"/>
    </row>
    <row r="234" spans="1:5" ht="99">
      <c r="A234" s="750" t="s">
        <v>116</v>
      </c>
      <c r="B234" s="248"/>
    </row>
    <row r="235" spans="1:5" ht="33">
      <c r="A235" s="750" t="s">
        <v>1167</v>
      </c>
      <c r="B235" s="248"/>
    </row>
    <row r="236" spans="1:5" ht="99">
      <c r="A236" s="750" t="s">
        <v>116</v>
      </c>
      <c r="B236" s="248"/>
    </row>
    <row r="237" spans="1:5" ht="16.5">
      <c r="A237" s="749"/>
      <c r="B237" s="248"/>
    </row>
    <row r="238" spans="1:5" ht="16.5">
      <c r="A238" s="324" t="s">
        <v>1267</v>
      </c>
    </row>
    <row r="239" spans="1:5">
      <c r="A239" s="331"/>
    </row>
    <row r="240" spans="1:5" ht="16.5">
      <c r="A240" s="324" t="s">
        <v>1252</v>
      </c>
    </row>
    <row r="241" spans="1:5" ht="16.5">
      <c r="A241" s="297" t="s">
        <v>1250</v>
      </c>
    </row>
    <row r="242" spans="1:5" ht="15.75" thickBot="1">
      <c r="A242" s="762"/>
    </row>
    <row r="243" spans="1:5" ht="33.75" thickBot="1">
      <c r="A243" s="757" t="s">
        <v>0</v>
      </c>
      <c r="B243" s="757" t="s">
        <v>121</v>
      </c>
      <c r="C243" s="757" t="s">
        <v>1253</v>
      </c>
      <c r="D243" s="758" t="s">
        <v>1251</v>
      </c>
      <c r="E243" s="789" t="s">
        <v>634</v>
      </c>
    </row>
    <row r="244" spans="1:5" ht="17.25" thickBot="1">
      <c r="A244" s="340">
        <v>1</v>
      </c>
      <c r="B244" s="759" t="s">
        <v>1268</v>
      </c>
      <c r="C244" s="760" t="s">
        <v>1255</v>
      </c>
      <c r="D244" s="771">
        <v>270000</v>
      </c>
      <c r="E244" s="790"/>
    </row>
    <row r="245" spans="1:5" ht="17.25" thickBot="1">
      <c r="A245" s="333">
        <v>2</v>
      </c>
      <c r="B245" s="256" t="s">
        <v>1254</v>
      </c>
      <c r="C245" s="255" t="s">
        <v>1269</v>
      </c>
      <c r="D245" s="772">
        <v>270000</v>
      </c>
      <c r="E245" s="791"/>
    </row>
    <row r="246" spans="1:5" ht="17.25" thickBot="1">
      <c r="A246" s="333">
        <v>3</v>
      </c>
      <c r="B246" s="256" t="s">
        <v>1270</v>
      </c>
      <c r="C246" s="255" t="s">
        <v>1271</v>
      </c>
      <c r="D246" s="772">
        <v>270000</v>
      </c>
      <c r="E246" s="791"/>
    </row>
    <row r="247" spans="1:5" ht="17.25" thickBot="1">
      <c r="A247" s="774" t="s">
        <v>758</v>
      </c>
      <c r="B247" s="775"/>
      <c r="C247" s="761"/>
      <c r="D247" s="770">
        <v>810000</v>
      </c>
      <c r="E247" s="794"/>
    </row>
    <row r="248" spans="1:5" ht="15.75">
      <c r="A248" s="338" t="s">
        <v>1272</v>
      </c>
    </row>
    <row r="249" spans="1:5">
      <c r="A249" s="320"/>
    </row>
    <row r="250" spans="1:5">
      <c r="A250" s="339"/>
    </row>
    <row r="251" spans="1:5">
      <c r="A251" s="319"/>
    </row>
    <row r="252" spans="1:5">
      <c r="A252" s="320"/>
    </row>
    <row r="253" spans="1:5">
      <c r="A253" s="341"/>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8"/>
  <sheetViews>
    <sheetView workbookViewId="0">
      <selection activeCell="G15" sqref="G15"/>
    </sheetView>
  </sheetViews>
  <sheetFormatPr defaultColWidth="9.140625" defaultRowHeight="12.75"/>
  <cols>
    <col min="1" max="1" width="9.140625" style="14"/>
    <col min="2" max="2" width="15.5703125" style="14" customWidth="1"/>
    <col min="3" max="3" width="22.85546875" style="3" customWidth="1"/>
    <col min="4" max="4" width="13.85546875" style="504" customWidth="1"/>
    <col min="5" max="5" width="13.7109375" style="510" customWidth="1"/>
    <col min="6" max="6" width="12.7109375" style="3" customWidth="1"/>
    <col min="7" max="7" width="14.140625" style="3" customWidth="1"/>
    <col min="8" max="8" width="9.140625" style="3"/>
    <col min="9" max="9" width="12.85546875" style="3" customWidth="1"/>
    <col min="10" max="10" width="12.42578125" style="3" customWidth="1"/>
    <col min="11" max="13" width="11.28515625" style="3" customWidth="1"/>
    <col min="14" max="16384" width="9.140625" style="3"/>
  </cols>
  <sheetData>
    <row r="1" spans="1:23" ht="16.5">
      <c r="A1" s="1"/>
      <c r="B1" s="480" t="s">
        <v>904</v>
      </c>
      <c r="C1" s="1"/>
      <c r="D1" s="478"/>
      <c r="E1" s="481"/>
    </row>
    <row r="2" spans="1:23">
      <c r="A2" s="1523"/>
      <c r="B2" s="1523"/>
      <c r="C2" s="1523"/>
      <c r="D2" s="1523"/>
      <c r="E2" s="481"/>
    </row>
    <row r="3" spans="1:23" s="4" customFormat="1" ht="16.5">
      <c r="A3" s="1524" t="s">
        <v>1318</v>
      </c>
      <c r="B3" s="1524"/>
      <c r="C3" s="1524"/>
      <c r="D3" s="1524"/>
      <c r="E3" s="1524"/>
      <c r="F3" s="1524"/>
      <c r="G3" s="1524"/>
      <c r="H3" s="1524"/>
      <c r="I3" s="1524"/>
      <c r="J3" s="1524"/>
      <c r="K3" s="1524"/>
      <c r="L3" s="482"/>
      <c r="M3" s="482"/>
    </row>
    <row r="4" spans="1:23" s="4" customFormat="1" ht="16.5">
      <c r="A4" s="1525" t="s">
        <v>905</v>
      </c>
      <c r="B4" s="1525"/>
      <c r="C4" s="1525"/>
      <c r="D4" s="1525"/>
      <c r="E4" s="1525"/>
      <c r="F4" s="1525"/>
      <c r="G4" s="1525"/>
      <c r="H4" s="1525"/>
      <c r="I4" s="1525"/>
      <c r="J4" s="1525"/>
      <c r="K4" s="1525"/>
      <c r="L4" s="483"/>
      <c r="M4" s="483"/>
    </row>
    <row r="5" spans="1:23">
      <c r="A5" s="484"/>
      <c r="B5" s="484"/>
      <c r="C5" s="485"/>
      <c r="D5" s="486"/>
      <c r="E5" s="487" t="s">
        <v>697</v>
      </c>
    </row>
    <row r="6" spans="1:23" s="2" customFormat="1" ht="58.9" customHeight="1">
      <c r="A6" s="1567" t="s">
        <v>0</v>
      </c>
      <c r="B6" s="1567" t="s">
        <v>1</v>
      </c>
      <c r="C6" s="1567" t="s">
        <v>2</v>
      </c>
      <c r="D6" s="1528" t="s">
        <v>3</v>
      </c>
      <c r="E6" s="1529"/>
      <c r="F6" s="179" t="s">
        <v>5</v>
      </c>
      <c r="G6" s="1530" t="s">
        <v>188</v>
      </c>
      <c r="H6" s="1530" t="s">
        <v>906</v>
      </c>
      <c r="I6" s="1530"/>
      <c r="J6" s="1530" t="s">
        <v>907</v>
      </c>
      <c r="K6" s="1530"/>
      <c r="L6" s="37"/>
      <c r="M6" s="37"/>
    </row>
    <row r="7" spans="1:23" s="2" customFormat="1" ht="89.25" customHeight="1">
      <c r="A7" s="1527"/>
      <c r="B7" s="1527"/>
      <c r="C7" s="1527"/>
      <c r="D7" s="179" t="s">
        <v>6</v>
      </c>
      <c r="E7" s="179" t="s">
        <v>7</v>
      </c>
      <c r="F7" s="179" t="s">
        <v>10</v>
      </c>
      <c r="G7" s="1530"/>
      <c r="H7" s="180" t="s">
        <v>908</v>
      </c>
      <c r="I7" s="180" t="s">
        <v>909</v>
      </c>
      <c r="J7" s="488" t="s">
        <v>910</v>
      </c>
      <c r="K7" s="488" t="s">
        <v>911</v>
      </c>
      <c r="L7" s="489"/>
      <c r="M7" s="489"/>
      <c r="N7" s="29"/>
      <c r="O7" s="29"/>
    </row>
    <row r="8" spans="1:23" s="7" customFormat="1" ht="26.25" customHeight="1">
      <c r="A8" s="5">
        <v>0</v>
      </c>
      <c r="B8" s="5">
        <v>1</v>
      </c>
      <c r="C8" s="5">
        <v>2</v>
      </c>
      <c r="D8" s="6"/>
      <c r="E8" s="5">
        <v>3</v>
      </c>
      <c r="F8" s="5">
        <v>4</v>
      </c>
      <c r="G8" s="5">
        <v>5</v>
      </c>
      <c r="H8" s="5">
        <v>6</v>
      </c>
      <c r="I8" s="5" t="s">
        <v>912</v>
      </c>
      <c r="J8" s="5" t="s">
        <v>913</v>
      </c>
      <c r="K8" s="5">
        <v>9</v>
      </c>
      <c r="P8" s="8" t="s">
        <v>13</v>
      </c>
      <c r="Q8" s="10" t="s">
        <v>14</v>
      </c>
      <c r="S8" s="21"/>
      <c r="U8" s="7">
        <v>1</v>
      </c>
    </row>
    <row r="9" spans="1:23" s="9" customFormat="1" ht="26.25" customHeight="1">
      <c r="A9" s="8">
        <v>1</v>
      </c>
      <c r="B9" s="56" t="s">
        <v>13</v>
      </c>
      <c r="C9" s="10" t="s">
        <v>14</v>
      </c>
      <c r="D9" s="22">
        <f>VLOOKUP(B9,'DSOAT-T1.2025'!B11:D81,3,0)</f>
        <v>4718700</v>
      </c>
      <c r="E9" s="490" t="e">
        <f>VLOOKUP(B9,'DSOAT-T1.2025'!B11:AJ81,47,0)</f>
        <v>#REF!</v>
      </c>
      <c r="F9" s="490" t="e">
        <f>VLOOKUP(B9,'DSOAT-T1.2025'!B11:AQ81,54,0)</f>
        <v>#REF!</v>
      </c>
      <c r="G9" s="491">
        <v>11000000</v>
      </c>
      <c r="H9" s="491">
        <v>1</v>
      </c>
      <c r="I9" s="491">
        <f>H9*4400000</f>
        <v>4400000</v>
      </c>
      <c r="J9" s="491" t="e">
        <f>E9-F9-G9-I9</f>
        <v>#REF!</v>
      </c>
      <c r="K9" s="492" t="e">
        <f>IF(J9&lt;0,0,IF(J9&lt;5000000,J9*5%,IF(J9&lt;10000000,J9*10%-250000,IF(J9&lt;18000000,J9*15%-750000,IF(J9&lt;32000000,J9*20%-1650000,IF(J9&lt;52000000,J9*25%-3250000,IF(J9&lt;80000000,J9*30%-5850000,IF(J9&gt;80000000,J9*35%-9850000))))))))</f>
        <v>#REF!</v>
      </c>
      <c r="L9" s="493" t="str">
        <f>VLOOKUP(B9,'[18]DSOAT-T3.2022'!$B$10:$AW$77,48,0)</f>
        <v>P01</v>
      </c>
      <c r="M9" s="493"/>
      <c r="N9" s="9" t="str">
        <f>VLOOKUP($C9,'[19]KD Bến Tre - T72021'!$C$3:$C$73,1,0)</f>
        <v>Nguyễn Thị Huỳnh Ngân</v>
      </c>
      <c r="P9" s="8" t="s">
        <v>914</v>
      </c>
      <c r="Q9" s="10" t="s">
        <v>915</v>
      </c>
      <c r="S9" s="21"/>
      <c r="U9" s="9">
        <v>3</v>
      </c>
      <c r="W9" s="9" t="e">
        <f>VLOOKUP(C9,'[20]NPT - TTKD BẾN TRE'!$C$15:$D$43,2,0)</f>
        <v>#N/A</v>
      </c>
    </row>
    <row r="10" spans="1:23" s="9" customFormat="1" ht="26.25" customHeight="1">
      <c r="A10" s="8">
        <f>A9+1</f>
        <v>2</v>
      </c>
      <c r="B10" s="56" t="s">
        <v>55</v>
      </c>
      <c r="C10" s="10" t="s">
        <v>56</v>
      </c>
      <c r="D10" s="22">
        <f>VLOOKUP(B10,'DSOAT-T1.2025'!B12:D89,3,0)</f>
        <v>4130200.0000000005</v>
      </c>
      <c r="E10" s="490" t="e">
        <f>VLOOKUP(B10,'DSOAT-T1.2025'!B12:AJ89,47,0)</f>
        <v>#REF!</v>
      </c>
      <c r="F10" s="490" t="e">
        <f>VLOOKUP(B10,'DSOAT-T1.2025'!B12:AQ89,54,0)</f>
        <v>#REF!</v>
      </c>
      <c r="G10" s="491">
        <v>11000000</v>
      </c>
      <c r="H10" s="491"/>
      <c r="I10" s="491">
        <f t="shared" ref="I10:I71" si="0">H10*4400000</f>
        <v>0</v>
      </c>
      <c r="J10" s="491" t="e">
        <f t="shared" ref="J10:J71" si="1">E10-F10-G10-I10</f>
        <v>#REF!</v>
      </c>
      <c r="K10" s="492" t="e">
        <f t="shared" ref="K10:K71" si="2">IF(J10&lt;0,0,IF(J10&lt;5000000,J10*5%,IF(J10&lt;10000000,J10*10%-250000,IF(J10&lt;18000000,J10*15%-750000,IF(J10&lt;32000000,J10*20%-1650000,IF(J10&lt;52000000,J10*25%-3250000,IF(J10&lt;80000000,J10*30%-5850000,IF(J10&gt;80000000,J10*35%-9850000))))))))</f>
        <v>#REF!</v>
      </c>
      <c r="L10" s="493" t="str">
        <f>VLOOKUP(B10,'[18]DSOAT-T3.2022'!$B$10:$AW$77,48,0)</f>
        <v>P03</v>
      </c>
      <c r="M10" s="493"/>
      <c r="N10" s="9" t="str">
        <f>VLOOKUP($C10,'[19]KD Bến Tre - T72021'!$C$3:$C$73,1,0)</f>
        <v>Nguyễn Thị Ngọc Diệp</v>
      </c>
      <c r="P10" s="8" t="s">
        <v>21</v>
      </c>
      <c r="Q10" s="10" t="s">
        <v>22</v>
      </c>
      <c r="S10" s="21"/>
      <c r="U10" s="9">
        <v>1</v>
      </c>
      <c r="W10" s="9">
        <f>VLOOKUP(C10,'[20]NPT - TTKD BẾN TRE'!$C$15:$D$43,2,0)</f>
        <v>1</v>
      </c>
    </row>
    <row r="11" spans="1:23" s="9" customFormat="1" ht="26.25" customHeight="1">
      <c r="A11" s="8">
        <f t="shared" ref="A11:A72" si="3">A10+1</f>
        <v>3</v>
      </c>
      <c r="B11" s="56" t="s">
        <v>16</v>
      </c>
      <c r="C11" s="10" t="s">
        <v>17</v>
      </c>
      <c r="D11" s="22">
        <f>VLOOKUP(B11,'DSOAT-T1.2025'!B13:D90,3,0)</f>
        <v>4718700</v>
      </c>
      <c r="E11" s="490" t="e">
        <f>VLOOKUP(B11,'DSOAT-T1.2025'!B13:AJ90,47,0)</f>
        <v>#REF!</v>
      </c>
      <c r="F11" s="490" t="e">
        <f>VLOOKUP(B11,'DSOAT-T1.2025'!B13:AQ90,54,0)</f>
        <v>#REF!</v>
      </c>
      <c r="G11" s="491">
        <v>11000000</v>
      </c>
      <c r="H11" s="491"/>
      <c r="I11" s="491">
        <f t="shared" si="0"/>
        <v>0</v>
      </c>
      <c r="J11" s="491" t="e">
        <f t="shared" si="1"/>
        <v>#REF!</v>
      </c>
      <c r="K11" s="492" t="e">
        <f t="shared" si="2"/>
        <v>#REF!</v>
      </c>
      <c r="L11" s="493" t="str">
        <f>VLOOKUP(B11,'[18]DSOAT-T3.2022'!$B$10:$AW$77,48,0)</f>
        <v>P01</v>
      </c>
      <c r="M11" s="493"/>
      <c r="N11" s="9" t="str">
        <f>VLOOKUP($C11,'[19]KD Bến Tre - T72021'!$C$3:$C$73,1,0)</f>
        <v>Nguyễn Châu Đoan</v>
      </c>
      <c r="P11" s="8" t="s">
        <v>28</v>
      </c>
      <c r="Q11" s="10" t="s">
        <v>29</v>
      </c>
      <c r="S11" s="21"/>
      <c r="U11" s="9">
        <v>1</v>
      </c>
      <c r="W11" s="9" t="e">
        <f>VLOOKUP(C11,'[20]NPT - TTKD BẾN TRE'!$C$15:$D$43,2,0)</f>
        <v>#N/A</v>
      </c>
    </row>
    <row r="12" spans="1:23" s="9" customFormat="1" ht="26.25" customHeight="1">
      <c r="A12" s="8">
        <f t="shared" si="3"/>
        <v>4</v>
      </c>
      <c r="B12" s="56" t="s">
        <v>21</v>
      </c>
      <c r="C12" s="10" t="s">
        <v>22</v>
      </c>
      <c r="D12" s="22">
        <f>VLOOKUP(B12,'DSOAT-T1.2025'!B14:D91,3,0)</f>
        <v>4718700</v>
      </c>
      <c r="E12" s="490" t="e">
        <f>VLOOKUP(B12,'DSOAT-T1.2025'!B14:AJ91,47,0)</f>
        <v>#REF!</v>
      </c>
      <c r="F12" s="490" t="e">
        <f>VLOOKUP(B12,'DSOAT-T1.2025'!B14:AQ91,54,0)</f>
        <v>#REF!</v>
      </c>
      <c r="G12" s="491">
        <v>11000000</v>
      </c>
      <c r="H12" s="491"/>
      <c r="I12" s="491">
        <f t="shared" si="0"/>
        <v>0</v>
      </c>
      <c r="J12" s="491" t="e">
        <f t="shared" si="1"/>
        <v>#REF!</v>
      </c>
      <c r="K12" s="492" t="e">
        <f t="shared" si="2"/>
        <v>#REF!</v>
      </c>
      <c r="L12" s="493" t="str">
        <f>VLOOKUP(B12,'[18]DSOAT-T3.2022'!$B$10:$AW$77,48,0)</f>
        <v>P01</v>
      </c>
      <c r="M12" s="493"/>
      <c r="N12" s="9" t="str">
        <f>VLOOKUP($C12,'[19]KD Bến Tre - T72021'!$C$3:$C$73,1,0)</f>
        <v>Nguyễn Thị Thu Hằng</v>
      </c>
      <c r="P12" s="8" t="s">
        <v>30</v>
      </c>
      <c r="Q12" s="23" t="s">
        <v>31</v>
      </c>
      <c r="S12" s="21"/>
      <c r="U12" s="9">
        <v>1</v>
      </c>
      <c r="W12" s="9" t="e">
        <f>VLOOKUP(C12,'[20]NPT - TTKD BẾN TRE'!$C$15:$D$43,2,0)</f>
        <v>#N/A</v>
      </c>
    </row>
    <row r="13" spans="1:23" s="9" customFormat="1" ht="26.25" customHeight="1">
      <c r="A13" s="8">
        <f t="shared" si="3"/>
        <v>5</v>
      </c>
      <c r="B13" s="56" t="s">
        <v>155</v>
      </c>
      <c r="C13" s="10" t="s">
        <v>142</v>
      </c>
      <c r="D13" s="22">
        <f>VLOOKUP(B13,'DSOAT-T1.2025'!B15:D92,3,0)</f>
        <v>4718700</v>
      </c>
      <c r="E13" s="490" t="e">
        <f>VLOOKUP(B13,'DSOAT-T1.2025'!B15:AJ92,47,0)</f>
        <v>#REF!</v>
      </c>
      <c r="F13" s="490" t="e">
        <f>VLOOKUP(B13,'DSOAT-T1.2025'!B15:AQ92,54,0)</f>
        <v>#REF!</v>
      </c>
      <c r="G13" s="491">
        <v>11000000</v>
      </c>
      <c r="H13" s="491"/>
      <c r="I13" s="491">
        <f t="shared" si="0"/>
        <v>0</v>
      </c>
      <c r="J13" s="491" t="e">
        <f t="shared" si="1"/>
        <v>#REF!</v>
      </c>
      <c r="K13" s="492" t="e">
        <f t="shared" si="2"/>
        <v>#REF!</v>
      </c>
      <c r="L13" s="493" t="str">
        <f>VLOOKUP(B13,'[18]DSOAT-T3.2022'!$B$10:$AW$77,48,0)</f>
        <v>P11</v>
      </c>
      <c r="M13" s="493"/>
      <c r="N13" s="9" t="str">
        <f>VLOOKUP($C13,'[19]KD Bến Tre - T72021'!$C$3:$C$73,1,0)</f>
        <v>Huỳnh Thị Hoàng Linh</v>
      </c>
      <c r="P13" s="8" t="s">
        <v>38</v>
      </c>
      <c r="Q13" s="10" t="s">
        <v>39</v>
      </c>
      <c r="S13" s="21"/>
      <c r="U13" s="9">
        <v>1</v>
      </c>
      <c r="W13" s="9" t="e">
        <f>VLOOKUP(C13,'[20]NPT - TTKD BẾN TRE'!$C$15:$D$43,2,0)</f>
        <v>#N/A</v>
      </c>
    </row>
    <row r="14" spans="1:23" s="9" customFormat="1" ht="26.25" customHeight="1">
      <c r="A14" s="8">
        <f t="shared" si="3"/>
        <v>6</v>
      </c>
      <c r="B14" s="56" t="s">
        <v>156</v>
      </c>
      <c r="C14" s="10" t="s">
        <v>143</v>
      </c>
      <c r="D14" s="22">
        <f>VLOOKUP(B14,'DSOAT-T1.2025'!B16:D93,3,0)</f>
        <v>4718700</v>
      </c>
      <c r="E14" s="490" t="e">
        <f>VLOOKUP(B14,'DSOAT-T1.2025'!B16:AJ93,47,0)</f>
        <v>#REF!</v>
      </c>
      <c r="F14" s="490" t="e">
        <f>VLOOKUP(B14,'DSOAT-T1.2025'!B16:AQ93,54,0)</f>
        <v>#REF!</v>
      </c>
      <c r="G14" s="491">
        <v>11000000</v>
      </c>
      <c r="H14" s="491"/>
      <c r="I14" s="491">
        <f t="shared" si="0"/>
        <v>0</v>
      </c>
      <c r="J14" s="491" t="e">
        <f t="shared" si="1"/>
        <v>#REF!</v>
      </c>
      <c r="K14" s="492" t="e">
        <f t="shared" si="2"/>
        <v>#REF!</v>
      </c>
      <c r="L14" s="493" t="str">
        <f>VLOOKUP(B14,'[18]DSOAT-T3.2022'!$B$10:$AW$77,48,0)</f>
        <v>P11</v>
      </c>
      <c r="M14" s="493"/>
      <c r="N14" s="9" t="str">
        <f>VLOOKUP($C14,'[19]KD Bến Tre - T72021'!$C$3:$C$73,1,0)</f>
        <v>Nguyễn Thị Diện</v>
      </c>
      <c r="P14" s="8" t="s">
        <v>916</v>
      </c>
      <c r="Q14" s="10" t="s">
        <v>917</v>
      </c>
      <c r="S14" s="21"/>
      <c r="U14" s="9">
        <v>2</v>
      </c>
      <c r="W14" s="9" t="e">
        <f>VLOOKUP(C14,'[20]NPT - TTKD BẾN TRE'!$C$15:$D$43,2,0)</f>
        <v>#N/A</v>
      </c>
    </row>
    <row r="15" spans="1:23" s="9" customFormat="1" ht="26.25" customHeight="1">
      <c r="A15" s="8">
        <f t="shared" si="3"/>
        <v>7</v>
      </c>
      <c r="B15" s="56" t="s">
        <v>157</v>
      </c>
      <c r="C15" s="10" t="s">
        <v>144</v>
      </c>
      <c r="D15" s="22">
        <f>VLOOKUP(B15,'DSOAT-T1.2025'!B17:D94,3,0)</f>
        <v>4718700</v>
      </c>
      <c r="E15" s="490" t="e">
        <f>VLOOKUP(B15,'DSOAT-T1.2025'!B17:AJ94,47,0)</f>
        <v>#REF!</v>
      </c>
      <c r="F15" s="490" t="e">
        <f>VLOOKUP(B15,'DSOAT-T1.2025'!B17:AQ94,54,0)</f>
        <v>#REF!</v>
      </c>
      <c r="G15" s="491">
        <v>11000000</v>
      </c>
      <c r="H15" s="491"/>
      <c r="I15" s="491">
        <f t="shared" si="0"/>
        <v>0</v>
      </c>
      <c r="J15" s="491" t="e">
        <f t="shared" si="1"/>
        <v>#REF!</v>
      </c>
      <c r="K15" s="492" t="e">
        <f t="shared" si="2"/>
        <v>#REF!</v>
      </c>
      <c r="L15" s="493" t="str">
        <f>VLOOKUP(B15,'[18]DSOAT-T3.2022'!$B$10:$AW$77,48,0)</f>
        <v>P01</v>
      </c>
      <c r="M15" s="493"/>
      <c r="N15" s="9" t="str">
        <f>VLOOKUP($C15,'[19]KD Bến Tre - T72021'!$C$3:$C$73,1,0)</f>
        <v>Võ Ngọc Ẩn</v>
      </c>
      <c r="P15" s="8" t="s">
        <v>918</v>
      </c>
      <c r="Q15" s="10" t="s">
        <v>919</v>
      </c>
      <c r="S15" s="224"/>
      <c r="U15" s="9">
        <v>1</v>
      </c>
      <c r="W15" s="9" t="e">
        <f>VLOOKUP(C15,'[20]NPT - TTKD BẾN TRE'!$C$15:$D$43,2,0)</f>
        <v>#N/A</v>
      </c>
    </row>
    <row r="16" spans="1:23" s="9" customFormat="1" ht="26.25" customHeight="1">
      <c r="A16" s="8">
        <f t="shared" si="3"/>
        <v>8</v>
      </c>
      <c r="B16" s="56" t="s">
        <v>167</v>
      </c>
      <c r="C16" s="10" t="s">
        <v>145</v>
      </c>
      <c r="D16" s="22" t="e">
        <f>VLOOKUP(B16,'DSOAT-T1.2025'!B18:D95,3,0)</f>
        <v>#N/A</v>
      </c>
      <c r="E16" s="490" t="e">
        <f>VLOOKUP(B16,'DSOAT-T1.2025'!B18:AJ95,47,0)</f>
        <v>#N/A</v>
      </c>
      <c r="F16" s="490" t="e">
        <f>VLOOKUP(B16,'DSOAT-T1.2025'!B18:AQ95,54,0)</f>
        <v>#N/A</v>
      </c>
      <c r="G16" s="491">
        <v>11000000</v>
      </c>
      <c r="H16" s="491"/>
      <c r="I16" s="491">
        <f t="shared" si="0"/>
        <v>0</v>
      </c>
      <c r="J16" s="491" t="e">
        <f t="shared" si="1"/>
        <v>#N/A</v>
      </c>
      <c r="K16" s="492" t="e">
        <f t="shared" si="2"/>
        <v>#N/A</v>
      </c>
      <c r="L16" s="493" t="str">
        <f>VLOOKUP(B16,'[18]DSOAT-T3.2022'!$B$10:$AW$77,48,0)</f>
        <v>P01</v>
      </c>
      <c r="M16" s="493"/>
      <c r="N16" s="9" t="str">
        <f>VLOOKUP($C16,'[19]KD Bến Tre - T72021'!$C$3:$C$73,1,0)</f>
        <v>Lê Thị Mộng Thủy</v>
      </c>
      <c r="P16" s="494" t="s">
        <v>43</v>
      </c>
      <c r="Q16" s="10" t="s">
        <v>44</v>
      </c>
      <c r="S16" s="21"/>
      <c r="U16" s="9">
        <v>1</v>
      </c>
      <c r="W16" s="9" t="e">
        <f>VLOOKUP(C16,'[20]NPT - TTKD BẾN TRE'!$C$15:$D$43,2,0)</f>
        <v>#N/A</v>
      </c>
    </row>
    <row r="17" spans="1:23" s="9" customFormat="1" ht="26.25" customHeight="1">
      <c r="A17" s="8">
        <f t="shared" si="3"/>
        <v>9</v>
      </c>
      <c r="B17" s="56" t="s">
        <v>103</v>
      </c>
      <c r="C17" s="10" t="s">
        <v>104</v>
      </c>
      <c r="D17" s="22">
        <f>VLOOKUP(B17,'DSOAT-T1.2025'!B18:D96,3,0)</f>
        <v>4718700</v>
      </c>
      <c r="E17" s="490" t="e">
        <f>VLOOKUP(B17,'DSOAT-T1.2025'!B18:AJ96,47,0)</f>
        <v>#REF!</v>
      </c>
      <c r="F17" s="490" t="e">
        <f>VLOOKUP(B17,'DSOAT-T1.2025'!B18:AQ96,54,0)</f>
        <v>#REF!</v>
      </c>
      <c r="G17" s="491">
        <v>11000000</v>
      </c>
      <c r="H17" s="491"/>
      <c r="I17" s="491">
        <f t="shared" si="0"/>
        <v>0</v>
      </c>
      <c r="J17" s="491" t="e">
        <f t="shared" si="1"/>
        <v>#REF!</v>
      </c>
      <c r="K17" s="492" t="e">
        <f t="shared" si="2"/>
        <v>#REF!</v>
      </c>
      <c r="L17" s="493" t="str">
        <f>VLOOKUP(B17,'[18]DSOAT-T3.2022'!$B$10:$AW$77,48,0)</f>
        <v>P01</v>
      </c>
      <c r="M17" s="493"/>
      <c r="N17" s="9" t="str">
        <f>VLOOKUP($C17,'[19]KD Bến Tre - T72021'!$C$3:$C$73,1,0)</f>
        <v>Trần Lâm Minh Thu</v>
      </c>
      <c r="P17" s="8" t="s">
        <v>47</v>
      </c>
      <c r="Q17" s="10" t="s">
        <v>48</v>
      </c>
      <c r="S17" s="21"/>
      <c r="U17" s="9">
        <v>1</v>
      </c>
      <c r="W17" s="9" t="e">
        <f>VLOOKUP(C17,'[20]NPT - TTKD BẾN TRE'!$C$15:$D$43,2,0)</f>
        <v>#N/A</v>
      </c>
    </row>
    <row r="18" spans="1:23" s="9" customFormat="1" ht="26.25" customHeight="1">
      <c r="A18" s="8">
        <f t="shared" si="3"/>
        <v>10</v>
      </c>
      <c r="B18" s="56" t="s">
        <v>24</v>
      </c>
      <c r="C18" s="10" t="s">
        <v>25</v>
      </c>
      <c r="D18" s="22">
        <f>VLOOKUP(B18,'DSOAT-T1.2025'!B19:D97,3,0)</f>
        <v>4718700</v>
      </c>
      <c r="E18" s="490" t="e">
        <f>VLOOKUP(B18,'DSOAT-T1.2025'!B19:AJ97,47,0)</f>
        <v>#REF!</v>
      </c>
      <c r="F18" s="490" t="e">
        <f>VLOOKUP(B18,'DSOAT-T1.2025'!B19:AQ97,54,0)</f>
        <v>#REF!</v>
      </c>
      <c r="G18" s="491">
        <v>11000000</v>
      </c>
      <c r="H18" s="491"/>
      <c r="I18" s="491">
        <f t="shared" si="0"/>
        <v>0</v>
      </c>
      <c r="J18" s="491" t="e">
        <f t="shared" si="1"/>
        <v>#REF!</v>
      </c>
      <c r="K18" s="492" t="e">
        <f t="shared" si="2"/>
        <v>#REF!</v>
      </c>
      <c r="L18" s="493" t="str">
        <f>VLOOKUP(B18,'[18]DSOAT-T3.2022'!$B$10:$AW$77,48,0)</f>
        <v>P02</v>
      </c>
      <c r="M18" s="493"/>
      <c r="N18" s="9" t="str">
        <f>VLOOKUP($C18,'[19]KD Bến Tre - T72021'!$C$3:$C$73,1,0)</f>
        <v>Phạm Thị Thanh Thúy</v>
      </c>
      <c r="P18" s="8" t="s">
        <v>53</v>
      </c>
      <c r="Q18" s="23" t="s">
        <v>54</v>
      </c>
      <c r="S18" s="21"/>
      <c r="U18" s="9">
        <v>2</v>
      </c>
      <c r="W18" s="9" t="e">
        <f>VLOOKUP(C18,'[20]NPT - TTKD BẾN TRE'!$C$15:$D$43,2,0)</f>
        <v>#N/A</v>
      </c>
    </row>
    <row r="19" spans="1:23" s="9" customFormat="1" ht="26.25" customHeight="1">
      <c r="A19" s="8">
        <f t="shared" si="3"/>
        <v>11</v>
      </c>
      <c r="B19" s="56" t="s">
        <v>26</v>
      </c>
      <c r="C19" s="10" t="s">
        <v>27</v>
      </c>
      <c r="D19" s="22">
        <f>VLOOKUP(B19,'DSOAT-T1.2025'!B20:D98,3,0)</f>
        <v>4718700</v>
      </c>
      <c r="E19" s="490" t="e">
        <f>VLOOKUP(B19,'DSOAT-T1.2025'!B20:AJ98,47,0)</f>
        <v>#REF!</v>
      </c>
      <c r="F19" s="490" t="e">
        <f>VLOOKUP(B19,'DSOAT-T1.2025'!B20:AQ98,54,0)</f>
        <v>#REF!</v>
      </c>
      <c r="G19" s="491">
        <v>11000000</v>
      </c>
      <c r="H19" s="491"/>
      <c r="I19" s="491">
        <f t="shared" si="0"/>
        <v>0</v>
      </c>
      <c r="J19" s="491" t="e">
        <f t="shared" si="1"/>
        <v>#REF!</v>
      </c>
      <c r="K19" s="492" t="e">
        <f t="shared" si="2"/>
        <v>#REF!</v>
      </c>
      <c r="L19" s="493" t="str">
        <f>VLOOKUP(B19,'[18]DSOAT-T3.2022'!$B$10:$AW$77,48,0)</f>
        <v>P02</v>
      </c>
      <c r="M19" s="493"/>
      <c r="N19" s="9" t="str">
        <f>VLOOKUP($C19,'[19]KD Bến Tre - T72021'!$C$3:$C$73,1,0)</f>
        <v>Trần Thị Thanh Trúc</v>
      </c>
      <c r="P19" s="8" t="s">
        <v>55</v>
      </c>
      <c r="Q19" s="53" t="s">
        <v>56</v>
      </c>
      <c r="S19" s="21"/>
      <c r="U19" s="9">
        <v>1</v>
      </c>
      <c r="W19" s="9">
        <f>VLOOKUP(C19,'[20]NPT - TTKD BẾN TRE'!$C$15:$D$43,2,0)</f>
        <v>1</v>
      </c>
    </row>
    <row r="20" spans="1:23" s="9" customFormat="1" ht="26.25" customHeight="1">
      <c r="A20" s="8">
        <f t="shared" si="3"/>
        <v>12</v>
      </c>
      <c r="B20" s="56" t="s">
        <v>28</v>
      </c>
      <c r="C20" s="10" t="s">
        <v>29</v>
      </c>
      <c r="D20" s="22">
        <f>VLOOKUP(B20,'DSOAT-T1.2025'!B21:D99,3,0)</f>
        <v>4718700</v>
      </c>
      <c r="E20" s="490" t="e">
        <f>VLOOKUP(B20,'DSOAT-T1.2025'!B21:AJ99,47,0)</f>
        <v>#REF!</v>
      </c>
      <c r="F20" s="490" t="e">
        <f>VLOOKUP(B20,'DSOAT-T1.2025'!B21:AQ99,54,0)</f>
        <v>#REF!</v>
      </c>
      <c r="G20" s="491">
        <v>11000000</v>
      </c>
      <c r="H20" s="491"/>
      <c r="I20" s="491">
        <f t="shared" si="0"/>
        <v>0</v>
      </c>
      <c r="J20" s="491" t="e">
        <f t="shared" si="1"/>
        <v>#REF!</v>
      </c>
      <c r="K20" s="492" t="e">
        <f t="shared" si="2"/>
        <v>#REF!</v>
      </c>
      <c r="L20" s="493" t="str">
        <f>VLOOKUP(B20,'[18]DSOAT-T3.2022'!$B$10:$AW$77,48,0)</f>
        <v>P02</v>
      </c>
      <c r="M20" s="493"/>
      <c r="N20" s="9" t="str">
        <f>VLOOKUP($C20,'[19]KD Bến Tre - T72021'!$C$3:$C$73,1,0)</f>
        <v>Đào Thị Thúy An</v>
      </c>
      <c r="P20" s="8" t="s">
        <v>159</v>
      </c>
      <c r="Q20" s="10" t="s">
        <v>147</v>
      </c>
      <c r="S20" s="21"/>
      <c r="U20" s="9">
        <v>4</v>
      </c>
      <c r="W20" s="9">
        <f>VLOOKUP(C20,'[20]NPT - TTKD BẾN TRE'!$C$15:$D$43,2,0)</f>
        <v>1</v>
      </c>
    </row>
    <row r="21" spans="1:23" s="9" customFormat="1" ht="26.25" customHeight="1">
      <c r="A21" s="8">
        <f t="shared" si="3"/>
        <v>13</v>
      </c>
      <c r="B21" s="56" t="s">
        <v>30</v>
      </c>
      <c r="C21" s="23" t="s">
        <v>31</v>
      </c>
      <c r="D21" s="22">
        <f>VLOOKUP(B21,'DSOAT-T1.2025'!B22:D100,3,0)</f>
        <v>4718700</v>
      </c>
      <c r="E21" s="490" t="e">
        <f>VLOOKUP(B21,'DSOAT-T1.2025'!B22:AJ100,47,0)</f>
        <v>#REF!</v>
      </c>
      <c r="F21" s="490" t="e">
        <f>VLOOKUP(B21,'DSOAT-T1.2025'!B22:AQ100,54,0)</f>
        <v>#REF!</v>
      </c>
      <c r="G21" s="491">
        <v>11000000</v>
      </c>
      <c r="H21" s="491"/>
      <c r="I21" s="491">
        <f t="shared" si="0"/>
        <v>0</v>
      </c>
      <c r="J21" s="491" t="e">
        <f t="shared" si="1"/>
        <v>#REF!</v>
      </c>
      <c r="K21" s="492" t="e">
        <f t="shared" si="2"/>
        <v>#REF!</v>
      </c>
      <c r="L21" s="493" t="str">
        <f>VLOOKUP(B21,'[18]DSOAT-T3.2022'!$B$10:$AW$77,48,0)</f>
        <v>P02</v>
      </c>
      <c r="M21" s="493"/>
      <c r="N21" s="9" t="str">
        <f>VLOOKUP($C21,'[19]KD Bến Tre - T72021'!$C$3:$C$73,1,0)</f>
        <v>Võ Thị Tuyết Vân</v>
      </c>
      <c r="P21" s="8" t="s">
        <v>66</v>
      </c>
      <c r="Q21" s="10" t="s">
        <v>67</v>
      </c>
      <c r="S21" s="21"/>
      <c r="U21" s="9">
        <v>1</v>
      </c>
      <c r="W21" s="9" t="e">
        <f>VLOOKUP(C21,'[20]NPT - TTKD BẾN TRE'!$C$15:$D$43,2,0)</f>
        <v>#N/A</v>
      </c>
    </row>
    <row r="22" spans="1:23" s="9" customFormat="1" ht="26.25" customHeight="1">
      <c r="A22" s="8">
        <f t="shared" si="3"/>
        <v>14</v>
      </c>
      <c r="B22" s="56" t="s">
        <v>32</v>
      </c>
      <c r="C22" s="10" t="s">
        <v>33</v>
      </c>
      <c r="D22" s="22">
        <f>VLOOKUP(B22,'DSOAT-T1.2025'!B23:D101,3,0)</f>
        <v>4718700</v>
      </c>
      <c r="E22" s="490" t="e">
        <f>VLOOKUP(B22,'DSOAT-T1.2025'!B23:AJ101,47,0)</f>
        <v>#REF!</v>
      </c>
      <c r="F22" s="490" t="e">
        <f>VLOOKUP(B22,'DSOAT-T1.2025'!B23:AQ101,54,0)</f>
        <v>#REF!</v>
      </c>
      <c r="G22" s="491">
        <v>11000000</v>
      </c>
      <c r="H22" s="491"/>
      <c r="I22" s="491">
        <f t="shared" si="0"/>
        <v>0</v>
      </c>
      <c r="J22" s="491" t="e">
        <f t="shared" si="1"/>
        <v>#REF!</v>
      </c>
      <c r="K22" s="492" t="e">
        <f t="shared" si="2"/>
        <v>#REF!</v>
      </c>
      <c r="L22" s="493" t="str">
        <f>VLOOKUP(B22,'[18]DSOAT-T3.2022'!$B$10:$AW$77,48,0)</f>
        <v>P02</v>
      </c>
      <c r="M22" s="493"/>
      <c r="N22" s="9" t="str">
        <f>VLOOKUP($C22,'[19]KD Bến Tre - T72021'!$C$3:$C$73,1,0)</f>
        <v>Hồ Như Gương</v>
      </c>
      <c r="P22" s="8" t="s">
        <v>73</v>
      </c>
      <c r="Q22" s="10" t="s">
        <v>74</v>
      </c>
      <c r="S22" s="21"/>
      <c r="U22" s="9">
        <v>1</v>
      </c>
      <c r="W22" s="9" t="e">
        <f>VLOOKUP(C22,'[20]NPT - TTKD BẾN TRE'!$C$15:$D$43,2,0)</f>
        <v>#N/A</v>
      </c>
    </row>
    <row r="23" spans="1:23" s="9" customFormat="1" ht="26.25" customHeight="1">
      <c r="A23" s="8">
        <f t="shared" si="3"/>
        <v>15</v>
      </c>
      <c r="B23" s="56" t="s">
        <v>34</v>
      </c>
      <c r="C23" s="10" t="s">
        <v>35</v>
      </c>
      <c r="D23" s="22">
        <f>VLOOKUP(B23,'DSOAT-T1.2025'!B24:D102,3,0)</f>
        <v>4718700</v>
      </c>
      <c r="E23" s="490" t="e">
        <f>VLOOKUP(B23,'DSOAT-T1.2025'!B24:AJ102,47,0)</f>
        <v>#REF!</v>
      </c>
      <c r="F23" s="490" t="e">
        <f>VLOOKUP(B23,'DSOAT-T1.2025'!B24:AQ102,54,0)</f>
        <v>#REF!</v>
      </c>
      <c r="G23" s="491">
        <v>11000000</v>
      </c>
      <c r="H23" s="491"/>
      <c r="I23" s="491">
        <f t="shared" si="0"/>
        <v>0</v>
      </c>
      <c r="J23" s="491" t="e">
        <f t="shared" si="1"/>
        <v>#REF!</v>
      </c>
      <c r="K23" s="492" t="e">
        <f t="shared" si="2"/>
        <v>#REF!</v>
      </c>
      <c r="L23" s="493" t="str">
        <f>VLOOKUP(B23,'[18]DSOAT-T3.2022'!$B$10:$AW$77,48,0)</f>
        <v>P02</v>
      </c>
      <c r="M23" s="493"/>
      <c r="N23" s="9" t="str">
        <f>VLOOKUP($C23,'[19]KD Bến Tre - T72021'!$C$3:$C$73,1,0)</f>
        <v>Huỳnh Thy Nga</v>
      </c>
      <c r="P23" s="495" t="s">
        <v>75</v>
      </c>
      <c r="Q23" s="53" t="s">
        <v>76</v>
      </c>
      <c r="S23" s="21"/>
      <c r="U23" s="9">
        <v>1</v>
      </c>
      <c r="W23" s="9" t="e">
        <f>VLOOKUP(C23,'[20]NPT - TTKD BẾN TRE'!$C$15:$D$43,2,0)</f>
        <v>#N/A</v>
      </c>
    </row>
    <row r="24" spans="1:23" s="9" customFormat="1" ht="26.25" customHeight="1">
      <c r="A24" s="8">
        <f t="shared" si="3"/>
        <v>16</v>
      </c>
      <c r="B24" s="56" t="s">
        <v>36</v>
      </c>
      <c r="C24" s="10" t="s">
        <v>37</v>
      </c>
      <c r="D24" s="22">
        <f>VLOOKUP(B24,'DSOAT-T1.2025'!B25:D103,3,0)</f>
        <v>4718700</v>
      </c>
      <c r="E24" s="490" t="e">
        <f>VLOOKUP(B24,'DSOAT-T1.2025'!B25:AJ103,47,0)</f>
        <v>#REF!</v>
      </c>
      <c r="F24" s="490" t="e">
        <f>VLOOKUP(B24,'DSOAT-T1.2025'!B25:AQ103,54,0)</f>
        <v>#REF!</v>
      </c>
      <c r="G24" s="491">
        <v>11000000</v>
      </c>
      <c r="H24" s="491"/>
      <c r="I24" s="491">
        <f t="shared" si="0"/>
        <v>0</v>
      </c>
      <c r="J24" s="491" t="e">
        <f t="shared" si="1"/>
        <v>#REF!</v>
      </c>
      <c r="K24" s="492" t="e">
        <f t="shared" si="2"/>
        <v>#REF!</v>
      </c>
      <c r="L24" s="493" t="str">
        <f>VLOOKUP(B24,'[18]DSOAT-T3.2022'!$B$10:$AW$77,48,0)</f>
        <v>P02</v>
      </c>
      <c r="M24" s="493"/>
      <c r="N24" s="9" t="str">
        <f>VLOOKUP($C24,'[19]KD Bến Tre - T72021'!$C$3:$C$73,1,0)</f>
        <v>Nguyễn Dương Ngọc Linh</v>
      </c>
      <c r="P24" s="8" t="s">
        <v>57</v>
      </c>
      <c r="Q24" s="184" t="s">
        <v>58</v>
      </c>
      <c r="S24" s="21"/>
      <c r="U24" s="9">
        <v>2</v>
      </c>
      <c r="W24" s="9" t="e">
        <f>VLOOKUP(C24,'[20]NPT - TTKD BẾN TRE'!$C$15:$D$43,2,0)</f>
        <v>#N/A</v>
      </c>
    </row>
    <row r="25" spans="1:23" s="9" customFormat="1" ht="26.25" customHeight="1">
      <c r="A25" s="8">
        <f t="shared" si="3"/>
        <v>17</v>
      </c>
      <c r="B25" s="56" t="s">
        <v>38</v>
      </c>
      <c r="C25" s="10" t="s">
        <v>39</v>
      </c>
      <c r="D25" s="22">
        <f>VLOOKUP(B25,'DSOAT-T1.2025'!B26:D104,3,0)</f>
        <v>4718700</v>
      </c>
      <c r="E25" s="490" t="e">
        <f>VLOOKUP(B25,'DSOAT-T1.2025'!B26:AJ104,47,0)</f>
        <v>#REF!</v>
      </c>
      <c r="F25" s="490" t="e">
        <f>VLOOKUP(B25,'DSOAT-T1.2025'!B26:AQ104,54,0)</f>
        <v>#REF!</v>
      </c>
      <c r="G25" s="491">
        <v>11000000</v>
      </c>
      <c r="H25" s="491"/>
      <c r="I25" s="491">
        <f t="shared" si="0"/>
        <v>0</v>
      </c>
      <c r="J25" s="491" t="e">
        <f t="shared" si="1"/>
        <v>#REF!</v>
      </c>
      <c r="K25" s="492" t="e">
        <f t="shared" si="2"/>
        <v>#REF!</v>
      </c>
      <c r="L25" s="493" t="str">
        <f>VLOOKUP(B25,'[18]DSOAT-T3.2022'!$B$10:$AW$77,48,0)</f>
        <v>P02</v>
      </c>
      <c r="M25" s="493"/>
      <c r="N25" s="9" t="str">
        <f>VLOOKUP($C25,'[19]KD Bến Tre - T72021'!$C$3:$C$73,1,0)</f>
        <v>Lê Thị Hồng Nhung</v>
      </c>
      <c r="P25" s="8" t="s">
        <v>77</v>
      </c>
      <c r="Q25" s="24" t="s">
        <v>78</v>
      </c>
      <c r="S25" s="21"/>
      <c r="U25" s="9">
        <v>2</v>
      </c>
      <c r="W25" s="9">
        <f>VLOOKUP(C25,'[20]NPT - TTKD BẾN TRE'!$C$15:$D$43,2,0)</f>
        <v>1</v>
      </c>
    </row>
    <row r="26" spans="1:23" s="9" customFormat="1" ht="26.25" customHeight="1">
      <c r="A26" s="8">
        <f t="shared" si="3"/>
        <v>18</v>
      </c>
      <c r="B26" s="56" t="s">
        <v>40</v>
      </c>
      <c r="C26" s="10" t="s">
        <v>41</v>
      </c>
      <c r="D26" s="22">
        <f>VLOOKUP(B26,'DSOAT-T1.2025'!B27:D105,3,0)</f>
        <v>4130200.0000000005</v>
      </c>
      <c r="E26" s="490" t="e">
        <f>VLOOKUP(B26,'DSOAT-T1.2025'!B27:AJ105,47,0)</f>
        <v>#REF!</v>
      </c>
      <c r="F26" s="490" t="e">
        <f>VLOOKUP(B26,'DSOAT-T1.2025'!B27:AQ105,54,0)</f>
        <v>#REF!</v>
      </c>
      <c r="G26" s="491">
        <v>11000000</v>
      </c>
      <c r="H26" s="491"/>
      <c r="I26" s="491">
        <f t="shared" si="0"/>
        <v>0</v>
      </c>
      <c r="J26" s="491" t="e">
        <f t="shared" si="1"/>
        <v>#REF!</v>
      </c>
      <c r="K26" s="492" t="e">
        <f t="shared" si="2"/>
        <v>#REF!</v>
      </c>
      <c r="L26" s="493" t="str">
        <f>VLOOKUP(B26,'[18]DSOAT-T3.2022'!$B$10:$AW$77,48,0)</f>
        <v>P03</v>
      </c>
      <c r="M26" s="493"/>
      <c r="N26" s="9" t="str">
        <f>VLOOKUP($C26,'[19]KD Bến Tre - T72021'!$C$3:$C$73,1,0)</f>
        <v>Lê Trang Mỹ Nhiên</v>
      </c>
      <c r="P26" s="8" t="s">
        <v>920</v>
      </c>
      <c r="Q26" s="25" t="s">
        <v>921</v>
      </c>
      <c r="S26" s="21"/>
      <c r="U26" s="9">
        <v>1</v>
      </c>
      <c r="W26" s="9">
        <f>VLOOKUP(C26,'[20]NPT - TTKD BẾN TRE'!$C$15:$D$43,2,0)</f>
        <v>1</v>
      </c>
    </row>
    <row r="27" spans="1:23" s="9" customFormat="1" ht="26.25" customHeight="1">
      <c r="A27" s="8">
        <f t="shared" si="3"/>
        <v>19</v>
      </c>
      <c r="B27" s="57" t="s">
        <v>43</v>
      </c>
      <c r="C27" s="10" t="s">
        <v>44</v>
      </c>
      <c r="D27" s="22">
        <f>VLOOKUP(B27,'DSOAT-T1.2025'!B28:D106,3,0)</f>
        <v>4130200.0000000005</v>
      </c>
      <c r="E27" s="490" t="e">
        <f>VLOOKUP(B27,'DSOAT-T1.2025'!B28:AJ106,47,0)</f>
        <v>#REF!</v>
      </c>
      <c r="F27" s="490" t="e">
        <f>VLOOKUP(B27,'DSOAT-T1.2025'!B28:AQ106,54,0)</f>
        <v>#REF!</v>
      </c>
      <c r="G27" s="491">
        <v>11000000</v>
      </c>
      <c r="H27" s="491"/>
      <c r="I27" s="491">
        <f t="shared" si="0"/>
        <v>0</v>
      </c>
      <c r="J27" s="491" t="e">
        <f t="shared" si="1"/>
        <v>#REF!</v>
      </c>
      <c r="K27" s="492" t="e">
        <f t="shared" si="2"/>
        <v>#REF!</v>
      </c>
      <c r="L27" s="493" t="str">
        <f>VLOOKUP(B27,'[18]DSOAT-T3.2022'!$B$10:$AW$77,48,0)</f>
        <v>P03</v>
      </c>
      <c r="M27" s="493"/>
      <c r="N27" s="9" t="str">
        <f>VLOOKUP($C27,'[19]KD Bến Tre - T72021'!$C$3:$C$73,1,0)</f>
        <v>Bùi Thị Thu Trang</v>
      </c>
      <c r="P27" s="8" t="s">
        <v>84</v>
      </c>
      <c r="Q27" s="10" t="s">
        <v>922</v>
      </c>
      <c r="S27" s="21"/>
      <c r="U27" s="9">
        <v>2</v>
      </c>
      <c r="W27" s="9">
        <f>VLOOKUP(C27,'[20]NPT - TTKD BẾN TRE'!$C$15:$D$43,2,0)</f>
        <v>1</v>
      </c>
    </row>
    <row r="28" spans="1:23" s="9" customFormat="1" ht="26.25" customHeight="1">
      <c r="A28" s="8">
        <f t="shared" si="3"/>
        <v>20</v>
      </c>
      <c r="B28" s="56" t="s">
        <v>45</v>
      </c>
      <c r="C28" s="10" t="s">
        <v>46</v>
      </c>
      <c r="D28" s="22">
        <f>VLOOKUP(B28,'DSOAT-T1.2025'!B29:D107,3,0)</f>
        <v>4130200.0000000005</v>
      </c>
      <c r="E28" s="490" t="e">
        <f>VLOOKUP(B28,'DSOAT-T1.2025'!B29:AJ107,47,0)</f>
        <v>#REF!</v>
      </c>
      <c r="F28" s="490" t="e">
        <f>VLOOKUP(B28,'DSOAT-T1.2025'!B29:AQ107,54,0)</f>
        <v>#REF!</v>
      </c>
      <c r="G28" s="491">
        <v>11000000</v>
      </c>
      <c r="H28" s="491"/>
      <c r="I28" s="491">
        <f t="shared" si="0"/>
        <v>0</v>
      </c>
      <c r="J28" s="491" t="e">
        <f t="shared" si="1"/>
        <v>#REF!</v>
      </c>
      <c r="K28" s="492" t="e">
        <f t="shared" si="2"/>
        <v>#REF!</v>
      </c>
      <c r="L28" s="493" t="str">
        <f>VLOOKUP(B28,'[18]DSOAT-T3.2022'!$B$10:$AW$77,48,0)</f>
        <v>P03</v>
      </c>
      <c r="M28" s="493"/>
      <c r="N28" s="9" t="str">
        <f>VLOOKUP($C28,'[19]KD Bến Tre - T72021'!$C$3:$C$73,1,0)</f>
        <v>Lê Thanh Quyên</v>
      </c>
      <c r="P28" s="8" t="s">
        <v>161</v>
      </c>
      <c r="Q28" s="10" t="s">
        <v>152</v>
      </c>
      <c r="S28" s="21"/>
      <c r="U28" s="9">
        <v>3</v>
      </c>
      <c r="W28" s="9" t="e">
        <f>VLOOKUP(C28,'[20]NPT - TTKD BẾN TRE'!$C$15:$D$43,2,0)</f>
        <v>#N/A</v>
      </c>
    </row>
    <row r="29" spans="1:23" s="9" customFormat="1" ht="26.25" customHeight="1">
      <c r="A29" s="8">
        <f t="shared" si="3"/>
        <v>21</v>
      </c>
      <c r="B29" s="56" t="s">
        <v>49</v>
      </c>
      <c r="C29" s="10" t="s">
        <v>50</v>
      </c>
      <c r="D29" s="22">
        <f>VLOOKUP(B29,'DSOAT-T1.2025'!B30:D108,3,0)</f>
        <v>4130200.0000000005</v>
      </c>
      <c r="E29" s="490" t="e">
        <f>VLOOKUP(B29,'DSOAT-T1.2025'!B30:AJ108,47,0)</f>
        <v>#REF!</v>
      </c>
      <c r="F29" s="490" t="e">
        <f>VLOOKUP(B29,'DSOAT-T1.2025'!B30:AQ108,54,0)</f>
        <v>#REF!</v>
      </c>
      <c r="G29" s="491">
        <v>11000000</v>
      </c>
      <c r="H29" s="491"/>
      <c r="I29" s="491">
        <f t="shared" si="0"/>
        <v>0</v>
      </c>
      <c r="J29" s="491" t="e">
        <f t="shared" si="1"/>
        <v>#REF!</v>
      </c>
      <c r="K29" s="492" t="e">
        <f t="shared" si="2"/>
        <v>#REF!</v>
      </c>
      <c r="L29" s="493" t="str">
        <f>VLOOKUP(B29,'[18]DSOAT-T3.2022'!$B$10:$AW$77,48,0)</f>
        <v>P03</v>
      </c>
      <c r="M29" s="493"/>
      <c r="N29" s="9" t="str">
        <f>VLOOKUP($C29,'[19]KD Bến Tre - T72021'!$C$3:$C$73,1,0)</f>
        <v>Nguyễn Thị Trúc Mai</v>
      </c>
      <c r="P29" s="8" t="s">
        <v>90</v>
      </c>
      <c r="Q29" s="10" t="s">
        <v>91</v>
      </c>
      <c r="S29" s="21"/>
      <c r="U29" s="9">
        <v>2</v>
      </c>
      <c r="W29" s="9">
        <f>VLOOKUP(C29,'[20]NPT - TTKD BẾN TRE'!$C$15:$D$43,2,0)</f>
        <v>1</v>
      </c>
    </row>
    <row r="30" spans="1:23" s="9" customFormat="1" ht="26.25" customHeight="1">
      <c r="A30" s="8">
        <f t="shared" si="3"/>
        <v>22</v>
      </c>
      <c r="B30" s="56" t="s">
        <v>51</v>
      </c>
      <c r="C30" s="10" t="s">
        <v>52</v>
      </c>
      <c r="D30" s="22">
        <f>VLOOKUP(B30,'DSOAT-T1.2025'!B31:D109,3,0)</f>
        <v>4130200.0000000005</v>
      </c>
      <c r="E30" s="490" t="e">
        <f>VLOOKUP(B30,'DSOAT-T1.2025'!B31:AJ109,47,0)</f>
        <v>#REF!</v>
      </c>
      <c r="F30" s="490" t="e">
        <f>VLOOKUP(B30,'DSOAT-T1.2025'!B31:AQ109,54,0)</f>
        <v>#REF!</v>
      </c>
      <c r="G30" s="491">
        <v>11000000</v>
      </c>
      <c r="H30" s="491"/>
      <c r="I30" s="491">
        <f t="shared" si="0"/>
        <v>0</v>
      </c>
      <c r="J30" s="491" t="e">
        <f t="shared" si="1"/>
        <v>#REF!</v>
      </c>
      <c r="K30" s="492" t="e">
        <f t="shared" si="2"/>
        <v>#REF!</v>
      </c>
      <c r="L30" s="493" t="str">
        <f>VLOOKUP(B30,'[18]DSOAT-T3.2022'!$B$10:$AW$77,48,0)</f>
        <v>P03</v>
      </c>
      <c r="M30" s="493"/>
      <c r="N30" s="9" t="str">
        <f>VLOOKUP($C30,'[19]KD Bến Tre - T72021'!$C$3:$C$73,1,0)</f>
        <v>Lữ Thị Tuyết Loan</v>
      </c>
      <c r="P30" s="8" t="s">
        <v>923</v>
      </c>
      <c r="Q30" s="10" t="s">
        <v>924</v>
      </c>
      <c r="S30" s="21"/>
      <c r="U30" s="9">
        <v>2</v>
      </c>
      <c r="W30" s="9" t="e">
        <f>VLOOKUP(C30,'[20]NPT - TTKD BẾN TRE'!$C$15:$D$43,2,0)</f>
        <v>#N/A</v>
      </c>
    </row>
    <row r="31" spans="1:23" s="9" customFormat="1" ht="26.25" customHeight="1">
      <c r="A31" s="8">
        <f t="shared" si="3"/>
        <v>23</v>
      </c>
      <c r="B31" s="56" t="s">
        <v>53</v>
      </c>
      <c r="C31" s="23" t="s">
        <v>54</v>
      </c>
      <c r="D31" s="22">
        <f>VLOOKUP(B31,'DSOAT-T1.2025'!B32:D110,3,0)</f>
        <v>4130200.0000000005</v>
      </c>
      <c r="E31" s="490" t="e">
        <f>VLOOKUP(B31,'DSOAT-T1.2025'!B32:AJ110,47,0)</f>
        <v>#REF!</v>
      </c>
      <c r="F31" s="490" t="e">
        <f>VLOOKUP(B31,'DSOAT-T1.2025'!B32:AQ110,54,0)</f>
        <v>#REF!</v>
      </c>
      <c r="G31" s="491">
        <v>11000000</v>
      </c>
      <c r="H31" s="491"/>
      <c r="I31" s="491">
        <f t="shared" si="0"/>
        <v>0</v>
      </c>
      <c r="J31" s="491" t="e">
        <f t="shared" si="1"/>
        <v>#REF!</v>
      </c>
      <c r="K31" s="492" t="e">
        <f t="shared" si="2"/>
        <v>#REF!</v>
      </c>
      <c r="L31" s="493" t="str">
        <f>VLOOKUP(B31,'[18]DSOAT-T3.2022'!$B$10:$AW$77,48,0)</f>
        <v>P03</v>
      </c>
      <c r="M31" s="493"/>
      <c r="N31" s="9" t="str">
        <f>VLOOKUP($C31,'[19]KD Bến Tre - T72021'!$C$3:$C$73,1,0)</f>
        <v>Dương Thi Kim Thoa</v>
      </c>
      <c r="P31" s="8" t="s">
        <v>925</v>
      </c>
      <c r="Q31" s="10" t="s">
        <v>926</v>
      </c>
      <c r="S31" s="21"/>
      <c r="U31" s="9">
        <v>1</v>
      </c>
      <c r="W31" s="9" t="e">
        <f>VLOOKUP(C31,'[20]NPT - TTKD BẾN TRE'!$C$15:$D$43,2,0)</f>
        <v>#N/A</v>
      </c>
    </row>
    <row r="32" spans="1:23" s="9" customFormat="1" ht="26.25" customHeight="1">
      <c r="A32" s="8">
        <f t="shared" si="3"/>
        <v>24</v>
      </c>
      <c r="B32" s="56" t="s">
        <v>59</v>
      </c>
      <c r="C32" s="10" t="s">
        <v>60</v>
      </c>
      <c r="D32" s="22">
        <f>VLOOKUP(B32,'DSOAT-T1.2025'!B33:D111,3,0)</f>
        <v>4130200.0000000005</v>
      </c>
      <c r="E32" s="490" t="e">
        <f>VLOOKUP(B32,'DSOAT-T1.2025'!B33:AJ111,47,0)</f>
        <v>#REF!</v>
      </c>
      <c r="F32" s="490" t="e">
        <f>VLOOKUP(B32,'DSOAT-T1.2025'!B33:AQ111,54,0)</f>
        <v>#REF!</v>
      </c>
      <c r="G32" s="491">
        <v>11000000</v>
      </c>
      <c r="H32" s="491"/>
      <c r="I32" s="491">
        <f t="shared" si="0"/>
        <v>0</v>
      </c>
      <c r="J32" s="491" t="e">
        <f t="shared" si="1"/>
        <v>#REF!</v>
      </c>
      <c r="K32" s="492" t="e">
        <f t="shared" si="2"/>
        <v>#REF!</v>
      </c>
      <c r="L32" s="493" t="str">
        <f>VLOOKUP(B32,'[18]DSOAT-T3.2022'!$B$10:$AW$77,48,0)</f>
        <v>P03</v>
      </c>
      <c r="M32" s="493"/>
      <c r="N32" s="9" t="str">
        <f>VLOOKUP($C32,'[19]KD Bến Tre - T72021'!$C$3:$C$73,1,0)</f>
        <v>Phạm Trung Quân</v>
      </c>
      <c r="P32" s="8" t="s">
        <v>93</v>
      </c>
      <c r="Q32" s="10" t="s">
        <v>94</v>
      </c>
      <c r="S32" s="21"/>
      <c r="U32" s="9">
        <v>2</v>
      </c>
      <c r="W32" s="9">
        <f>VLOOKUP(C32,'[20]NPT - TTKD BẾN TRE'!$C$15:$D$43,2,0)</f>
        <v>2</v>
      </c>
    </row>
    <row r="33" spans="1:23" s="9" customFormat="1" ht="26.25" customHeight="1">
      <c r="A33" s="8">
        <f t="shared" si="3"/>
        <v>25</v>
      </c>
      <c r="B33" s="56" t="s">
        <v>158</v>
      </c>
      <c r="C33" s="10" t="s">
        <v>146</v>
      </c>
      <c r="D33" s="22">
        <f>VLOOKUP(B33,'DSOAT-T1.2025'!B34:D112,3,0)</f>
        <v>4130200.0000000005</v>
      </c>
      <c r="E33" s="490" t="e">
        <f>VLOOKUP(B33,'DSOAT-T1.2025'!B34:AJ112,47,0)</f>
        <v>#REF!</v>
      </c>
      <c r="F33" s="490" t="e">
        <f>VLOOKUP(B33,'DSOAT-T1.2025'!B34:AQ112,54,0)</f>
        <v>#REF!</v>
      </c>
      <c r="G33" s="491">
        <v>11000000</v>
      </c>
      <c r="H33" s="491"/>
      <c r="I33" s="491">
        <f t="shared" si="0"/>
        <v>0</v>
      </c>
      <c r="J33" s="491" t="e">
        <f t="shared" si="1"/>
        <v>#REF!</v>
      </c>
      <c r="K33" s="492" t="e">
        <f t="shared" si="2"/>
        <v>#REF!</v>
      </c>
      <c r="L33" s="493" t="str">
        <f>VLOOKUP(B33,'[18]DSOAT-T3.2022'!$B$10:$AW$77,48,0)</f>
        <v>P03</v>
      </c>
      <c r="M33" s="493"/>
      <c r="N33" s="9" t="str">
        <f>VLOOKUP($C33,'[19]KD Bến Tre - T72021'!$C$3:$C$73,1,0)</f>
        <v>Nguyễn Lê Thanh</v>
      </c>
      <c r="P33" s="8" t="s">
        <v>163</v>
      </c>
      <c r="Q33" s="10" t="s">
        <v>154</v>
      </c>
      <c r="S33" s="21"/>
      <c r="U33" s="9">
        <v>2</v>
      </c>
      <c r="W33" s="9" t="e">
        <f>VLOOKUP(C33,'[20]NPT - TTKD BẾN TRE'!$C$15:$D$43,2,0)</f>
        <v>#N/A</v>
      </c>
    </row>
    <row r="34" spans="1:23" s="9" customFormat="1" ht="26.25" customHeight="1">
      <c r="A34" s="8">
        <f t="shared" si="3"/>
        <v>26</v>
      </c>
      <c r="B34" s="56" t="s">
        <v>159</v>
      </c>
      <c r="C34" s="10" t="s">
        <v>147</v>
      </c>
      <c r="D34" s="22">
        <f>VLOOKUP(B34,'DSOAT-T1.2025'!B35:D113,3,0)</f>
        <v>4130200.0000000005</v>
      </c>
      <c r="E34" s="490" t="e">
        <f>VLOOKUP(B34,'DSOAT-T1.2025'!B35:AJ113,47,0)</f>
        <v>#REF!</v>
      </c>
      <c r="F34" s="490" t="e">
        <f>VLOOKUP(B34,'DSOAT-T1.2025'!B35:AQ113,54,0)</f>
        <v>#REF!</v>
      </c>
      <c r="G34" s="491">
        <v>11000000</v>
      </c>
      <c r="H34" s="491"/>
      <c r="I34" s="491">
        <f t="shared" si="0"/>
        <v>0</v>
      </c>
      <c r="J34" s="491" t="e">
        <f t="shared" si="1"/>
        <v>#REF!</v>
      </c>
      <c r="K34" s="492" t="e">
        <f t="shared" si="2"/>
        <v>#REF!</v>
      </c>
      <c r="L34" s="493" t="str">
        <f>VLOOKUP(B34,'[18]DSOAT-T3.2022'!$B$10:$AW$77,48,0)</f>
        <v>P03</v>
      </c>
      <c r="M34" s="493"/>
      <c r="N34" s="9" t="str">
        <f>VLOOKUP($C34,'[19]KD Bến Tre - T72021'!$C$3:$C$73,1,0)</f>
        <v>Trần Văn Cảnh</v>
      </c>
      <c r="Q34" s="496" t="s">
        <v>927</v>
      </c>
      <c r="S34" s="21"/>
      <c r="U34" s="9">
        <f>SUM(U8:U33)</f>
        <v>42</v>
      </c>
      <c r="W34" s="9">
        <f>VLOOKUP(C34,'[20]NPT - TTKD BẾN TRE'!$C$15:$D$43,2,0)</f>
        <v>4</v>
      </c>
    </row>
    <row r="35" spans="1:23" s="9" customFormat="1" ht="26.25" customHeight="1">
      <c r="A35" s="8">
        <f t="shared" si="3"/>
        <v>27</v>
      </c>
      <c r="B35" s="56" t="s">
        <v>64</v>
      </c>
      <c r="C35" s="10" t="s">
        <v>65</v>
      </c>
      <c r="D35" s="22">
        <f>VLOOKUP(B35,'DSOAT-T1.2025'!B36:D114,3,0)</f>
        <v>3691500</v>
      </c>
      <c r="E35" s="490" t="e">
        <f>VLOOKUP(B35,'DSOAT-T1.2025'!B36:AJ114,47,0)</f>
        <v>#REF!</v>
      </c>
      <c r="F35" s="490" t="e">
        <f>VLOOKUP(B35,'DSOAT-T1.2025'!B36:AQ114,54,0)</f>
        <v>#REF!</v>
      </c>
      <c r="G35" s="491">
        <v>11000000</v>
      </c>
      <c r="H35" s="491"/>
      <c r="I35" s="491">
        <f t="shared" si="0"/>
        <v>0</v>
      </c>
      <c r="J35" s="491" t="e">
        <f t="shared" si="1"/>
        <v>#REF!</v>
      </c>
      <c r="K35" s="492" t="e">
        <f t="shared" si="2"/>
        <v>#REF!</v>
      </c>
      <c r="L35" s="493" t="str">
        <f>VLOOKUP(B35,'[18]DSOAT-T3.2022'!$B$10:$AW$77,48,0)</f>
        <v>P04</v>
      </c>
      <c r="M35" s="493"/>
      <c r="N35" s="9" t="str">
        <f>VLOOKUP($C35,'[19]KD Bến Tre - T72021'!$C$3:$C$73,1,0)</f>
        <v>Nguyễn Thanh Hằng</v>
      </c>
      <c r="Q35" s="496"/>
      <c r="S35" s="21"/>
      <c r="W35" s="9" t="e">
        <f>VLOOKUP(C35,'[20]NPT - TTKD BẾN TRE'!$C$15:$D$43,2,0)</f>
        <v>#N/A</v>
      </c>
    </row>
    <row r="36" spans="1:23" s="9" customFormat="1" ht="26.25" customHeight="1">
      <c r="A36" s="8">
        <f t="shared" si="3"/>
        <v>28</v>
      </c>
      <c r="B36" s="56" t="s">
        <v>66</v>
      </c>
      <c r="C36" s="10" t="s">
        <v>67</v>
      </c>
      <c r="D36" s="22">
        <f>VLOOKUP(B36,'DSOAT-T1.2025'!B37:D115,3,0)</f>
        <v>3691500</v>
      </c>
      <c r="E36" s="490" t="e">
        <f>VLOOKUP(B36,'DSOAT-T1.2025'!B37:AJ115,47,0)</f>
        <v>#REF!</v>
      </c>
      <c r="F36" s="490" t="e">
        <f>VLOOKUP(B36,'DSOAT-T1.2025'!B37:AQ115,54,0)</f>
        <v>#REF!</v>
      </c>
      <c r="G36" s="491">
        <v>11000000</v>
      </c>
      <c r="H36" s="491"/>
      <c r="I36" s="491">
        <f t="shared" si="0"/>
        <v>0</v>
      </c>
      <c r="J36" s="491" t="e">
        <f t="shared" si="1"/>
        <v>#REF!</v>
      </c>
      <c r="K36" s="492" t="e">
        <f t="shared" si="2"/>
        <v>#REF!</v>
      </c>
      <c r="L36" s="493" t="str">
        <f>VLOOKUP(B36,'[18]DSOAT-T3.2022'!$B$10:$AW$77,48,0)</f>
        <v>P04</v>
      </c>
      <c r="M36" s="493"/>
      <c r="N36" s="9" t="str">
        <f>VLOOKUP($C36,'[19]KD Bến Tre - T72021'!$C$3:$C$73,1,0)</f>
        <v>Nguyễn Thị Vỹ Hương Linh</v>
      </c>
      <c r="Q36" s="496"/>
      <c r="S36" s="21"/>
      <c r="W36" s="9" t="e">
        <f>VLOOKUP(C36,'[20]NPT - TTKD BẾN TRE'!$C$15:$D$43,2,0)</f>
        <v>#N/A</v>
      </c>
    </row>
    <row r="37" spans="1:23" s="9" customFormat="1" ht="26.25" customHeight="1">
      <c r="A37" s="8">
        <f t="shared" si="3"/>
        <v>29</v>
      </c>
      <c r="B37" s="56" t="s">
        <v>160</v>
      </c>
      <c r="C37" s="53" t="s">
        <v>148</v>
      </c>
      <c r="D37" s="22">
        <f>VLOOKUP(B37,'DSOAT-T1.2025'!B38:D116,3,0)</f>
        <v>3691500</v>
      </c>
      <c r="E37" s="490" t="e">
        <f>VLOOKUP(B37,'DSOAT-T1.2025'!B38:AJ116,47,0)</f>
        <v>#REF!</v>
      </c>
      <c r="F37" s="490" t="e">
        <f>VLOOKUP(B37,'DSOAT-T1.2025'!B38:AQ116,54,0)</f>
        <v>#REF!</v>
      </c>
      <c r="G37" s="491">
        <v>11000000</v>
      </c>
      <c r="H37" s="491"/>
      <c r="I37" s="491">
        <f t="shared" si="0"/>
        <v>0</v>
      </c>
      <c r="J37" s="491" t="e">
        <f t="shared" si="1"/>
        <v>#REF!</v>
      </c>
      <c r="K37" s="492" t="e">
        <f t="shared" si="2"/>
        <v>#REF!</v>
      </c>
      <c r="L37" s="493" t="str">
        <f>VLOOKUP(B37,'[18]DSOAT-T3.2022'!$B$10:$AW$77,48,0)</f>
        <v>P04</v>
      </c>
      <c r="M37" s="493"/>
      <c r="N37" s="9" t="str">
        <f>VLOOKUP($C37,'[19]KD Bến Tre - T72021'!$C$3:$C$73,1,0)</f>
        <v>Nguyễn Khắc Huy</v>
      </c>
      <c r="Q37" s="496"/>
      <c r="S37" s="21"/>
      <c r="W37" s="9" t="e">
        <f>VLOOKUP(C37,'[20]NPT - TTKD BẾN TRE'!$C$15:$D$43,2,0)</f>
        <v>#N/A</v>
      </c>
    </row>
    <row r="38" spans="1:23" s="9" customFormat="1" ht="26.25" customHeight="1">
      <c r="A38" s="8">
        <f t="shared" si="3"/>
        <v>30</v>
      </c>
      <c r="B38" s="56" t="s">
        <v>171</v>
      </c>
      <c r="C38" s="53" t="s">
        <v>168</v>
      </c>
      <c r="D38" s="22">
        <f>VLOOKUP(B38,'DSOAT-T1.2025'!B39:D117,3,0)</f>
        <v>3691500</v>
      </c>
      <c r="E38" s="490" t="e">
        <f>VLOOKUP(B38,'DSOAT-T1.2025'!B39:AJ117,47,0)</f>
        <v>#REF!</v>
      </c>
      <c r="F38" s="490" t="e">
        <f>VLOOKUP(B38,'DSOAT-T1.2025'!B39:AQ117,54,0)</f>
        <v>#REF!</v>
      </c>
      <c r="G38" s="491">
        <v>11000000</v>
      </c>
      <c r="H38" s="491"/>
      <c r="I38" s="491">
        <f t="shared" si="0"/>
        <v>0</v>
      </c>
      <c r="J38" s="491" t="e">
        <f t="shared" si="1"/>
        <v>#REF!</v>
      </c>
      <c r="K38" s="492" t="e">
        <f t="shared" si="2"/>
        <v>#REF!</v>
      </c>
      <c r="L38" s="493" t="str">
        <f>VLOOKUP(B38,'[18]DSOAT-T3.2022'!$B$10:$AW$77,48,0)</f>
        <v>P04</v>
      </c>
      <c r="M38" s="493"/>
      <c r="N38" s="9" t="str">
        <f>VLOOKUP($C38,'[19]KD Bến Tre - T72021'!$C$3:$C$73,1,0)</f>
        <v>Lê Thị Linh Phương</v>
      </c>
      <c r="Q38" s="496"/>
      <c r="S38" s="21"/>
      <c r="W38" s="9" t="e">
        <f>VLOOKUP(C38,'[20]NPT - TTKD BẾN TRE'!$C$15:$D$43,2,0)</f>
        <v>#N/A</v>
      </c>
    </row>
    <row r="39" spans="1:23" s="9" customFormat="1" ht="26.25" customHeight="1">
      <c r="A39" s="8">
        <f t="shared" si="3"/>
        <v>31</v>
      </c>
      <c r="B39" s="56" t="s">
        <v>68</v>
      </c>
      <c r="C39" s="10" t="s">
        <v>69</v>
      </c>
      <c r="D39" s="22">
        <f>VLOOKUP(B39,'DSOAT-T1.2025'!B40:D118,3,0)</f>
        <v>3691500</v>
      </c>
      <c r="E39" s="490" t="e">
        <f>VLOOKUP(B39,'DSOAT-T1.2025'!B40:AJ118,47,0)</f>
        <v>#REF!</v>
      </c>
      <c r="F39" s="490" t="e">
        <f>VLOOKUP(B39,'DSOAT-T1.2025'!B40:AQ118,54,0)</f>
        <v>#REF!</v>
      </c>
      <c r="G39" s="491">
        <v>11000000</v>
      </c>
      <c r="H39" s="491"/>
      <c r="I39" s="491">
        <f t="shared" si="0"/>
        <v>0</v>
      </c>
      <c r="J39" s="491" t="e">
        <f t="shared" si="1"/>
        <v>#REF!</v>
      </c>
      <c r="K39" s="492" t="e">
        <f t="shared" si="2"/>
        <v>#REF!</v>
      </c>
      <c r="L39" s="493" t="str">
        <f>VLOOKUP(B39,'[18]DSOAT-T3.2022'!$B$10:$AW$77,48,0)</f>
        <v>P05</v>
      </c>
      <c r="M39" s="493"/>
      <c r="N39" s="9" t="str">
        <f>VLOOKUP($C39,'[19]KD Bến Tre - T72021'!$C$3:$C$73,1,0)</f>
        <v>Nguyễn Thị Kim Thi</v>
      </c>
      <c r="Q39" s="496"/>
      <c r="S39" s="21"/>
      <c r="W39" s="9" t="e">
        <f>VLOOKUP(C39,'[20]NPT - TTKD BẾN TRE'!$C$15:$D$43,2,0)</f>
        <v>#N/A</v>
      </c>
    </row>
    <row r="40" spans="1:23" s="9" customFormat="1" ht="26.25" customHeight="1">
      <c r="A40" s="8">
        <f t="shared" si="3"/>
        <v>32</v>
      </c>
      <c r="B40" s="56" t="s">
        <v>71</v>
      </c>
      <c r="C40" s="10" t="s">
        <v>72</v>
      </c>
      <c r="D40" s="22">
        <f>VLOOKUP(B40,'DSOAT-T1.2025'!B41:D119,3,0)</f>
        <v>3691500</v>
      </c>
      <c r="E40" s="490" t="e">
        <f>VLOOKUP(B40,'DSOAT-T1.2025'!B41:AJ119,47,0)</f>
        <v>#REF!</v>
      </c>
      <c r="F40" s="490" t="e">
        <f>VLOOKUP(B40,'DSOAT-T1.2025'!B41:AQ119,54,0)</f>
        <v>#REF!</v>
      </c>
      <c r="G40" s="491">
        <v>11000000</v>
      </c>
      <c r="H40" s="491">
        <v>1</v>
      </c>
      <c r="I40" s="491">
        <f t="shared" si="0"/>
        <v>4400000</v>
      </c>
      <c r="J40" s="491" t="e">
        <f t="shared" si="1"/>
        <v>#REF!</v>
      </c>
      <c r="K40" s="492" t="e">
        <f t="shared" si="2"/>
        <v>#REF!</v>
      </c>
      <c r="L40" s="493" t="str">
        <f>VLOOKUP(B40,'[18]DSOAT-T3.2022'!$B$10:$AW$77,48,0)</f>
        <v>P05</v>
      </c>
      <c r="M40" s="493"/>
      <c r="N40" s="9" t="str">
        <f>VLOOKUP($C40,'[19]KD Bến Tre - T72021'!$C$3:$C$73,1,0)</f>
        <v>Mai Thị Thùy</v>
      </c>
      <c r="Q40" s="496"/>
      <c r="S40" s="21"/>
      <c r="W40" s="9" t="e">
        <f>VLOOKUP(C40,'[20]NPT - TTKD BẾN TRE'!$C$15:$D$43,2,0)</f>
        <v>#N/A</v>
      </c>
    </row>
    <row r="41" spans="1:23" s="9" customFormat="1" ht="26.25" customHeight="1">
      <c r="A41" s="8">
        <f t="shared" si="3"/>
        <v>33</v>
      </c>
      <c r="B41" s="56" t="s">
        <v>73</v>
      </c>
      <c r="C41" s="10" t="s">
        <v>74</v>
      </c>
      <c r="D41" s="22">
        <f>VLOOKUP(B41,'DSOAT-T1.2025'!B42:D120,3,0)</f>
        <v>3691500</v>
      </c>
      <c r="E41" s="490" t="e">
        <f>VLOOKUP(B41,'DSOAT-T1.2025'!B42:AJ120,47,0)</f>
        <v>#REF!</v>
      </c>
      <c r="F41" s="490" t="e">
        <f>VLOOKUP(B41,'DSOAT-T1.2025'!B42:AQ120,54,0)</f>
        <v>#REF!</v>
      </c>
      <c r="G41" s="491">
        <v>11000000</v>
      </c>
      <c r="H41" s="491">
        <v>1</v>
      </c>
      <c r="I41" s="491">
        <f t="shared" si="0"/>
        <v>4400000</v>
      </c>
      <c r="J41" s="491" t="e">
        <f t="shared" si="1"/>
        <v>#REF!</v>
      </c>
      <c r="K41" s="492" t="e">
        <f t="shared" si="2"/>
        <v>#REF!</v>
      </c>
      <c r="L41" s="493" t="str">
        <f>VLOOKUP(B41,'[18]DSOAT-T3.2022'!$B$10:$AW$77,48,0)</f>
        <v>P05</v>
      </c>
      <c r="M41" s="493"/>
      <c r="N41" s="9" t="str">
        <f>VLOOKUP($C41,'[19]KD Bến Tre - T72021'!$C$3:$C$73,1,0)</f>
        <v>Nguyễn Thị Lan Phương</v>
      </c>
      <c r="Q41" s="496"/>
      <c r="S41" s="21"/>
      <c r="W41" s="9" t="e">
        <f>VLOOKUP(C41,'[20]NPT - TTKD BẾN TRE'!$C$15:$D$43,2,0)</f>
        <v>#N/A</v>
      </c>
    </row>
    <row r="42" spans="1:23" s="9" customFormat="1" ht="26.25" customHeight="1">
      <c r="A42" s="8">
        <f t="shared" si="3"/>
        <v>34</v>
      </c>
      <c r="B42" s="56" t="s">
        <v>166</v>
      </c>
      <c r="C42" s="54" t="s">
        <v>149</v>
      </c>
      <c r="D42" s="22">
        <f>VLOOKUP(B42,'DSOAT-T1.2025'!B11:D81,3,0)</f>
        <v>3691500</v>
      </c>
      <c r="E42" s="490" t="e">
        <f>VLOOKUP(B42,'DSOAT-T1.2025'!B43:AJ121,47,0)</f>
        <v>#REF!</v>
      </c>
      <c r="F42" s="490" t="e">
        <f>VLOOKUP(B42,'DSOAT-T1.2025'!B43:AQ121,54,0)</f>
        <v>#REF!</v>
      </c>
      <c r="G42" s="491">
        <v>11000000</v>
      </c>
      <c r="H42" s="491"/>
      <c r="I42" s="491">
        <f t="shared" si="0"/>
        <v>0</v>
      </c>
      <c r="J42" s="491" t="e">
        <f t="shared" si="1"/>
        <v>#REF!</v>
      </c>
      <c r="K42" s="492" t="e">
        <f t="shared" si="2"/>
        <v>#REF!</v>
      </c>
      <c r="L42" s="493" t="str">
        <f>VLOOKUP(B42,'[18]DSOAT-T3.2022'!$B$10:$AW$77,48,0)</f>
        <v>P05</v>
      </c>
      <c r="M42" s="493"/>
      <c r="N42" s="9" t="str">
        <f>VLOOKUP($C42,'[19]KD Bến Tre - T72021'!$C$3:$C$73,1,0)</f>
        <v>Lê Văn Giàu</v>
      </c>
      <c r="W42" s="9" t="e">
        <f>VLOOKUP(C42,'[20]NPT - TTKD BẾN TRE'!$C$15:$D$43,2,0)</f>
        <v>#N/A</v>
      </c>
    </row>
    <row r="43" spans="1:23" s="9" customFormat="1" ht="26.25" customHeight="1">
      <c r="A43" s="8">
        <f t="shared" si="3"/>
        <v>35</v>
      </c>
      <c r="B43" s="56" t="s">
        <v>162</v>
      </c>
      <c r="C43" s="54" t="s">
        <v>150</v>
      </c>
      <c r="D43" s="22">
        <f>VLOOKUP(B43,'DSOAT-T1.2025'!B12:D89,3,0)</f>
        <v>3691500</v>
      </c>
      <c r="E43" s="490" t="e">
        <f>VLOOKUP(B43,'DSOAT-T1.2025'!B44:AJ122,47,0)</f>
        <v>#REF!</v>
      </c>
      <c r="F43" s="490" t="e">
        <f>VLOOKUP(B43,'DSOAT-T1.2025'!B44:AQ122,54,0)</f>
        <v>#REF!</v>
      </c>
      <c r="G43" s="491">
        <v>11000000</v>
      </c>
      <c r="H43" s="491"/>
      <c r="I43" s="491">
        <f t="shared" si="0"/>
        <v>0</v>
      </c>
      <c r="J43" s="491" t="e">
        <f t="shared" si="1"/>
        <v>#REF!</v>
      </c>
      <c r="K43" s="492" t="e">
        <f t="shared" si="2"/>
        <v>#REF!</v>
      </c>
      <c r="L43" s="493" t="str">
        <f>VLOOKUP(B43,'[18]DSOAT-T3.2022'!$B$10:$AW$77,48,0)</f>
        <v>P05</v>
      </c>
      <c r="M43" s="493"/>
      <c r="N43" s="9" t="e">
        <f>VLOOKUP($C43,'[19]KD Bến Tre - T72021'!$C$3:$C$73,1,0)</f>
        <v>#N/A</v>
      </c>
      <c r="W43" s="9" t="e">
        <f>VLOOKUP(C43,'[20]NPT - TTKD BẾN TRE'!$C$15:$D$43,2,0)</f>
        <v>#N/A</v>
      </c>
    </row>
    <row r="44" spans="1:23" s="9" customFormat="1" ht="26.25" customHeight="1">
      <c r="A44" s="8">
        <f t="shared" si="3"/>
        <v>36</v>
      </c>
      <c r="B44" s="56" t="s">
        <v>165</v>
      </c>
      <c r="C44" s="54" t="s">
        <v>151</v>
      </c>
      <c r="D44" s="22">
        <f>VLOOKUP(B44,'DSOAT-T1.2025'!B13:D90,3,0)</f>
        <v>4130200.0000000005</v>
      </c>
      <c r="E44" s="490" t="e">
        <f>VLOOKUP(B44,'DSOAT-T1.2025'!B45:AJ123,47,0)</f>
        <v>#REF!</v>
      </c>
      <c r="F44" s="490" t="e">
        <f>VLOOKUP(B44,'DSOAT-T1.2025'!B45:AQ123,54,0)</f>
        <v>#REF!</v>
      </c>
      <c r="G44" s="491">
        <v>11000000</v>
      </c>
      <c r="H44" s="491"/>
      <c r="I44" s="491">
        <f t="shared" si="0"/>
        <v>0</v>
      </c>
      <c r="J44" s="491" t="e">
        <f t="shared" si="1"/>
        <v>#REF!</v>
      </c>
      <c r="K44" s="492" t="e">
        <f t="shared" si="2"/>
        <v>#REF!</v>
      </c>
      <c r="L44" s="493" t="str">
        <f>VLOOKUP(B44,'[18]DSOAT-T3.2022'!$B$10:$AW$77,48,0)</f>
        <v>P05</v>
      </c>
      <c r="M44" s="493"/>
      <c r="N44" s="9" t="str">
        <f>VLOOKUP($C44,'[19]KD Bến Tre - T72021'!$C$3:$C$73,1,0)</f>
        <v>Bùi Tấn Đạt</v>
      </c>
      <c r="W44" s="9" t="e">
        <f>VLOOKUP(C44,'[20]NPT - TTKD BẾN TRE'!$C$15:$D$43,2,0)</f>
        <v>#N/A</v>
      </c>
    </row>
    <row r="45" spans="1:23" s="9" customFormat="1" ht="26.25" customHeight="1">
      <c r="A45" s="8">
        <f t="shared" si="3"/>
        <v>37</v>
      </c>
      <c r="B45" s="56" t="s">
        <v>57</v>
      </c>
      <c r="C45" s="184" t="s">
        <v>211</v>
      </c>
      <c r="D45" s="22">
        <f>VLOOKUP(B45,'DSOAT-T1.2025'!B14:D91,3,0)</f>
        <v>4718700</v>
      </c>
      <c r="E45" s="490" t="e">
        <f>VLOOKUP(B45,'DSOAT-T1.2025'!B46:AJ124,47,0)</f>
        <v>#REF!</v>
      </c>
      <c r="F45" s="490" t="e">
        <f>VLOOKUP(B45,'DSOAT-T1.2025'!B46:AQ124,54,0)</f>
        <v>#REF!</v>
      </c>
      <c r="G45" s="491">
        <v>11000000</v>
      </c>
      <c r="H45" s="491"/>
      <c r="I45" s="491">
        <f t="shared" si="0"/>
        <v>0</v>
      </c>
      <c r="J45" s="491" t="e">
        <f t="shared" si="1"/>
        <v>#REF!</v>
      </c>
      <c r="K45" s="492" t="e">
        <f t="shared" si="2"/>
        <v>#REF!</v>
      </c>
      <c r="L45" s="493" t="str">
        <f>VLOOKUP(B45,'[18]DSOAT-T3.2022'!$B$10:$AW$77,48,0)</f>
        <v>P06</v>
      </c>
      <c r="M45" s="493"/>
      <c r="N45" s="9" t="e">
        <f>VLOOKUP($C45,'[19]KD Bến Tre - T72021'!$C$3:$C$73,1,0)</f>
        <v>#N/A</v>
      </c>
      <c r="W45" s="9" t="e">
        <f>VLOOKUP(C45,'[20]NPT - TTKD BẾN TRE'!$C$15:$D$43,2,0)</f>
        <v>#N/A</v>
      </c>
    </row>
    <row r="46" spans="1:23" s="9" customFormat="1" ht="26.25" customHeight="1">
      <c r="A46" s="8">
        <f t="shared" si="3"/>
        <v>38</v>
      </c>
      <c r="B46" s="56" t="s">
        <v>77</v>
      </c>
      <c r="C46" s="24" t="s">
        <v>78</v>
      </c>
      <c r="D46" s="22">
        <f>VLOOKUP(B46,'DSOAT-T1.2025'!B15:D92,3,0)</f>
        <v>4718700</v>
      </c>
      <c r="E46" s="490" t="e">
        <f>VLOOKUP(B46,'DSOAT-T1.2025'!B47:AJ125,47,0)</f>
        <v>#REF!</v>
      </c>
      <c r="F46" s="490" t="e">
        <f>VLOOKUP(B46,'DSOAT-T1.2025'!B47:AQ125,54,0)</f>
        <v>#REF!</v>
      </c>
      <c r="G46" s="491">
        <v>11000000</v>
      </c>
      <c r="H46" s="491"/>
      <c r="I46" s="491">
        <f t="shared" si="0"/>
        <v>0</v>
      </c>
      <c r="J46" s="491" t="e">
        <f t="shared" si="1"/>
        <v>#REF!</v>
      </c>
      <c r="K46" s="492" t="e">
        <f t="shared" si="2"/>
        <v>#REF!</v>
      </c>
      <c r="L46" s="493" t="str">
        <f>VLOOKUP(B46,'[18]DSOAT-T3.2022'!$B$10:$AW$77,48,0)</f>
        <v>P06</v>
      </c>
      <c r="M46" s="493"/>
      <c r="N46" s="9" t="str">
        <f>VLOOKUP($C46,'[19]KD Bến Tre - T72021'!$C$3:$C$73,1,0)</f>
        <v>Hồ Thanh Liêm</v>
      </c>
      <c r="W46" s="9">
        <f>VLOOKUP(C46,'[20]NPT - TTKD BẾN TRE'!$C$15:$D$43,2,0)</f>
        <v>2</v>
      </c>
    </row>
    <row r="47" spans="1:23" s="9" customFormat="1" ht="26.25" customHeight="1">
      <c r="A47" s="8">
        <f t="shared" si="3"/>
        <v>39</v>
      </c>
      <c r="B47" s="56" t="s">
        <v>80</v>
      </c>
      <c r="C47" s="25" t="s">
        <v>81</v>
      </c>
      <c r="D47" s="22">
        <f>VLOOKUP(B47,'DSOAT-T1.2025'!B16:D93,3,0)</f>
        <v>4718700</v>
      </c>
      <c r="E47" s="490" t="e">
        <f>VLOOKUP(B47,'DSOAT-T1.2025'!B48:AJ126,47,0)</f>
        <v>#REF!</v>
      </c>
      <c r="F47" s="490" t="e">
        <f>VLOOKUP(B47,'DSOAT-T1.2025'!B48:AQ126,54,0)</f>
        <v>#REF!</v>
      </c>
      <c r="G47" s="491">
        <v>11000000</v>
      </c>
      <c r="H47" s="491"/>
      <c r="I47" s="491">
        <f t="shared" si="0"/>
        <v>0</v>
      </c>
      <c r="J47" s="491" t="e">
        <f t="shared" si="1"/>
        <v>#REF!</v>
      </c>
      <c r="K47" s="492" t="e">
        <f t="shared" si="2"/>
        <v>#REF!</v>
      </c>
      <c r="L47" s="493" t="str">
        <f>VLOOKUP(B47,'[18]DSOAT-T3.2022'!$B$10:$AW$77,48,0)</f>
        <v>P06</v>
      </c>
      <c r="M47" s="493"/>
      <c r="N47" s="9" t="str">
        <f>VLOOKUP($C47,'[19]KD Bến Tre - T72021'!$C$3:$C$73,1,0)</f>
        <v>Nguyễn Thanh Trúc</v>
      </c>
      <c r="W47" s="9">
        <f>VLOOKUP(C47,'[20]NPT - TTKD BẾN TRE'!$C$15:$D$43,2,0)</f>
        <v>1</v>
      </c>
    </row>
    <row r="48" spans="1:23" s="9" customFormat="1" ht="26.25" customHeight="1">
      <c r="A48" s="8">
        <f t="shared" si="3"/>
        <v>40</v>
      </c>
      <c r="B48" s="56" t="s">
        <v>82</v>
      </c>
      <c r="C48" s="10" t="s">
        <v>83</v>
      </c>
      <c r="D48" s="22">
        <f>VLOOKUP(B48,'DSOAT-T1.2025'!B17:D94,3,0)</f>
        <v>3691500</v>
      </c>
      <c r="E48" s="490" t="e">
        <f>VLOOKUP(B48,'DSOAT-T1.2025'!B49:AJ127,47,0)</f>
        <v>#REF!</v>
      </c>
      <c r="F48" s="490" t="e">
        <f>VLOOKUP(B48,'DSOAT-T1.2025'!B49:AQ127,54,0)</f>
        <v>#REF!</v>
      </c>
      <c r="G48" s="491">
        <v>11000000</v>
      </c>
      <c r="H48" s="491"/>
      <c r="I48" s="491">
        <f t="shared" si="0"/>
        <v>0</v>
      </c>
      <c r="J48" s="491" t="e">
        <f t="shared" si="1"/>
        <v>#REF!</v>
      </c>
      <c r="K48" s="492" t="e">
        <f t="shared" si="2"/>
        <v>#REF!</v>
      </c>
      <c r="L48" s="493" t="str">
        <f>VLOOKUP(B48,'[18]DSOAT-T3.2022'!$B$10:$AW$77,48,0)</f>
        <v>P06</v>
      </c>
      <c r="M48" s="493"/>
      <c r="N48" s="9" t="str">
        <f>VLOOKUP($C48,'[19]KD Bến Tre - T72021'!$C$3:$C$73,1,0)</f>
        <v>Nguyễn Thị Ngọc Ngoan</v>
      </c>
      <c r="W48" s="9">
        <f>VLOOKUP(C48,'[20]NPT - TTKD BẾN TRE'!$C$15:$D$43,2,0)</f>
        <v>1</v>
      </c>
    </row>
    <row r="49" spans="1:23" s="9" customFormat="1" ht="26.25" customHeight="1">
      <c r="A49" s="8">
        <f t="shared" si="3"/>
        <v>41</v>
      </c>
      <c r="B49" s="56" t="s">
        <v>84</v>
      </c>
      <c r="C49" s="181" t="s">
        <v>139</v>
      </c>
      <c r="D49" s="22">
        <f>VLOOKUP(B49,'DSOAT-T1.2025'!B18:D95,3,0)</f>
        <v>4718700</v>
      </c>
      <c r="E49" s="490" t="e">
        <f>VLOOKUP(B49,'DSOAT-T1.2025'!B50:AJ128,47,0)</f>
        <v>#REF!</v>
      </c>
      <c r="F49" s="490" t="e">
        <f>VLOOKUP(B49,'DSOAT-T1.2025'!B50:AQ128,54,0)</f>
        <v>#REF!</v>
      </c>
      <c r="G49" s="491">
        <v>11000000</v>
      </c>
      <c r="H49" s="491"/>
      <c r="I49" s="491">
        <f t="shared" si="0"/>
        <v>0</v>
      </c>
      <c r="J49" s="491" t="e">
        <f t="shared" si="1"/>
        <v>#REF!</v>
      </c>
      <c r="K49" s="492" t="e">
        <f t="shared" si="2"/>
        <v>#REF!</v>
      </c>
      <c r="L49" s="493" t="str">
        <f>VLOOKUP(B49,'[18]DSOAT-T3.2022'!$B$10:$AW$77,48,0)</f>
        <v>P06</v>
      </c>
      <c r="M49" s="493"/>
      <c r="N49" s="9" t="e">
        <f>VLOOKUP($C49,'[19]KD Bến Tre - T72021'!$C$3:$C$73,1,0)</f>
        <v>#N/A</v>
      </c>
      <c r="W49" s="9">
        <f>VLOOKUP(C49,'[20]NPT - TTKD BẾN TRE'!$C$15:$D$43,2,0)</f>
        <v>2</v>
      </c>
    </row>
    <row r="50" spans="1:23" s="9" customFormat="1" ht="26.25" customHeight="1">
      <c r="A50" s="8">
        <f t="shared" si="3"/>
        <v>42</v>
      </c>
      <c r="B50" s="56" t="s">
        <v>161</v>
      </c>
      <c r="C50" s="10" t="s">
        <v>152</v>
      </c>
      <c r="D50" s="22">
        <f>VLOOKUP(B50,'DSOAT-T1.2025'!B18:D96,3,0)</f>
        <v>4718700</v>
      </c>
      <c r="E50" s="490" t="e">
        <f>VLOOKUP(B50,'DSOAT-T1.2025'!B51:AJ129,47,0)</f>
        <v>#REF!</v>
      </c>
      <c r="F50" s="490" t="e">
        <f>VLOOKUP(B50,'DSOAT-T1.2025'!B51:AQ129,54,0)</f>
        <v>#REF!</v>
      </c>
      <c r="G50" s="491">
        <v>11000000</v>
      </c>
      <c r="H50" s="491"/>
      <c r="I50" s="491">
        <f t="shared" si="0"/>
        <v>0</v>
      </c>
      <c r="J50" s="491" t="e">
        <f t="shared" si="1"/>
        <v>#REF!</v>
      </c>
      <c r="K50" s="492" t="e">
        <f t="shared" si="2"/>
        <v>#REF!</v>
      </c>
      <c r="L50" s="493" t="str">
        <f>VLOOKUP(B50,'[18]DSOAT-T3.2022'!$B$10:$AW$77,48,0)</f>
        <v>P06</v>
      </c>
      <c r="M50" s="493"/>
      <c r="N50" s="9" t="str">
        <f>VLOOKUP($C50,'[19]KD Bến Tre - T72021'!$C$3:$C$73,1,0)</f>
        <v>Lê Chí Cường</v>
      </c>
      <c r="W50" s="9">
        <f>VLOOKUP(C50,'[20]NPT - TTKD BẾN TRE'!$C$15:$D$43,2,0)</f>
        <v>3</v>
      </c>
    </row>
    <row r="51" spans="1:23" s="9" customFormat="1" ht="26.25" customHeight="1">
      <c r="A51" s="8">
        <f t="shared" si="3"/>
        <v>43</v>
      </c>
      <c r="B51" s="56" t="s">
        <v>85</v>
      </c>
      <c r="C51" s="10" t="s">
        <v>86</v>
      </c>
      <c r="D51" s="22">
        <f>VLOOKUP(B51,'DSOAT-T1.2025'!B19:D97,3,0)</f>
        <v>4130200.0000000005</v>
      </c>
      <c r="E51" s="490" t="e">
        <f>VLOOKUP(B51,'DSOAT-T1.2025'!B52:AJ130,47,0)</f>
        <v>#REF!</v>
      </c>
      <c r="F51" s="490" t="e">
        <f>VLOOKUP(B51,'DSOAT-T1.2025'!B52:AQ130,54,0)</f>
        <v>#REF!</v>
      </c>
      <c r="G51" s="491">
        <v>11000000</v>
      </c>
      <c r="H51" s="491"/>
      <c r="I51" s="491">
        <f t="shared" si="0"/>
        <v>0</v>
      </c>
      <c r="J51" s="491" t="e">
        <f t="shared" si="1"/>
        <v>#REF!</v>
      </c>
      <c r="K51" s="492" t="e">
        <f t="shared" si="2"/>
        <v>#REF!</v>
      </c>
      <c r="L51" s="493" t="str">
        <f>VLOOKUP(B51,'[18]DSOAT-T3.2022'!$B$10:$AW$77,48,0)</f>
        <v>P07</v>
      </c>
      <c r="M51" s="493"/>
      <c r="N51" s="9" t="str">
        <f>VLOOKUP($C51,'[19]KD Bến Tre - T72021'!$C$3:$C$73,1,0)</f>
        <v>Nguyễn Thị Thu Lan</v>
      </c>
      <c r="W51" s="9" t="e">
        <f>VLOOKUP(C51,'[20]NPT - TTKD BẾN TRE'!$C$15:$D$43,2,0)</f>
        <v>#N/A</v>
      </c>
    </row>
    <row r="52" spans="1:23" s="501" customFormat="1" ht="26.25" customHeight="1">
      <c r="A52" s="497">
        <f t="shared" si="3"/>
        <v>44</v>
      </c>
      <c r="B52" s="56" t="s">
        <v>88</v>
      </c>
      <c r="C52" s="10" t="s">
        <v>89</v>
      </c>
      <c r="D52" s="22">
        <f>VLOOKUP(B52,'DSOAT-T1.2025'!B20:D98,3,0)</f>
        <v>3691500</v>
      </c>
      <c r="E52" s="490" t="e">
        <f>VLOOKUP(B52,'DSOAT-T1.2025'!B53:AJ131,47,0)</f>
        <v>#REF!</v>
      </c>
      <c r="F52" s="490" t="e">
        <f>VLOOKUP(B52,'DSOAT-T1.2025'!B53:AQ131,54,0)</f>
        <v>#REF!</v>
      </c>
      <c r="G52" s="498">
        <v>11000000</v>
      </c>
      <c r="H52" s="491"/>
      <c r="I52" s="491">
        <f t="shared" si="0"/>
        <v>0</v>
      </c>
      <c r="J52" s="491" t="e">
        <f t="shared" si="1"/>
        <v>#REF!</v>
      </c>
      <c r="K52" s="499" t="e">
        <f t="shared" si="2"/>
        <v>#REF!</v>
      </c>
      <c r="L52" s="500" t="str">
        <f>VLOOKUP(B52,'[18]DSOAT-T3.2022'!$B$10:$AW$77,48,0)</f>
        <v>P07</v>
      </c>
      <c r="M52" s="500"/>
      <c r="N52" s="501" t="str">
        <f>VLOOKUP($C52,'[19]KD Bến Tre - T72021'!$C$3:$C$73,1,0)</f>
        <v>Nguyễn Văn Thanh Bình</v>
      </c>
      <c r="W52" s="501" t="e">
        <f>VLOOKUP(C52,'[20]NPT - TTKD BẾN TRE'!$C$15:$D$43,2,0)</f>
        <v>#N/A</v>
      </c>
    </row>
    <row r="53" spans="1:23" s="9" customFormat="1" ht="26.25" customHeight="1">
      <c r="A53" s="8">
        <f t="shared" si="3"/>
        <v>45</v>
      </c>
      <c r="B53" s="56" t="s">
        <v>90</v>
      </c>
      <c r="C53" s="10" t="s">
        <v>91</v>
      </c>
      <c r="D53" s="22">
        <f>VLOOKUP(B53,'DSOAT-T1.2025'!B21:D99,3,0)</f>
        <v>3691500</v>
      </c>
      <c r="E53" s="490" t="e">
        <f>VLOOKUP(B53,'DSOAT-T1.2025'!B54:AJ132,47,0)</f>
        <v>#REF!</v>
      </c>
      <c r="F53" s="490" t="e">
        <f>VLOOKUP(B53,'DSOAT-T1.2025'!B54:AQ132,54,0)</f>
        <v>#REF!</v>
      </c>
      <c r="G53" s="491">
        <v>11000000</v>
      </c>
      <c r="H53" s="491">
        <v>1</v>
      </c>
      <c r="I53" s="491">
        <f t="shared" si="0"/>
        <v>4400000</v>
      </c>
      <c r="J53" s="491" t="e">
        <f t="shared" si="1"/>
        <v>#REF!</v>
      </c>
      <c r="K53" s="492" t="e">
        <f t="shared" si="2"/>
        <v>#REF!</v>
      </c>
      <c r="L53" s="493" t="str">
        <f>VLOOKUP(B53,'[18]DSOAT-T3.2022'!$B$10:$AW$77,48,0)</f>
        <v>P07</v>
      </c>
      <c r="M53" s="493"/>
      <c r="N53" s="9" t="str">
        <f>VLOOKUP($C53,'[19]KD Bến Tre - T72021'!$C$3:$C$73,1,0)</f>
        <v>Trần Thị Bé Muội</v>
      </c>
      <c r="W53" s="9" t="e">
        <f>VLOOKUP(C53,'[20]NPT - TTKD BẾN TRE'!$C$15:$D$43,2,0)</f>
        <v>#N/A</v>
      </c>
    </row>
    <row r="54" spans="1:23" s="9" customFormat="1" ht="26.25" customHeight="1">
      <c r="A54" s="8">
        <f t="shared" si="3"/>
        <v>46</v>
      </c>
      <c r="B54" s="56" t="s">
        <v>93</v>
      </c>
      <c r="C54" s="10" t="s">
        <v>94</v>
      </c>
      <c r="D54" s="22">
        <f>VLOOKUP(B54,'DSOAT-T1.2025'!B22:D100,3,0)</f>
        <v>4130200.0000000005</v>
      </c>
      <c r="E54" s="490" t="e">
        <f>VLOOKUP(B54,'DSOAT-T1.2025'!B55:AJ133,47,0)</f>
        <v>#REF!</v>
      </c>
      <c r="F54" s="490" t="e">
        <f>VLOOKUP(B54,'DSOAT-T1.2025'!B55:AQ133,54,0)</f>
        <v>#REF!</v>
      </c>
      <c r="G54" s="491">
        <v>11000000</v>
      </c>
      <c r="H54" s="491"/>
      <c r="I54" s="491">
        <f t="shared" si="0"/>
        <v>0</v>
      </c>
      <c r="J54" s="491" t="e">
        <f t="shared" si="1"/>
        <v>#REF!</v>
      </c>
      <c r="K54" s="492" t="e">
        <f t="shared" si="2"/>
        <v>#REF!</v>
      </c>
      <c r="L54" s="493" t="str">
        <f>VLOOKUP(B54,'[18]DSOAT-T3.2022'!$B$10:$AW$77,48,0)</f>
        <v>P08</v>
      </c>
      <c r="M54" s="493"/>
      <c r="N54" s="9" t="str">
        <f>VLOOKUP($C54,'[19]KD Bến Tre - T72021'!$C$3:$C$73,1,0)</f>
        <v>Nguyễn Hữu Trọng</v>
      </c>
      <c r="W54" s="9" t="e">
        <f>VLOOKUP(C54,'[20]NPT - TTKD BẾN TRE'!$C$15:$D$43,2,0)</f>
        <v>#N/A</v>
      </c>
    </row>
    <row r="55" spans="1:23" s="9" customFormat="1" ht="26.25" customHeight="1">
      <c r="A55" s="8">
        <f t="shared" si="3"/>
        <v>47</v>
      </c>
      <c r="B55" s="56" t="s">
        <v>164</v>
      </c>
      <c r="C55" s="10" t="s">
        <v>153</v>
      </c>
      <c r="D55" s="22">
        <f>VLOOKUP(B55,'DSOAT-T1.2025'!B23:D101,3,0)</f>
        <v>4130200.0000000005</v>
      </c>
      <c r="E55" s="490" t="e">
        <f>VLOOKUP(B55,'DSOAT-T1.2025'!B56:AJ134,47,0)</f>
        <v>#REF!</v>
      </c>
      <c r="F55" s="490" t="e">
        <f>VLOOKUP(B55,'DSOAT-T1.2025'!B56:AQ134,54,0)</f>
        <v>#REF!</v>
      </c>
      <c r="G55" s="491">
        <v>11000000</v>
      </c>
      <c r="H55" s="491"/>
      <c r="I55" s="491">
        <f t="shared" si="0"/>
        <v>0</v>
      </c>
      <c r="J55" s="491" t="e">
        <f t="shared" si="1"/>
        <v>#REF!</v>
      </c>
      <c r="K55" s="492" t="e">
        <f t="shared" si="2"/>
        <v>#REF!</v>
      </c>
      <c r="L55" s="493" t="str">
        <f>VLOOKUP(B55,'[18]DSOAT-T3.2022'!$B$10:$AW$77,48,0)</f>
        <v>P08</v>
      </c>
      <c r="M55" s="493"/>
      <c r="N55" s="9" t="e">
        <f>VLOOKUP($C55,'[19]KD Bến Tre - T72021'!$C$3:$C$73,1,0)</f>
        <v>#N/A</v>
      </c>
      <c r="W55" s="9" t="e">
        <f>VLOOKUP(C55,'[20]NPT - TTKD BẾN TRE'!$C$15:$D$43,2,0)</f>
        <v>#N/A</v>
      </c>
    </row>
    <row r="56" spans="1:23" s="9" customFormat="1" ht="26.25" customHeight="1">
      <c r="A56" s="8">
        <f t="shared" si="3"/>
        <v>48</v>
      </c>
      <c r="B56" s="56" t="s">
        <v>18</v>
      </c>
      <c r="C56" s="10" t="s">
        <v>19</v>
      </c>
      <c r="D56" s="22">
        <f>VLOOKUP(B56,'DSOAT-T1.2025'!B25:D103,3,0)</f>
        <v>4130200.0000000005</v>
      </c>
      <c r="E56" s="490" t="e">
        <f>VLOOKUP(B56,'DSOAT-T1.2025'!B57:AJ135,47,0)</f>
        <v>#REF!</v>
      </c>
      <c r="F56" s="490" t="e">
        <f>VLOOKUP(B56,'DSOAT-T1.2025'!B57:AQ135,54,0)</f>
        <v>#REF!</v>
      </c>
      <c r="G56" s="491">
        <v>11000000</v>
      </c>
      <c r="H56" s="491"/>
      <c r="I56" s="491">
        <f t="shared" si="0"/>
        <v>0</v>
      </c>
      <c r="J56" s="491" t="e">
        <f t="shared" si="1"/>
        <v>#REF!</v>
      </c>
      <c r="K56" s="492" t="e">
        <f t="shared" si="2"/>
        <v>#REF!</v>
      </c>
      <c r="L56" s="493" t="str">
        <f>VLOOKUP(B56,'[18]DSOAT-T3.2022'!$B$10:$AW$77,48,0)</f>
        <v>P09</v>
      </c>
      <c r="M56" s="493"/>
      <c r="N56" s="9" t="str">
        <f>VLOOKUP($C56,'[19]KD Bến Tre - T72021'!$C$3:$C$73,1,0)</f>
        <v>Trần Thị Ngọc Tuyền</v>
      </c>
      <c r="W56" s="9" t="e">
        <f>VLOOKUP(C56,'[20]NPT - TTKD BẾN TRE'!$C$15:$D$43,2,0)</f>
        <v>#N/A</v>
      </c>
    </row>
    <row r="57" spans="1:23" s="9" customFormat="1" ht="26.25" customHeight="1">
      <c r="A57" s="8">
        <f t="shared" si="3"/>
        <v>49</v>
      </c>
      <c r="B57" s="56" t="s">
        <v>95</v>
      </c>
      <c r="C57" s="10" t="s">
        <v>96</v>
      </c>
      <c r="D57" s="22">
        <f>VLOOKUP(B57,'DSOAT-T1.2025'!B26:D104,3,0)</f>
        <v>4130200.0000000005</v>
      </c>
      <c r="E57" s="490" t="e">
        <f>VLOOKUP(B57,'DSOAT-T1.2025'!B58:AJ136,47,0)</f>
        <v>#REF!</v>
      </c>
      <c r="F57" s="490" t="e">
        <f>VLOOKUP(B57,'DSOAT-T1.2025'!B58:AQ136,54,0)</f>
        <v>#REF!</v>
      </c>
      <c r="G57" s="491">
        <v>11000000</v>
      </c>
      <c r="H57" s="491"/>
      <c r="I57" s="491">
        <f t="shared" si="0"/>
        <v>0</v>
      </c>
      <c r="J57" s="491" t="e">
        <f t="shared" si="1"/>
        <v>#REF!</v>
      </c>
      <c r="K57" s="492" t="e">
        <f t="shared" si="2"/>
        <v>#REF!</v>
      </c>
      <c r="L57" s="493" t="str">
        <f>VLOOKUP(B57,'[18]DSOAT-T3.2022'!$B$10:$AW$77,48,0)</f>
        <v>P09</v>
      </c>
      <c r="M57" s="493"/>
      <c r="N57" s="9" t="str">
        <f>VLOOKUP($C57,'[19]KD Bến Tre - T72021'!$C$3:$C$73,1,0)</f>
        <v>Trần Thị Thảo Phương</v>
      </c>
      <c r="W57" s="9" t="e">
        <f>VLOOKUP(C57,'[20]NPT - TTKD BẾN TRE'!$C$15:$D$43,2,0)</f>
        <v>#N/A</v>
      </c>
    </row>
    <row r="58" spans="1:23" s="9" customFormat="1" ht="26.25" customHeight="1">
      <c r="A58" s="8">
        <f t="shared" si="3"/>
        <v>50</v>
      </c>
      <c r="B58" s="56" t="s">
        <v>97</v>
      </c>
      <c r="C58" s="10" t="s">
        <v>98</v>
      </c>
      <c r="D58" s="22">
        <f>VLOOKUP(B58,'DSOAT-T1.2025'!B27:D105,3,0)</f>
        <v>4130200.0000000005</v>
      </c>
      <c r="E58" s="490" t="e">
        <f>VLOOKUP(B58,'DSOAT-T1.2025'!B59:AJ137,47,0)</f>
        <v>#REF!</v>
      </c>
      <c r="F58" s="490" t="e">
        <f>VLOOKUP(B58,'DSOAT-T1.2025'!B59:AQ137,54,0)</f>
        <v>#REF!</v>
      </c>
      <c r="G58" s="491">
        <v>11000000</v>
      </c>
      <c r="H58" s="491"/>
      <c r="I58" s="491">
        <f t="shared" si="0"/>
        <v>0</v>
      </c>
      <c r="J58" s="491" t="e">
        <f t="shared" si="1"/>
        <v>#REF!</v>
      </c>
      <c r="K58" s="492" t="e">
        <f t="shared" si="2"/>
        <v>#REF!</v>
      </c>
      <c r="L58" s="493" t="str">
        <f>VLOOKUP(B58,'[18]DSOAT-T3.2022'!$B$10:$AW$77,48,0)</f>
        <v>P09</v>
      </c>
      <c r="M58" s="493"/>
      <c r="N58" s="9" t="str">
        <f>VLOOKUP($C58,'[19]KD Bến Tre - T72021'!$C$3:$C$73,1,0)</f>
        <v>Phan Thị Mỹ Hảo</v>
      </c>
      <c r="W58" s="9" t="e">
        <f>VLOOKUP(C58,'[20]NPT - TTKD BẾN TRE'!$C$15:$D$43,2,0)</f>
        <v>#N/A</v>
      </c>
    </row>
    <row r="59" spans="1:23" s="501" customFormat="1" ht="26.25" customHeight="1">
      <c r="A59" s="497">
        <f t="shared" si="3"/>
        <v>51</v>
      </c>
      <c r="B59" s="56" t="s">
        <v>99</v>
      </c>
      <c r="C59" s="10" t="s">
        <v>100</v>
      </c>
      <c r="D59" s="22" t="e">
        <f>VLOOKUP(B59,'DSOAT-T1.2025'!B28:D106,3,0)</f>
        <v>#N/A</v>
      </c>
      <c r="E59" s="490" t="e">
        <f>VLOOKUP(B59,'DSOAT-T1.2025'!B60:AJ138,47,0)</f>
        <v>#N/A</v>
      </c>
      <c r="F59" s="490" t="e">
        <f>VLOOKUP(B59,'DSOAT-T1.2025'!B60:AQ138,54,0)</f>
        <v>#N/A</v>
      </c>
      <c r="G59" s="498">
        <v>11000000</v>
      </c>
      <c r="H59" s="491"/>
      <c r="I59" s="491">
        <f t="shared" si="0"/>
        <v>0</v>
      </c>
      <c r="J59" s="491" t="e">
        <f t="shared" si="1"/>
        <v>#N/A</v>
      </c>
      <c r="K59" s="499" t="e">
        <f t="shared" si="2"/>
        <v>#N/A</v>
      </c>
      <c r="L59" s="500" t="str">
        <f>VLOOKUP(B59,'[18]DSOAT-T3.2022'!$B$10:$AW$77,48,0)</f>
        <v>P09</v>
      </c>
      <c r="M59" s="500"/>
      <c r="N59" s="501" t="str">
        <f>VLOOKUP($C59,'[19]KD Bến Tre - T72021'!$C$3:$C$73,1,0)</f>
        <v>Nguyễn Thị Mỹ Duyên</v>
      </c>
      <c r="W59" s="501" t="e">
        <f>VLOOKUP(C59,'[20]NPT - TTKD BẾN TRE'!$C$15:$D$43,2,0)</f>
        <v>#N/A</v>
      </c>
    </row>
    <row r="60" spans="1:23" s="9" customFormat="1" ht="26.25" customHeight="1">
      <c r="A60" s="8">
        <f t="shared" si="3"/>
        <v>52</v>
      </c>
      <c r="B60" s="56" t="s">
        <v>101</v>
      </c>
      <c r="C60" s="10" t="s">
        <v>102</v>
      </c>
      <c r="D60" s="22">
        <f>VLOOKUP(B60,'DSOAT-T1.2025'!B29:D107,3,0)</f>
        <v>4130200.0000000005</v>
      </c>
      <c r="E60" s="490" t="e">
        <f>VLOOKUP(B60,'DSOAT-T1.2025'!B60:AJ139,47,0)</f>
        <v>#REF!</v>
      </c>
      <c r="F60" s="490" t="e">
        <f>VLOOKUP(B60,'DSOAT-T1.2025'!B60:AQ139,54,0)</f>
        <v>#REF!</v>
      </c>
      <c r="G60" s="491">
        <v>11000000</v>
      </c>
      <c r="H60" s="491"/>
      <c r="I60" s="491">
        <f t="shared" si="0"/>
        <v>0</v>
      </c>
      <c r="J60" s="491" t="e">
        <f t="shared" si="1"/>
        <v>#REF!</v>
      </c>
      <c r="K60" s="492" t="e">
        <f t="shared" si="2"/>
        <v>#REF!</v>
      </c>
      <c r="L60" s="493" t="str">
        <f>VLOOKUP(B60,'[18]DSOAT-T3.2022'!$B$10:$AW$77,48,0)</f>
        <v>P09</v>
      </c>
      <c r="M60" s="493"/>
      <c r="N60" s="9" t="str">
        <f>VLOOKUP($C60,'[19]KD Bến Tre - T72021'!$C$3:$C$73,1,0)</f>
        <v>Võ Phạm Huỳnh Trang</v>
      </c>
      <c r="W60" s="9" t="e">
        <f>VLOOKUP(C60,'[20]NPT - TTKD BẾN TRE'!$C$15:$D$43,2,0)</f>
        <v>#N/A</v>
      </c>
    </row>
    <row r="61" spans="1:23" s="9" customFormat="1" ht="26.25" customHeight="1">
      <c r="A61" s="8">
        <f t="shared" si="3"/>
        <v>53</v>
      </c>
      <c r="B61" s="56" t="s">
        <v>105</v>
      </c>
      <c r="C61" s="10" t="s">
        <v>106</v>
      </c>
      <c r="D61" s="22" t="e">
        <f>VLOOKUP(B61,'DSOAT-T1.2025'!B30:D108,3,0)</f>
        <v>#N/A</v>
      </c>
      <c r="E61" s="490" t="e">
        <f>VLOOKUP(B61,'DSOAT-T1.2025'!B61:AJ140,47,0)</f>
        <v>#N/A</v>
      </c>
      <c r="F61" s="490" t="e">
        <f>VLOOKUP(B61,'DSOAT-T1.2025'!B61:AQ140,54,0)</f>
        <v>#N/A</v>
      </c>
      <c r="G61" s="491">
        <v>11000000</v>
      </c>
      <c r="H61" s="491"/>
      <c r="I61" s="491">
        <f t="shared" si="0"/>
        <v>0</v>
      </c>
      <c r="J61" s="491" t="e">
        <f t="shared" si="1"/>
        <v>#N/A</v>
      </c>
      <c r="K61" s="492" t="e">
        <f t="shared" si="2"/>
        <v>#N/A</v>
      </c>
      <c r="L61" s="493" t="str">
        <f>VLOOKUP(B61,'[18]DSOAT-T3.2022'!$B$10:$AW$77,48,0)</f>
        <v>P09</v>
      </c>
      <c r="M61" s="493"/>
      <c r="N61" s="9" t="str">
        <f>VLOOKUP($C61,'[19]KD Bến Tre - T72021'!$C$3:$C$73,1,0)</f>
        <v>Hà Thị Trúc Huỳnh</v>
      </c>
      <c r="W61" s="9" t="e">
        <f>VLOOKUP(C61,'[20]NPT - TTKD BẾN TRE'!$C$15:$D$43,2,0)</f>
        <v>#N/A</v>
      </c>
    </row>
    <row r="62" spans="1:23" s="9" customFormat="1" ht="26.25" customHeight="1">
      <c r="A62" s="8">
        <f t="shared" si="3"/>
        <v>54</v>
      </c>
      <c r="B62" s="56" t="s">
        <v>163</v>
      </c>
      <c r="C62" s="10" t="s">
        <v>154</v>
      </c>
      <c r="D62" s="22">
        <f>VLOOKUP(B62,'DSOAT-T1.2025'!B31:D109,3,0)</f>
        <v>4130200.0000000005</v>
      </c>
      <c r="E62" s="490" t="e">
        <f>VLOOKUP(B62,'DSOAT-T1.2025'!B61:AJ141,47,0)</f>
        <v>#REF!</v>
      </c>
      <c r="F62" s="490" t="e">
        <f>VLOOKUP(B62,'DSOAT-T1.2025'!B61:AQ141,54,0)</f>
        <v>#REF!</v>
      </c>
      <c r="G62" s="491">
        <v>11000000</v>
      </c>
      <c r="H62" s="491"/>
      <c r="I62" s="491">
        <f t="shared" si="0"/>
        <v>0</v>
      </c>
      <c r="J62" s="491" t="e">
        <f t="shared" si="1"/>
        <v>#REF!</v>
      </c>
      <c r="K62" s="492" t="e">
        <f t="shared" si="2"/>
        <v>#REF!</v>
      </c>
      <c r="L62" s="493" t="str">
        <f>VLOOKUP(B62,'[18]DSOAT-T3.2022'!$B$10:$AW$77,48,0)</f>
        <v>P09</v>
      </c>
      <c r="M62" s="493"/>
      <c r="N62" s="9" t="str">
        <f>VLOOKUP($C62,'[19]KD Bến Tre - T72021'!$C$3:$C$73,1,0)</f>
        <v>Phan Trần Đức Ngân</v>
      </c>
      <c r="W62" s="9" t="e">
        <f>VLOOKUP(C62,'[20]NPT - TTKD BẾN TRE'!$C$15:$D$43,2,0)</f>
        <v>#N/A</v>
      </c>
    </row>
    <row r="63" spans="1:23" s="9" customFormat="1" ht="26.25" customHeight="1">
      <c r="A63" s="8">
        <f t="shared" si="3"/>
        <v>55</v>
      </c>
      <c r="B63" s="56" t="s">
        <v>107</v>
      </c>
      <c r="C63" s="10" t="s">
        <v>108</v>
      </c>
      <c r="D63" s="22" t="e">
        <f>VLOOKUP(B63,'DSOAT-T1.2025'!B32:D110,3,0)</f>
        <v>#N/A</v>
      </c>
      <c r="E63" s="490" t="e">
        <f>VLOOKUP(B63,'DSOAT-T1.2025'!B62:AJ142,47,0)</f>
        <v>#N/A</v>
      </c>
      <c r="F63" s="490" t="e">
        <f>VLOOKUP(B63,'DSOAT-T1.2025'!B62:AQ142,54,0)</f>
        <v>#N/A</v>
      </c>
      <c r="G63" s="491">
        <v>11000000</v>
      </c>
      <c r="H63" s="491"/>
      <c r="I63" s="491">
        <f t="shared" si="0"/>
        <v>0</v>
      </c>
      <c r="J63" s="491" t="e">
        <f t="shared" si="1"/>
        <v>#N/A</v>
      </c>
      <c r="K63" s="492" t="e">
        <f t="shared" si="2"/>
        <v>#N/A</v>
      </c>
      <c r="L63" s="493" t="str">
        <f>VLOOKUP(B63,'[18]DSOAT-T3.2022'!$B$10:$AW$77,48,0)</f>
        <v>P10</v>
      </c>
      <c r="M63" s="493"/>
      <c r="N63" s="9" t="str">
        <f>VLOOKUP($C63,'[19]KD Bến Tre - T72021'!$C$3:$C$73,1,0)</f>
        <v>Nguyễn Lê Hữu Duy</v>
      </c>
      <c r="W63" s="9" t="e">
        <f>VLOOKUP(C63,'[20]NPT - TTKD BẾN TRE'!$C$15:$D$43,2,0)</f>
        <v>#N/A</v>
      </c>
    </row>
    <row r="64" spans="1:23" s="9" customFormat="1" ht="26.25" customHeight="1">
      <c r="A64" s="8">
        <f t="shared" si="3"/>
        <v>56</v>
      </c>
      <c r="B64" s="56" t="s">
        <v>209</v>
      </c>
      <c r="C64" s="10" t="s">
        <v>210</v>
      </c>
      <c r="D64" s="22">
        <f>VLOOKUP(B64,'DSOAT-T1.2025'!B33:D111,3,0)</f>
        <v>4130200.0000000005</v>
      </c>
      <c r="E64" s="490" t="e">
        <f>VLOOKUP(B64,'DSOAT-T1.2025'!B62:AJ143,47,0)</f>
        <v>#REF!</v>
      </c>
      <c r="F64" s="490" t="e">
        <f>VLOOKUP(B64,'DSOAT-T1.2025'!B62:AQ143,54,0)</f>
        <v>#REF!</v>
      </c>
      <c r="G64" s="491">
        <v>11000000</v>
      </c>
      <c r="H64" s="491"/>
      <c r="I64" s="491">
        <f t="shared" si="0"/>
        <v>0</v>
      </c>
      <c r="J64" s="491" t="e">
        <f t="shared" si="1"/>
        <v>#REF!</v>
      </c>
      <c r="K64" s="492" t="e">
        <f t="shared" si="2"/>
        <v>#REF!</v>
      </c>
      <c r="L64" s="493" t="e">
        <f>VLOOKUP(B64,'[18]DSOAT-T3.2022'!$B$10:$AW$77,48,0)</f>
        <v>#N/A</v>
      </c>
      <c r="M64" s="493"/>
      <c r="N64" s="9" t="e">
        <f>VLOOKUP($C64,'[19]KD Bến Tre - T72021'!$C$3:$C$73,1,0)</f>
        <v>#N/A</v>
      </c>
      <c r="W64" s="9" t="e">
        <f>VLOOKUP(C64,'[20]NPT - TTKD BẾN TRE'!$C$15:$D$43,2,0)</f>
        <v>#N/A</v>
      </c>
    </row>
    <row r="65" spans="1:23" s="9" customFormat="1" ht="26.25" customHeight="1">
      <c r="A65" s="8">
        <f t="shared" si="3"/>
        <v>57</v>
      </c>
      <c r="B65" s="56" t="s">
        <v>204</v>
      </c>
      <c r="C65" s="10" t="s">
        <v>205</v>
      </c>
      <c r="D65" s="22">
        <f>VLOOKUP(B65,'DSOAT-T1.2025'!B34:D112,3,0)</f>
        <v>4718700</v>
      </c>
      <c r="E65" s="490" t="e">
        <f>VLOOKUP(B65,'DSOAT-T1.2025'!B63:AJ144,47,0)</f>
        <v>#REF!</v>
      </c>
      <c r="F65" s="490" t="e">
        <f>VLOOKUP(B65,'DSOAT-T1.2025'!B63:AQ144,54,0)</f>
        <v>#REF!</v>
      </c>
      <c r="G65" s="491">
        <v>11000000</v>
      </c>
      <c r="H65" s="491"/>
      <c r="I65" s="491">
        <f t="shared" si="0"/>
        <v>0</v>
      </c>
      <c r="J65" s="491" t="e">
        <f t="shared" si="1"/>
        <v>#REF!</v>
      </c>
      <c r="K65" s="492" t="e">
        <f t="shared" si="2"/>
        <v>#REF!</v>
      </c>
      <c r="L65" s="493" t="e">
        <f>VLOOKUP(B65,'[18]DSOAT-T3.2022'!$B$10:$AW$77,48,0)</f>
        <v>#N/A</v>
      </c>
      <c r="M65" s="493"/>
      <c r="N65" s="9" t="e">
        <f>VLOOKUP($C65,'[19]KD Bến Tre - T72021'!$C$3:$C$73,1,0)</f>
        <v>#N/A</v>
      </c>
      <c r="W65" s="9" t="e">
        <f>VLOOKUP(C65,'[20]NPT - TTKD BẾN TRE'!$C$15:$D$43,2,0)</f>
        <v>#N/A</v>
      </c>
    </row>
    <row r="66" spans="1:23" s="9" customFormat="1" ht="26.25" customHeight="1">
      <c r="A66" s="8">
        <f t="shared" si="3"/>
        <v>58</v>
      </c>
      <c r="B66" s="56" t="s">
        <v>212</v>
      </c>
      <c r="C66" s="55" t="s">
        <v>213</v>
      </c>
      <c r="D66" s="22">
        <f>VLOOKUP(B66,'DSOAT-T1.2025'!B35:D113,3,0)</f>
        <v>4718700</v>
      </c>
      <c r="E66" s="490" t="e">
        <f>VLOOKUP(B66,'DSOAT-T1.2025'!B64:AJ145,47,0)</f>
        <v>#REF!</v>
      </c>
      <c r="F66" s="490" t="e">
        <f>VLOOKUP(B66,'DSOAT-T1.2025'!B64:AQ145,54,0)</f>
        <v>#REF!</v>
      </c>
      <c r="G66" s="491">
        <v>11000000</v>
      </c>
      <c r="H66" s="491"/>
      <c r="I66" s="491">
        <f t="shared" si="0"/>
        <v>0</v>
      </c>
      <c r="J66" s="491" t="e">
        <f t="shared" si="1"/>
        <v>#REF!</v>
      </c>
      <c r="K66" s="492" t="e">
        <f t="shared" si="2"/>
        <v>#REF!</v>
      </c>
      <c r="L66" s="493" t="e">
        <f>VLOOKUP(B66,'[18]DSOAT-T3.2022'!$B$10:$AW$77,48,0)</f>
        <v>#N/A</v>
      </c>
      <c r="M66" s="493"/>
      <c r="N66" s="9" t="e">
        <f>VLOOKUP($C66,'[19]KD Bến Tre - T72021'!$C$3:$C$73,1,0)</f>
        <v>#N/A</v>
      </c>
      <c r="W66" s="9" t="e">
        <f>VLOOKUP(C66,'[20]NPT - TTKD BẾN TRE'!$C$15:$D$43,2,0)</f>
        <v>#N/A</v>
      </c>
    </row>
    <row r="67" spans="1:23" s="9" customFormat="1" ht="26.25" customHeight="1">
      <c r="A67" s="8">
        <f t="shared" si="3"/>
        <v>59</v>
      </c>
      <c r="B67" s="56" t="s">
        <v>214</v>
      </c>
      <c r="C67" s="55" t="s">
        <v>215</v>
      </c>
      <c r="D67" s="22" t="e">
        <f>VLOOKUP(B67,'DSOAT-T1.2025'!B36:D114,3,0)</f>
        <v>#N/A</v>
      </c>
      <c r="E67" s="490" t="e">
        <f>VLOOKUP(B67,'DSOAT-T1.2025'!B65:AJ146,47,0)</f>
        <v>#N/A</v>
      </c>
      <c r="F67" s="490" t="e">
        <f>VLOOKUP(B67,'DSOAT-T1.2025'!B65:AQ146,54,0)</f>
        <v>#N/A</v>
      </c>
      <c r="G67" s="491">
        <v>11000000</v>
      </c>
      <c r="H67" s="491"/>
      <c r="I67" s="491">
        <f t="shared" si="0"/>
        <v>0</v>
      </c>
      <c r="J67" s="491" t="e">
        <f t="shared" si="1"/>
        <v>#N/A</v>
      </c>
      <c r="K67" s="492" t="e">
        <f t="shared" si="2"/>
        <v>#N/A</v>
      </c>
      <c r="L67" s="493" t="e">
        <f>VLOOKUP(B67,'[18]DSOAT-T3.2022'!$B$10:$AW$77,48,0)</f>
        <v>#N/A</v>
      </c>
      <c r="M67" s="493"/>
      <c r="N67" s="9" t="e">
        <f>VLOOKUP($C67,'[19]KD Bến Tre - T72021'!$C$3:$C$73,1,0)</f>
        <v>#N/A</v>
      </c>
      <c r="W67" s="9" t="e">
        <f>VLOOKUP(C67,'[20]NPT - TTKD BẾN TRE'!$C$15:$D$43,2,0)</f>
        <v>#N/A</v>
      </c>
    </row>
    <row r="68" spans="1:23" s="9" customFormat="1" ht="26.25" customHeight="1">
      <c r="A68" s="8">
        <f t="shared" si="3"/>
        <v>60</v>
      </c>
      <c r="B68" s="56" t="s">
        <v>206</v>
      </c>
      <c r="C68" s="55" t="s">
        <v>207</v>
      </c>
      <c r="D68" s="22">
        <f>VLOOKUP(B68,'DSOAT-T1.2025'!B37:D115,3,0)</f>
        <v>4130200.0000000005</v>
      </c>
      <c r="E68" s="490" t="e">
        <f>VLOOKUP(B68,'DSOAT-T1.2025'!B65:AJ147,47,0)</f>
        <v>#REF!</v>
      </c>
      <c r="F68" s="490" t="e">
        <f>VLOOKUP(B68,'DSOAT-T1.2025'!B65:AQ147,54,0)</f>
        <v>#REF!</v>
      </c>
      <c r="G68" s="491">
        <v>11000000</v>
      </c>
      <c r="H68" s="491"/>
      <c r="I68" s="491">
        <f t="shared" si="0"/>
        <v>0</v>
      </c>
      <c r="J68" s="491" t="e">
        <f t="shared" si="1"/>
        <v>#REF!</v>
      </c>
      <c r="K68" s="492" t="e">
        <f t="shared" si="2"/>
        <v>#REF!</v>
      </c>
      <c r="L68" s="493" t="e">
        <f>VLOOKUP(B68,'[18]DSOAT-T3.2022'!$B$10:$AW$77,48,0)</f>
        <v>#N/A</v>
      </c>
      <c r="M68" s="493"/>
      <c r="N68" s="9" t="e">
        <f>VLOOKUP($C68,'[19]KD Bến Tre - T72021'!$C$3:$C$73,1,0)</f>
        <v>#N/A</v>
      </c>
      <c r="W68" s="9" t="e">
        <f>VLOOKUP(C68,'[20]NPT - TTKD BẾN TRE'!$C$15:$D$43,2,0)</f>
        <v>#N/A</v>
      </c>
    </row>
    <row r="69" spans="1:23" s="9" customFormat="1" ht="26.25" customHeight="1">
      <c r="A69" s="8">
        <f t="shared" si="3"/>
        <v>61</v>
      </c>
      <c r="B69" s="62" t="s">
        <v>217</v>
      </c>
      <c r="C69" s="63" t="s">
        <v>216</v>
      </c>
      <c r="D69" s="22">
        <f>VLOOKUP(B69,'DSOAT-T1.2025'!B38:D116,3,0)</f>
        <v>4718700</v>
      </c>
      <c r="E69" s="490" t="e">
        <f>VLOOKUP(B69,'DSOAT-T1.2025'!B66:AJ148,47,0)</f>
        <v>#REF!</v>
      </c>
      <c r="F69" s="490" t="e">
        <f>VLOOKUP(B69,'DSOAT-T1.2025'!B66:AQ148,54,0)</f>
        <v>#REF!</v>
      </c>
      <c r="G69" s="491">
        <v>11000000</v>
      </c>
      <c r="H69" s="491"/>
      <c r="I69" s="491">
        <f t="shared" si="0"/>
        <v>0</v>
      </c>
      <c r="J69" s="491" t="e">
        <f t="shared" si="1"/>
        <v>#REF!</v>
      </c>
      <c r="K69" s="492" t="e">
        <f t="shared" si="2"/>
        <v>#REF!</v>
      </c>
      <c r="L69" s="493" t="e">
        <f>VLOOKUP(B69,'[18]DSOAT-T3.2022'!$B$10:$AW$77,48,0)</f>
        <v>#N/A</v>
      </c>
      <c r="M69" s="493"/>
      <c r="N69" s="9" t="e">
        <f>VLOOKUP($C69,'[19]KD Bến Tre - T72021'!$C$3:$C$73,1,0)</f>
        <v>#N/A</v>
      </c>
      <c r="W69" s="9" t="e">
        <f>VLOOKUP(C69,'[20]NPT - TTKD BẾN TRE'!$C$15:$D$43,2,0)</f>
        <v>#N/A</v>
      </c>
    </row>
    <row r="70" spans="1:23" s="9" customFormat="1" ht="26.25" customHeight="1">
      <c r="A70" s="8">
        <f t="shared" si="3"/>
        <v>62</v>
      </c>
      <c r="B70" s="62" t="s">
        <v>220</v>
      </c>
      <c r="C70" s="63" t="s">
        <v>221</v>
      </c>
      <c r="D70" s="22" t="e">
        <f>VLOOKUP(B70,'DSOAT-T1.2025'!B39:D117,3,0)</f>
        <v>#N/A</v>
      </c>
      <c r="E70" s="490" t="e">
        <f>VLOOKUP(B70,'DSOAT-T1.2025'!B67:AJ149,47,0)</f>
        <v>#N/A</v>
      </c>
      <c r="F70" s="490" t="e">
        <f>VLOOKUP(B70,'DSOAT-T1.2025'!B67:AQ149,54,0)</f>
        <v>#N/A</v>
      </c>
      <c r="G70" s="491">
        <v>11000000</v>
      </c>
      <c r="H70" s="491"/>
      <c r="I70" s="491">
        <f t="shared" si="0"/>
        <v>0</v>
      </c>
      <c r="J70" s="491" t="e">
        <f t="shared" si="1"/>
        <v>#N/A</v>
      </c>
      <c r="K70" s="492" t="e">
        <f t="shared" si="2"/>
        <v>#N/A</v>
      </c>
      <c r="L70" s="493" t="e">
        <f>VLOOKUP(B70,'[18]DSOAT-T3.2022'!$B$10:$AW$77,48,0)</f>
        <v>#N/A</v>
      </c>
      <c r="M70" s="493"/>
      <c r="N70" s="9" t="e">
        <f>VLOOKUP($C70,'[19]KD Bến Tre - T72021'!$C$3:$C$73,1,0)</f>
        <v>#N/A</v>
      </c>
      <c r="W70" s="9" t="e">
        <f>VLOOKUP(C70,'[20]NPT - TTKD BẾN TRE'!$C$15:$D$43,2,0)</f>
        <v>#N/A</v>
      </c>
    </row>
    <row r="71" spans="1:23" s="9" customFormat="1" ht="26.25" customHeight="1">
      <c r="A71" s="8">
        <f t="shared" si="3"/>
        <v>63</v>
      </c>
      <c r="B71" s="62" t="s">
        <v>141</v>
      </c>
      <c r="C71" s="63" t="s">
        <v>187</v>
      </c>
      <c r="D71" s="22">
        <f>VLOOKUP(B71,'DSOAT-T1.2025'!B40:D118,3,0)</f>
        <v>4718700</v>
      </c>
      <c r="E71" s="490" t="e">
        <f>VLOOKUP(B71,'DSOAT-T1.2025'!B67:AJ150,47,0)</f>
        <v>#REF!</v>
      </c>
      <c r="F71" s="490" t="e">
        <f>VLOOKUP(B71,'DSOAT-T1.2025'!B67:AQ150,54,0)</f>
        <v>#REF!</v>
      </c>
      <c r="G71" s="491">
        <v>11000000</v>
      </c>
      <c r="H71" s="491"/>
      <c r="I71" s="491">
        <f t="shared" si="0"/>
        <v>0</v>
      </c>
      <c r="J71" s="491" t="e">
        <f t="shared" si="1"/>
        <v>#REF!</v>
      </c>
      <c r="K71" s="492" t="e">
        <f t="shared" si="2"/>
        <v>#REF!</v>
      </c>
      <c r="L71" s="493" t="e">
        <f>VLOOKUP(B71,'[18]DSOAT-T3.2022'!$B$10:$AW$77,48,0)</f>
        <v>#N/A</v>
      </c>
      <c r="M71" s="493"/>
      <c r="N71" s="9" t="e">
        <f>VLOOKUP($C71,'[19]KD Bến Tre - T72021'!$C$3:$C$73,1,0)</f>
        <v>#N/A</v>
      </c>
      <c r="W71" s="9" t="e">
        <f>VLOOKUP(C71,'[20]NPT - TTKD BẾN TRE'!$C$15:$D$43,2,0)</f>
        <v>#N/A</v>
      </c>
    </row>
    <row r="72" spans="1:23" s="9" customFormat="1" ht="26.25" customHeight="1">
      <c r="A72" s="8">
        <f t="shared" si="3"/>
        <v>64</v>
      </c>
      <c r="B72" s="62" t="s">
        <v>263</v>
      </c>
      <c r="C72" s="63" t="s">
        <v>262</v>
      </c>
      <c r="D72" s="22">
        <f>VLOOKUP(B72,'DSOAT-T1.2025'!B41:D119,3,0)</f>
        <v>4718700</v>
      </c>
      <c r="E72" s="490" t="e">
        <f>VLOOKUP(B72,'DSOAT-T1.2025'!B68:AJ151,47,0)</f>
        <v>#REF!</v>
      </c>
      <c r="F72" s="490" t="e">
        <f>VLOOKUP(B72,'DSOAT-T1.2025'!B68:AQ151,54,0)</f>
        <v>#REF!</v>
      </c>
      <c r="G72" s="491">
        <v>11000000</v>
      </c>
      <c r="H72" s="491">
        <v>1</v>
      </c>
      <c r="I72" s="491">
        <f t="shared" ref="I72:I82" si="4">H72*4400000</f>
        <v>4400000</v>
      </c>
      <c r="J72" s="491" t="e">
        <f t="shared" ref="J72:J82" si="5">E72-F72-G72-I72</f>
        <v>#REF!</v>
      </c>
      <c r="K72" s="492" t="e">
        <f t="shared" ref="K72:K82" si="6">IF(J72&lt;0,0,IF(J72&lt;5000000,J72*5%,IF(J72&lt;10000000,J72*10%-250000,IF(J72&lt;18000000,J72*15%-750000,IF(J72&lt;32000000,J72*20%-1650000,IF(J72&lt;52000000,J72*25%-3250000,IF(J72&lt;80000000,J72*30%-5850000,IF(J72&gt;80000000,J72*35%-9850000))))))))</f>
        <v>#REF!</v>
      </c>
      <c r="L72" s="493" t="e">
        <f>VLOOKUP(B72,'[18]DSOAT-T3.2022'!$B$10:$AW$77,48,0)</f>
        <v>#N/A</v>
      </c>
      <c r="M72" s="493"/>
      <c r="N72" s="9" t="e">
        <f>VLOOKUP($C72,'[19]KD Bến Tre - T72021'!$C$3:$C$73,1,0)</f>
        <v>#N/A</v>
      </c>
      <c r="W72" s="9" t="e">
        <f>VLOOKUP(C72,'[20]NPT - TTKD BẾN TRE'!$C$15:$D$43,2,0)</f>
        <v>#N/A</v>
      </c>
    </row>
    <row r="73" spans="1:23" s="9" customFormat="1" ht="26.25" customHeight="1">
      <c r="A73" s="8">
        <f t="shared" ref="A73:A85" si="7">A72+1</f>
        <v>65</v>
      </c>
      <c r="B73" s="62" t="s">
        <v>47</v>
      </c>
      <c r="C73" s="63" t="s">
        <v>48</v>
      </c>
      <c r="D73" s="22">
        <f>VLOOKUP(B73,'DSOAT-T1.2025'!B42:D120,3,0)</f>
        <v>4130200.0000000005</v>
      </c>
      <c r="E73" s="490" t="e">
        <f>VLOOKUP(B73,'DSOAT-T1.2025'!B69:AJ152,47,0)</f>
        <v>#REF!</v>
      </c>
      <c r="F73" s="490" t="e">
        <f>VLOOKUP(B73,'DSOAT-T1.2025'!B69:AQ152,54,0)</f>
        <v>#REF!</v>
      </c>
      <c r="G73" s="491">
        <v>11000000</v>
      </c>
      <c r="H73" s="491"/>
      <c r="I73" s="491">
        <f t="shared" si="4"/>
        <v>0</v>
      </c>
      <c r="J73" s="491" t="e">
        <f t="shared" si="5"/>
        <v>#REF!</v>
      </c>
      <c r="K73" s="492" t="e">
        <f t="shared" si="6"/>
        <v>#REF!</v>
      </c>
      <c r="L73" s="493" t="str">
        <f>VLOOKUP(B73,'[18]DSOAT-T3.2022'!$B$10:$AW$77,48,0)</f>
        <v>P03</v>
      </c>
      <c r="M73" s="493"/>
      <c r="N73" s="9" t="str">
        <f>VLOOKUP($C73,'[19]KD Bến Tre - T72021'!$C$3:$C$73,1,0)</f>
        <v>Lê Thị Kim Loan</v>
      </c>
      <c r="W73" s="9">
        <f>VLOOKUP(C73,'[20]NPT - TTKD BẾN TRE'!$C$15:$D$43,2,0)</f>
        <v>1</v>
      </c>
    </row>
    <row r="74" spans="1:23" s="9" customFormat="1" ht="26.25" customHeight="1">
      <c r="A74" s="8">
        <f t="shared" si="7"/>
        <v>66</v>
      </c>
      <c r="B74" s="62" t="s">
        <v>271</v>
      </c>
      <c r="C74" s="63" t="s">
        <v>269</v>
      </c>
      <c r="D74" s="22">
        <f>VLOOKUP(B74,'DSOAT-T1.2025'!B43:D121,3,0)</f>
        <v>3691500</v>
      </c>
      <c r="E74" s="490" t="e">
        <f>VLOOKUP(B74,'DSOAT-T1.2025'!B70:AJ153,47,0)</f>
        <v>#REF!</v>
      </c>
      <c r="F74" s="490" t="e">
        <f>VLOOKUP(B74,'DSOAT-T1.2025'!B70:AQ153,54,0)</f>
        <v>#REF!</v>
      </c>
      <c r="G74" s="491">
        <v>11000000</v>
      </c>
      <c r="H74" s="491"/>
      <c r="I74" s="491">
        <f t="shared" si="4"/>
        <v>0</v>
      </c>
      <c r="J74" s="491" t="e">
        <f t="shared" si="5"/>
        <v>#REF!</v>
      </c>
      <c r="K74" s="492" t="e">
        <f t="shared" si="6"/>
        <v>#REF!</v>
      </c>
      <c r="L74" s="493"/>
      <c r="M74" s="493"/>
    </row>
    <row r="75" spans="1:23" s="9" customFormat="1" ht="26.25" customHeight="1">
      <c r="A75" s="8">
        <f t="shared" si="7"/>
        <v>67</v>
      </c>
      <c r="B75" s="62" t="s">
        <v>272</v>
      </c>
      <c r="C75" s="63" t="s">
        <v>273</v>
      </c>
      <c r="D75" s="22">
        <f>VLOOKUP(B75,'DSOAT-T1.2025'!B44:D122,3,0)</f>
        <v>4718700</v>
      </c>
      <c r="E75" s="490" t="e">
        <f>VLOOKUP(B75,'DSOAT-T1.2025'!B71:AJ154,47,0)</f>
        <v>#REF!</v>
      </c>
      <c r="F75" s="490" t="e">
        <f>VLOOKUP(B75,'DSOAT-T1.2025'!B71:AQ154,54,0)</f>
        <v>#REF!</v>
      </c>
      <c r="G75" s="491">
        <v>11000000</v>
      </c>
      <c r="H75" s="491"/>
      <c r="I75" s="491">
        <f t="shared" si="4"/>
        <v>0</v>
      </c>
      <c r="J75" s="491" t="e">
        <f t="shared" si="5"/>
        <v>#REF!</v>
      </c>
      <c r="K75" s="492" t="e">
        <f t="shared" si="6"/>
        <v>#REF!</v>
      </c>
      <c r="L75" s="493"/>
      <c r="M75" s="493"/>
    </row>
    <row r="76" spans="1:23" s="9" customFormat="1" ht="26.25" customHeight="1">
      <c r="A76" s="8">
        <f t="shared" si="7"/>
        <v>68</v>
      </c>
      <c r="B76" s="62" t="s">
        <v>283</v>
      </c>
      <c r="C76" s="63" t="s">
        <v>281</v>
      </c>
      <c r="D76" s="22">
        <f>VLOOKUP(B76,'DSOAT-T1.2025'!B46:D124,3,0)</f>
        <v>4130200.0000000005</v>
      </c>
      <c r="E76" s="490" t="e">
        <f>VLOOKUP(B76,'DSOAT-T1.2025'!B72:AJ155,47,0)</f>
        <v>#REF!</v>
      </c>
      <c r="F76" s="490" t="e">
        <f>VLOOKUP(B76,'DSOAT-T1.2025'!B72:AQ155,54,0)</f>
        <v>#REF!</v>
      </c>
      <c r="G76" s="491">
        <v>11000000</v>
      </c>
      <c r="H76" s="491"/>
      <c r="I76" s="491">
        <f t="shared" si="4"/>
        <v>0</v>
      </c>
      <c r="J76" s="491" t="e">
        <f t="shared" si="5"/>
        <v>#REF!</v>
      </c>
      <c r="K76" s="492" t="e">
        <f t="shared" si="6"/>
        <v>#REF!</v>
      </c>
      <c r="L76" s="493"/>
      <c r="M76" s="493"/>
    </row>
    <row r="77" spans="1:23" s="9" customFormat="1" ht="26.25" customHeight="1">
      <c r="A77" s="8">
        <f t="shared" si="7"/>
        <v>69</v>
      </c>
      <c r="B77" s="62" t="s">
        <v>284</v>
      </c>
      <c r="C77" s="63" t="s">
        <v>282</v>
      </c>
      <c r="D77" s="22">
        <f>VLOOKUP(B77,'DSOAT-T1.2025'!B47:D125,3,0)</f>
        <v>3691500</v>
      </c>
      <c r="E77" s="490" t="e">
        <f>VLOOKUP(B77,'DSOAT-T1.2025'!B73:AJ156,47,0)</f>
        <v>#REF!</v>
      </c>
      <c r="F77" s="490" t="e">
        <f>VLOOKUP(B77,'DSOAT-T1.2025'!B73:AQ156,54,0)</f>
        <v>#REF!</v>
      </c>
      <c r="G77" s="491">
        <v>11000000</v>
      </c>
      <c r="H77" s="491"/>
      <c r="I77" s="491">
        <f t="shared" si="4"/>
        <v>0</v>
      </c>
      <c r="J77" s="491" t="e">
        <f t="shared" si="5"/>
        <v>#REF!</v>
      </c>
      <c r="K77" s="492" t="e">
        <f t="shared" si="6"/>
        <v>#REF!</v>
      </c>
      <c r="L77" s="493"/>
      <c r="M77" s="493"/>
    </row>
    <row r="78" spans="1:23" s="9" customFormat="1" ht="26.25" customHeight="1">
      <c r="A78" s="8">
        <f t="shared" si="7"/>
        <v>70</v>
      </c>
      <c r="B78" s="94" t="s">
        <v>287</v>
      </c>
      <c r="C78" s="95" t="s">
        <v>288</v>
      </c>
      <c r="D78" s="22">
        <f>VLOOKUP(B78,'DSOAT-T1.2025'!B48:D126,3,0)</f>
        <v>3691500</v>
      </c>
      <c r="E78" s="490" t="e">
        <f>VLOOKUP(B78,'DSOAT-T1.2025'!B74:AJ157,47,0)</f>
        <v>#REF!</v>
      </c>
      <c r="F78" s="490" t="e">
        <f>VLOOKUP(B78,'DSOAT-T1.2025'!B74:AQ157,54,0)</f>
        <v>#REF!</v>
      </c>
      <c r="G78" s="491">
        <v>11000000</v>
      </c>
      <c r="H78" s="491"/>
      <c r="I78" s="491">
        <f t="shared" si="4"/>
        <v>0</v>
      </c>
      <c r="J78" s="491" t="e">
        <f t="shared" si="5"/>
        <v>#REF!</v>
      </c>
      <c r="K78" s="492" t="e">
        <f t="shared" si="6"/>
        <v>#REF!</v>
      </c>
      <c r="L78" s="493" t="e">
        <f>VLOOKUP(B78,'[18]DSOAT-T3.2022'!$B$10:$AW$77,48,0)</f>
        <v>#N/A</v>
      </c>
      <c r="M78" s="493"/>
      <c r="N78" s="9" t="e">
        <f>VLOOKUP($C78,'[19]KD Bến Tre - T72021'!$C$3:$C$73,1,0)</f>
        <v>#N/A</v>
      </c>
      <c r="W78" s="9" t="e">
        <f>VLOOKUP(C78,'[20]NPT - TTKD BẾN TRE'!$C$15:$D$43,2,0)</f>
        <v>#N/A</v>
      </c>
    </row>
    <row r="79" spans="1:23" s="9" customFormat="1" ht="26.25" customHeight="1">
      <c r="A79" s="8">
        <f t="shared" si="7"/>
        <v>71</v>
      </c>
      <c r="B79" s="62" t="s">
        <v>290</v>
      </c>
      <c r="C79" s="63" t="s">
        <v>289</v>
      </c>
      <c r="D79" s="22">
        <f>VLOOKUP(B79,'DSOAT-T1.2025'!B49:D127,3,0)</f>
        <v>3691500</v>
      </c>
      <c r="E79" s="490" t="e">
        <f>VLOOKUP(B79,'DSOAT-T1.2025'!B75:AJ158,47,0)</f>
        <v>#REF!</v>
      </c>
      <c r="F79" s="490" t="e">
        <f>VLOOKUP(B79,'DSOAT-T1.2025'!B75:AQ158,54,0)</f>
        <v>#REF!</v>
      </c>
      <c r="G79" s="491">
        <v>11000000</v>
      </c>
      <c r="H79" s="491"/>
      <c r="I79" s="491">
        <f t="shared" si="4"/>
        <v>0</v>
      </c>
      <c r="J79" s="491" t="e">
        <f t="shared" si="5"/>
        <v>#REF!</v>
      </c>
      <c r="K79" s="492" t="e">
        <f t="shared" si="6"/>
        <v>#REF!</v>
      </c>
      <c r="L79" s="493"/>
      <c r="M79" s="493"/>
      <c r="W79" s="9" t="e">
        <f>VLOOKUP(C79,'[20]NPT - TTKD BẾN TRE'!$C$15:$D$43,2,0)</f>
        <v>#N/A</v>
      </c>
    </row>
    <row r="80" spans="1:23" s="9" customFormat="1" ht="26.25" customHeight="1">
      <c r="A80" s="8">
        <f t="shared" si="7"/>
        <v>72</v>
      </c>
      <c r="B80" s="62" t="s">
        <v>294</v>
      </c>
      <c r="C80" s="63" t="s">
        <v>295</v>
      </c>
      <c r="D80" s="22">
        <f>VLOOKUP(B80,'DSOAT-T1.2025'!B50:D128,3,0)</f>
        <v>4718700</v>
      </c>
      <c r="E80" s="490" t="e">
        <f>VLOOKUP(B80,'DSOAT-T1.2025'!B76:AJ159,47,0)</f>
        <v>#REF!</v>
      </c>
      <c r="F80" s="490" t="e">
        <f>VLOOKUP(B80,'DSOAT-T1.2025'!B76:AQ159,54,0)</f>
        <v>#REF!</v>
      </c>
      <c r="G80" s="491">
        <v>11000000</v>
      </c>
      <c r="H80" s="491"/>
      <c r="I80" s="491">
        <f t="shared" si="4"/>
        <v>0</v>
      </c>
      <c r="J80" s="491" t="e">
        <f t="shared" si="5"/>
        <v>#REF!</v>
      </c>
      <c r="K80" s="492" t="e">
        <f t="shared" si="6"/>
        <v>#REF!</v>
      </c>
      <c r="L80" s="493"/>
      <c r="M80" s="493"/>
      <c r="W80" s="9" t="e">
        <f>VLOOKUP(C80,'[20]NPT - TTKD BẾN TRE'!$C$15:$D$43,2,0)</f>
        <v>#N/A</v>
      </c>
    </row>
    <row r="81" spans="1:14" s="9" customFormat="1" ht="26.25" customHeight="1">
      <c r="A81" s="8">
        <f t="shared" si="7"/>
        <v>73</v>
      </c>
      <c r="B81" s="62" t="s">
        <v>434</v>
      </c>
      <c r="C81" s="63" t="s">
        <v>435</v>
      </c>
      <c r="D81" s="22">
        <f>VLOOKUP(B81,'DSOAT-T1.2025'!B51:D129,3,0)</f>
        <v>4718700</v>
      </c>
      <c r="E81" s="490" t="e">
        <f>VLOOKUP(B81,'DSOAT-T1.2025'!B77:AJ160,47,0)</f>
        <v>#REF!</v>
      </c>
      <c r="F81" s="490" t="e">
        <f>VLOOKUP(B81,'DSOAT-T1.2025'!B77:AQ160,54,0)</f>
        <v>#REF!</v>
      </c>
      <c r="G81" s="491">
        <v>11000000</v>
      </c>
      <c r="H81" s="491"/>
      <c r="I81" s="491">
        <f t="shared" si="4"/>
        <v>0</v>
      </c>
      <c r="J81" s="491" t="e">
        <f t="shared" si="5"/>
        <v>#REF!</v>
      </c>
      <c r="K81" s="492" t="e">
        <f t="shared" si="6"/>
        <v>#REF!</v>
      </c>
      <c r="L81" s="493"/>
      <c r="M81" s="493"/>
    </row>
    <row r="82" spans="1:14" s="9" customFormat="1" ht="26.25" customHeight="1">
      <c r="A82" s="8">
        <f t="shared" si="7"/>
        <v>74</v>
      </c>
      <c r="B82" s="62" t="s">
        <v>901</v>
      </c>
      <c r="C82" s="63" t="s">
        <v>644</v>
      </c>
      <c r="D82" s="22">
        <f>VLOOKUP(B82,'DSOAT-T1.2025'!B52:D130,3,0)</f>
        <v>4130200.0000000005</v>
      </c>
      <c r="E82" s="490" t="e">
        <f>VLOOKUP(B82,'DSOAT-T1.2025'!B78:AJ161,47,0)</f>
        <v>#REF!</v>
      </c>
      <c r="F82" s="490" t="e">
        <f>VLOOKUP(B82,'DSOAT-T1.2025'!B78:AQ161,54,0)</f>
        <v>#REF!</v>
      </c>
      <c r="G82" s="491">
        <v>11000000</v>
      </c>
      <c r="H82" s="491">
        <v>1</v>
      </c>
      <c r="I82" s="491">
        <f t="shared" si="4"/>
        <v>4400000</v>
      </c>
      <c r="J82" s="491" t="e">
        <f t="shared" si="5"/>
        <v>#REF!</v>
      </c>
      <c r="K82" s="492" t="e">
        <f t="shared" si="6"/>
        <v>#REF!</v>
      </c>
      <c r="L82" s="493"/>
      <c r="M82" s="493"/>
    </row>
    <row r="83" spans="1:14" s="9" customFormat="1" ht="26.25" customHeight="1">
      <c r="A83" s="8">
        <f t="shared" si="7"/>
        <v>75</v>
      </c>
      <c r="B83" s="62" t="s">
        <v>1310</v>
      </c>
      <c r="C83" s="63" t="s">
        <v>1313</v>
      </c>
      <c r="D83" s="22">
        <f>VLOOKUP(B83,'DSOAT-T1.2025'!B53:D131,3,0)</f>
        <v>4718700</v>
      </c>
      <c r="E83" s="490" t="e">
        <f>VLOOKUP(B83,'DSOAT-T1.2025'!B79:AJ162,47,0)</f>
        <v>#REF!</v>
      </c>
      <c r="F83" s="490" t="e">
        <f>VLOOKUP(B83,'DSOAT-T1.2025'!B79:AQ162,54,0)</f>
        <v>#REF!</v>
      </c>
      <c r="G83" s="491">
        <v>11000000</v>
      </c>
      <c r="H83" s="491"/>
      <c r="I83" s="491">
        <f t="shared" ref="I83:I85" si="8">H83*4400000</f>
        <v>0</v>
      </c>
      <c r="J83" s="491" t="e">
        <f t="shared" ref="J83:J85" si="9">E83-F83-G83-I83</f>
        <v>#REF!</v>
      </c>
      <c r="K83" s="492" t="e">
        <f t="shared" ref="K83:K85" si="10">IF(J83&lt;0,0,IF(J83&lt;5000000,J83*5%,IF(J83&lt;10000000,J83*10%-250000,IF(J83&lt;18000000,J83*15%-750000,IF(J83&lt;32000000,J83*20%-1650000,IF(J83&lt;52000000,J83*25%-3250000,IF(J83&lt;80000000,J83*30%-5850000,IF(J83&gt;80000000,J83*35%-9850000))))))))</f>
        <v>#REF!</v>
      </c>
      <c r="L83" s="493"/>
      <c r="M83" s="493"/>
    </row>
    <row r="84" spans="1:14" s="9" customFormat="1" ht="26.25" customHeight="1">
      <c r="A84" s="8">
        <f t="shared" si="7"/>
        <v>76</v>
      </c>
      <c r="B84" s="62" t="s">
        <v>1312</v>
      </c>
      <c r="C84" s="63" t="s">
        <v>1314</v>
      </c>
      <c r="D84" s="22">
        <f>VLOOKUP(B84,'DSOAT-T1.2025'!B54:D132,3,0)</f>
        <v>3691500</v>
      </c>
      <c r="E84" s="490" t="e">
        <f>VLOOKUP(B84,'DSOAT-T1.2025'!B80:AJ163,47,0)</f>
        <v>#REF!</v>
      </c>
      <c r="F84" s="490" t="e">
        <f>VLOOKUP(B84,'DSOAT-T1.2025'!B80:AQ163,54,0)</f>
        <v>#REF!</v>
      </c>
      <c r="G84" s="491">
        <v>11000000</v>
      </c>
      <c r="H84" s="491"/>
      <c r="I84" s="491">
        <f t="shared" si="8"/>
        <v>0</v>
      </c>
      <c r="J84" s="491" t="e">
        <f t="shared" si="9"/>
        <v>#REF!</v>
      </c>
      <c r="K84" s="492" t="e">
        <f t="shared" si="10"/>
        <v>#REF!</v>
      </c>
      <c r="L84" s="493"/>
      <c r="M84" s="493"/>
    </row>
    <row r="85" spans="1:14" s="9" customFormat="1" ht="26.25" customHeight="1">
      <c r="A85" s="8">
        <f t="shared" si="7"/>
        <v>77</v>
      </c>
      <c r="B85" s="62" t="s">
        <v>1311</v>
      </c>
      <c r="C85" s="831" t="s">
        <v>1316</v>
      </c>
      <c r="D85" s="22">
        <f>VLOOKUP(B85,'DSOAT-T1.2025'!B55:D133,3,0)</f>
        <v>4718700</v>
      </c>
      <c r="E85" s="490" t="e">
        <f>VLOOKUP(B85,'DSOAT-T1.2025'!B81:AJ164,47,0)</f>
        <v>#REF!</v>
      </c>
      <c r="F85" s="490" t="e">
        <f>VLOOKUP(B85,'DSOAT-T1.2025'!B81:AQ164,54,0)</f>
        <v>#REF!</v>
      </c>
      <c r="G85" s="491">
        <v>11000000</v>
      </c>
      <c r="H85" s="491"/>
      <c r="I85" s="491">
        <f t="shared" si="8"/>
        <v>0</v>
      </c>
      <c r="J85" s="491" t="e">
        <f t="shared" si="9"/>
        <v>#REF!</v>
      </c>
      <c r="K85" s="492" t="e">
        <f t="shared" si="10"/>
        <v>#REF!</v>
      </c>
      <c r="L85" s="493"/>
      <c r="M85" s="493"/>
    </row>
    <row r="86" spans="1:14" s="1" customFormat="1" ht="27.75" customHeight="1">
      <c r="A86" s="1519" t="s">
        <v>110</v>
      </c>
      <c r="B86" s="1520"/>
      <c r="C86" s="1520"/>
      <c r="D86" s="502" t="e">
        <f>SUM(D9:D85)</f>
        <v>#N/A</v>
      </c>
      <c r="E86" s="502" t="e">
        <f t="shared" ref="E86:K86" si="11">SUM(E9:E85)</f>
        <v>#REF!</v>
      </c>
      <c r="F86" s="502" t="e">
        <f t="shared" si="11"/>
        <v>#REF!</v>
      </c>
      <c r="G86" s="502">
        <f>SUM(G9:G85)</f>
        <v>847000000</v>
      </c>
      <c r="H86" s="502">
        <f t="shared" si="11"/>
        <v>6</v>
      </c>
      <c r="I86" s="502">
        <f>SUM(I9:I85)</f>
        <v>26400000</v>
      </c>
      <c r="J86" s="502" t="e">
        <f t="shared" si="11"/>
        <v>#REF!</v>
      </c>
      <c r="K86" s="502" t="e">
        <f t="shared" si="11"/>
        <v>#REF!</v>
      </c>
      <c r="L86" s="503"/>
      <c r="M86" s="503"/>
    </row>
    <row r="87" spans="1:14">
      <c r="D87" s="504">
        <f>'DSOAT-T1.2025'!D89</f>
        <v>327933600</v>
      </c>
      <c r="E87" s="504" t="e">
        <f>E86-'DSOAT-T1.2025'!AJ89</f>
        <v>#REF!</v>
      </c>
      <c r="F87" s="11"/>
    </row>
    <row r="88" spans="1:14" ht="15.75">
      <c r="B88" s="1521" t="s">
        <v>192</v>
      </c>
      <c r="C88" s="1521"/>
      <c r="D88" s="1521"/>
      <c r="E88" s="1521"/>
      <c r="F88" s="505"/>
      <c r="G88" s="506" t="s">
        <v>928</v>
      </c>
      <c r="H88" s="506"/>
      <c r="I88" s="506"/>
      <c r="J88" s="506"/>
      <c r="K88" s="506"/>
      <c r="L88" s="506"/>
      <c r="M88" s="506"/>
      <c r="N88" s="506"/>
    </row>
    <row r="89" spans="1:14" ht="15.75">
      <c r="B89" s="507"/>
      <c r="C89" s="505"/>
      <c r="D89" s="508"/>
      <c r="E89" s="508"/>
      <c r="F89" s="505"/>
      <c r="G89" s="1522" t="s">
        <v>929</v>
      </c>
      <c r="H89" s="1522"/>
      <c r="I89" s="1522"/>
      <c r="J89" s="1522"/>
      <c r="K89" s="1522"/>
      <c r="L89" s="509"/>
      <c r="M89" s="509"/>
      <c r="N89" s="505"/>
    </row>
    <row r="91" spans="1:14" s="12" customFormat="1">
      <c r="A91" s="511"/>
      <c r="B91" s="511"/>
      <c r="D91" s="512"/>
      <c r="E91" s="13"/>
    </row>
    <row r="92" spans="1:14" s="12" customFormat="1">
      <c r="A92" s="511"/>
      <c r="B92" s="511"/>
      <c r="D92" s="512"/>
      <c r="E92" s="13"/>
    </row>
    <row r="93" spans="1:14" s="12" customFormat="1">
      <c r="A93" s="511"/>
      <c r="B93" s="511"/>
      <c r="D93" s="512"/>
      <c r="E93" s="13"/>
    </row>
    <row r="94" spans="1:14" s="12" customFormat="1">
      <c r="A94" s="511"/>
      <c r="B94" s="511"/>
      <c r="D94" s="512"/>
      <c r="E94" s="13"/>
    </row>
    <row r="95" spans="1:14" s="12" customFormat="1">
      <c r="A95" s="511"/>
      <c r="B95" s="511"/>
      <c r="D95" s="512"/>
      <c r="E95" s="13"/>
    </row>
    <row r="96" spans="1:14" s="12" customFormat="1">
      <c r="A96" s="511"/>
      <c r="B96" s="511"/>
      <c r="D96" s="512"/>
      <c r="E96" s="13"/>
    </row>
    <row r="97" spans="1:5" s="12" customFormat="1">
      <c r="A97" s="511"/>
      <c r="B97" s="511"/>
      <c r="D97" s="512"/>
      <c r="E97" s="13"/>
    </row>
    <row r="98" spans="1:5" s="12" customFormat="1">
      <c r="A98" s="511"/>
      <c r="B98" s="511"/>
      <c r="D98" s="512"/>
      <c r="E98" s="13"/>
    </row>
    <row r="108" spans="1:5" s="12" customFormat="1">
      <c r="A108" s="511"/>
      <c r="B108" s="511"/>
      <c r="D108" s="512"/>
      <c r="E108" s="13"/>
    </row>
  </sheetData>
  <mergeCells count="13">
    <mergeCell ref="A86:C86"/>
    <mergeCell ref="B88:E88"/>
    <mergeCell ref="G89:K89"/>
    <mergeCell ref="A2:D2"/>
    <mergeCell ref="A3:K3"/>
    <mergeCell ref="A4:K4"/>
    <mergeCell ref="A6:A7"/>
    <mergeCell ref="B6:B7"/>
    <mergeCell ref="C6:C7"/>
    <mergeCell ref="D6:E6"/>
    <mergeCell ref="G6:G7"/>
    <mergeCell ref="H6:I6"/>
    <mergeCell ref="J6:K6"/>
  </mergeCells>
  <conditionalFormatting sqref="B83">
    <cfRule type="duplicateValues" dxfId="40" priority="9"/>
  </conditionalFormatting>
  <conditionalFormatting sqref="B84:B85">
    <cfRule type="duplicateValues" dxfId="39" priority="1"/>
  </conditionalFormatting>
  <conditionalFormatting sqref="B86:B87 B110:B65536 B1:B2 B8 B5 B89:B104">
    <cfRule type="duplicateValues" dxfId="38" priority="40"/>
  </conditionalFormatting>
  <conditionalFormatting sqref="B105">
    <cfRule type="duplicateValues" dxfId="37" priority="39"/>
  </conditionalFormatting>
  <conditionalFormatting sqref="B108">
    <cfRule type="duplicateValues" dxfId="36" priority="37"/>
  </conditionalFormatting>
  <conditionalFormatting sqref="B109 B106:B107">
    <cfRule type="duplicateValues" dxfId="35" priority="38"/>
  </conditionalFormatting>
  <conditionalFormatting sqref="C1:C83 C86:C1048576">
    <cfRule type="duplicateValues" dxfId="34" priority="8"/>
  </conditionalFormatting>
  <conditionalFormatting sqref="C9:C81">
    <cfRule type="duplicateValues" dxfId="33" priority="79" stopIfTrue="1"/>
  </conditionalFormatting>
  <conditionalFormatting sqref="C49">
    <cfRule type="duplicateValues" dxfId="32" priority="17" stopIfTrue="1"/>
  </conditionalFormatting>
  <conditionalFormatting sqref="C50:C81 C9:C48">
    <cfRule type="duplicateValues" dxfId="31" priority="76" stopIfTrue="1"/>
  </conditionalFormatting>
  <conditionalFormatting sqref="C82">
    <cfRule type="duplicateValues" dxfId="30" priority="86" stopIfTrue="1"/>
    <cfRule type="duplicateValues" dxfId="29" priority="87" stopIfTrue="1"/>
  </conditionalFormatting>
  <conditionalFormatting sqref="C83">
    <cfRule type="duplicateValues" dxfId="28" priority="10" stopIfTrue="1"/>
    <cfRule type="duplicateValues" dxfId="27" priority="11" stopIfTrue="1"/>
  </conditionalFormatting>
  <conditionalFormatting sqref="C84:C85">
    <cfRule type="duplicateValues" dxfId="26" priority="2" stopIfTrue="1"/>
    <cfRule type="duplicateValues" dxfId="25" priority="3" stopIfTrue="1"/>
  </conditionalFormatting>
  <conditionalFormatting sqref="C86:C65536 C1:C8">
    <cfRule type="duplicateValues" dxfId="24" priority="41"/>
  </conditionalFormatting>
  <conditionalFormatting sqref="C86:C65536">
    <cfRule type="duplicateValues" dxfId="23" priority="42"/>
  </conditionalFormatting>
  <conditionalFormatting sqref="P8:P28">
    <cfRule type="duplicateValues" dxfId="22" priority="30"/>
  </conditionalFormatting>
  <conditionalFormatting sqref="P29:P33">
    <cfRule type="duplicateValues" dxfId="21" priority="19"/>
  </conditionalFormatting>
  <conditionalFormatting sqref="Q21">
    <cfRule type="duplicateValues" dxfId="20" priority="28"/>
    <cfRule type="duplicateValues" dxfId="19" priority="29"/>
  </conditionalFormatting>
  <conditionalFormatting sqref="Q23:Q25">
    <cfRule type="duplicateValues" dxfId="18" priority="26"/>
    <cfRule type="duplicateValues" dxfId="17" priority="27"/>
  </conditionalFormatting>
  <conditionalFormatting sqref="Q26">
    <cfRule type="duplicateValues" dxfId="16" priority="22"/>
    <cfRule type="duplicateValues" dxfId="15" priority="23"/>
  </conditionalFormatting>
  <conditionalFormatting sqref="Q27:Q28">
    <cfRule type="duplicateValues" dxfId="14" priority="24"/>
    <cfRule type="duplicateValues" dxfId="13" priority="25"/>
  </conditionalFormatting>
  <conditionalFormatting sqref="Q29:Q33">
    <cfRule type="duplicateValues" dxfId="12" priority="20"/>
    <cfRule type="duplicateValues" dxfId="11" priority="21"/>
  </conditionalFormatting>
  <conditionalFormatting sqref="Q34">
    <cfRule type="duplicateValues" dxfId="10" priority="33"/>
    <cfRule type="duplicateValues" dxfId="9" priority="34"/>
  </conditionalFormatting>
  <conditionalFormatting sqref="Q34:Q41">
    <cfRule type="duplicateValues" dxfId="8" priority="35"/>
    <cfRule type="duplicateValues" dxfId="7" priority="36"/>
  </conditionalFormatting>
  <conditionalFormatting sqref="Q35:Q41">
    <cfRule type="duplicateValues" dxfId="6" priority="31"/>
    <cfRule type="duplicateValues" dxfId="5" priority="32"/>
  </conditionalFormatting>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3"/>
  <sheetViews>
    <sheetView topLeftCell="A19" workbookViewId="0">
      <selection activeCell="G35" sqref="G35"/>
    </sheetView>
  </sheetViews>
  <sheetFormatPr defaultColWidth="9.140625" defaultRowHeight="15"/>
  <cols>
    <col min="1" max="1" width="9.140625" style="20"/>
    <col min="2" max="2" width="8.5703125" style="20" customWidth="1"/>
    <col min="3" max="3" width="8" style="20" customWidth="1"/>
    <col min="4" max="4" width="12.42578125" style="20" customWidth="1"/>
    <col min="5" max="5" width="10.85546875" style="20" customWidth="1"/>
    <col min="6" max="6" width="12.28515625" style="20" customWidth="1"/>
    <col min="7" max="7" width="9.140625" style="20"/>
    <col min="8" max="8" width="10.85546875" style="20" customWidth="1"/>
    <col min="9" max="9" width="10.28515625" style="20" customWidth="1"/>
    <col min="10" max="10" width="17.140625" style="20" customWidth="1"/>
    <col min="11" max="11" width="21.7109375" style="20" customWidth="1"/>
    <col min="12" max="16384" width="9.140625" style="20"/>
  </cols>
  <sheetData>
    <row r="2" spans="1:11" ht="16.5">
      <c r="A2" s="1531"/>
      <c r="B2" s="1532" t="s">
        <v>931</v>
      </c>
      <c r="C2" s="1532"/>
      <c r="D2" s="1532"/>
      <c r="E2" s="1532"/>
      <c r="F2" s="1533" t="s">
        <v>932</v>
      </c>
      <c r="G2" s="1533"/>
      <c r="H2" s="1533"/>
      <c r="I2" s="1533"/>
      <c r="J2" s="1533"/>
    </row>
    <row r="3" spans="1:11" ht="16.5">
      <c r="A3" s="1531"/>
      <c r="B3" s="1532" t="s">
        <v>933</v>
      </c>
      <c r="C3" s="1532"/>
      <c r="D3" s="1532"/>
      <c r="E3" s="1532"/>
      <c r="F3" s="1534" t="s">
        <v>934</v>
      </c>
      <c r="G3" s="1534"/>
      <c r="H3" s="1534"/>
      <c r="I3" s="1534"/>
      <c r="J3" s="1534"/>
      <c r="K3" s="513"/>
    </row>
    <row r="4" spans="1:11" ht="16.5">
      <c r="A4" s="1531"/>
      <c r="B4" s="1535" t="s">
        <v>935</v>
      </c>
      <c r="C4" s="1535"/>
      <c r="D4" s="1535"/>
      <c r="E4" s="1535"/>
      <c r="F4" s="1536" t="s">
        <v>1319</v>
      </c>
      <c r="G4" s="1536"/>
      <c r="H4" s="1536"/>
      <c r="I4" s="1536"/>
      <c r="J4" s="1536"/>
      <c r="K4" s="515"/>
    </row>
    <row r="5" spans="1:11" ht="24" customHeight="1">
      <c r="A5" s="516"/>
      <c r="B5" s="1538" t="s">
        <v>1320</v>
      </c>
      <c r="C5" s="1538"/>
      <c r="D5" s="1538"/>
      <c r="E5" s="1538"/>
      <c r="F5" s="514"/>
      <c r="G5" s="514"/>
      <c r="H5" s="514"/>
      <c r="I5" s="514"/>
      <c r="J5" s="514"/>
      <c r="K5" s="517"/>
    </row>
    <row r="6" spans="1:11" ht="30.6" customHeight="1">
      <c r="A6" s="516"/>
      <c r="B6" s="1538" t="s">
        <v>1321</v>
      </c>
      <c r="C6" s="1538"/>
      <c r="D6" s="1538"/>
      <c r="E6" s="1538"/>
    </row>
    <row r="7" spans="1:11" ht="20.25">
      <c r="A7" s="1539" t="s">
        <v>936</v>
      </c>
      <c r="B7" s="1539"/>
      <c r="C7" s="1539"/>
      <c r="D7" s="1539"/>
      <c r="E7" s="1539"/>
      <c r="F7" s="1539"/>
      <c r="G7" s="1539"/>
      <c r="H7" s="1539"/>
      <c r="I7" s="1539"/>
      <c r="J7" s="1539"/>
      <c r="K7" s="518"/>
    </row>
    <row r="8" spans="1:11" ht="15.75">
      <c r="A8" s="519"/>
    </row>
    <row r="9" spans="1:11" ht="52.15" customHeight="1">
      <c r="A9" s="1540" t="s">
        <v>937</v>
      </c>
      <c r="B9" s="1540"/>
      <c r="C9" s="1540"/>
      <c r="D9" s="1540"/>
      <c r="E9" s="1540"/>
      <c r="F9" s="1540"/>
      <c r="G9" s="1540"/>
      <c r="H9" s="1540"/>
      <c r="I9" s="1540"/>
      <c r="J9" s="1540"/>
      <c r="K9" s="520"/>
    </row>
    <row r="10" spans="1:11" ht="16.5">
      <c r="A10" s="1541" t="s">
        <v>1322</v>
      </c>
      <c r="B10" s="1541"/>
      <c r="C10" s="1541"/>
      <c r="D10" s="1541"/>
      <c r="E10" s="1541"/>
      <c r="F10" s="1541"/>
      <c r="G10" s="1541"/>
      <c r="H10" s="1541"/>
      <c r="I10" s="1541"/>
      <c r="J10" s="1541"/>
      <c r="K10" s="520"/>
    </row>
    <row r="11" spans="1:11" s="263" customFormat="1" ht="61.5" customHeight="1">
      <c r="A11" s="1542" t="s">
        <v>1323</v>
      </c>
      <c r="B11" s="1542"/>
      <c r="C11" s="1542"/>
      <c r="D11" s="1542"/>
      <c r="E11" s="1542"/>
      <c r="F11" s="1542"/>
      <c r="G11" s="1542"/>
      <c r="H11" s="1542"/>
      <c r="I11" s="1542"/>
      <c r="J11" s="1542"/>
      <c r="K11" s="521"/>
    </row>
    <row r="12" spans="1:11" s="263" customFormat="1" ht="100.9" customHeight="1">
      <c r="A12" s="522"/>
      <c r="B12" s="522" t="s">
        <v>938</v>
      </c>
      <c r="C12" s="522" t="s">
        <v>939</v>
      </c>
      <c r="D12" s="522" t="s">
        <v>940</v>
      </c>
      <c r="E12" s="522" t="s">
        <v>941</v>
      </c>
      <c r="F12" s="523" t="s">
        <v>942</v>
      </c>
      <c r="G12" s="522" t="s">
        <v>943</v>
      </c>
      <c r="H12" s="522" t="s">
        <v>944</v>
      </c>
      <c r="I12" s="522" t="s">
        <v>945</v>
      </c>
      <c r="J12" s="522" t="s">
        <v>946</v>
      </c>
      <c r="K12" s="521"/>
    </row>
    <row r="13" spans="1:11" s="263" customFormat="1" ht="16.5">
      <c r="A13" s="524"/>
      <c r="B13" s="525">
        <v>1</v>
      </c>
      <c r="C13" s="526">
        <v>2</v>
      </c>
      <c r="D13" s="526">
        <v>3</v>
      </c>
      <c r="E13" s="526">
        <v>4</v>
      </c>
      <c r="F13" s="526">
        <v>5</v>
      </c>
      <c r="G13" s="526">
        <v>6</v>
      </c>
      <c r="H13" s="526">
        <v>7</v>
      </c>
      <c r="I13" s="526">
        <v>8</v>
      </c>
      <c r="J13" s="526">
        <v>9</v>
      </c>
      <c r="K13" s="521"/>
    </row>
    <row r="14" spans="1:11" s="263" customFormat="1" ht="16.5">
      <c r="A14" s="527" t="s">
        <v>1324</v>
      </c>
      <c r="B14" s="528">
        <v>73</v>
      </c>
      <c r="C14" s="528"/>
      <c r="D14" s="528">
        <f>'DSOAT-T1.2025'!AQ89</f>
        <v>34433053</v>
      </c>
      <c r="E14" s="528">
        <f>'DSOAT-T1.2025'!AK89</f>
        <v>70505749</v>
      </c>
      <c r="F14" s="528" t="e">
        <f>'DSOAT-T1.2025'!F89+'DSOAT-T1.2025'!G89+'DSOAT-T1.2025'!H89+'DSOAT-T1.2025'!I89+'DSOAT-T1.2025'!#REF!+'DSOAT-T1.2025'!#REF!+'DSOAT-T1.2025'!#REF!+'DSOAT-T1.2025'!#REF!+'DSOAT-T1.2025'!#REF!+'DSOAT-T1.2025'!#REF!+'DSOAT-T1.2025'!#REF!+'DSOAT-T1.2025'!#REF!+'DSOAT-T1.2025'!#REF!+'DSOAT-T1.2025'!#REF!+'DSOAT-T1.2025'!#REF!</f>
        <v>#REF!</v>
      </c>
      <c r="G14" s="528">
        <f>'DSOAT-T1.2025'!AL89</f>
        <v>6632502</v>
      </c>
      <c r="H14" s="528">
        <f>'DSOAT-T1.2025'!AM89</f>
        <v>23400000</v>
      </c>
      <c r="I14" s="528">
        <f>'DSOAT-T1.2025'!AS89</f>
        <v>11037236</v>
      </c>
      <c r="J14" s="529" t="e">
        <f>ROUND(SUM(E14:H14),0)</f>
        <v>#REF!</v>
      </c>
      <c r="K14" s="530"/>
    </row>
    <row r="15" spans="1:11" s="534" customFormat="1" ht="16.5">
      <c r="A15" s="527" t="s">
        <v>110</v>
      </c>
      <c r="B15" s="531">
        <f>SUM(B14)</f>
        <v>73</v>
      </c>
      <c r="C15" s="531">
        <f>SUM(C14)</f>
        <v>0</v>
      </c>
      <c r="D15" s="531">
        <f t="shared" ref="D15:I15" si="0">SUM(D14)</f>
        <v>34433053</v>
      </c>
      <c r="E15" s="531">
        <f t="shared" si="0"/>
        <v>70505749</v>
      </c>
      <c r="F15" s="531" t="e">
        <f t="shared" si="0"/>
        <v>#REF!</v>
      </c>
      <c r="G15" s="531">
        <f t="shared" si="0"/>
        <v>6632502</v>
      </c>
      <c r="H15" s="531">
        <f t="shared" si="0"/>
        <v>23400000</v>
      </c>
      <c r="I15" s="531">
        <f t="shared" si="0"/>
        <v>11037236</v>
      </c>
      <c r="J15" s="532" t="e">
        <f>ROUND(SUM(J14),0)</f>
        <v>#REF!</v>
      </c>
      <c r="K15" s="533"/>
    </row>
    <row r="16" spans="1:11" s="263" customFormat="1" ht="16.5">
      <c r="A16" s="527" t="s">
        <v>947</v>
      </c>
      <c r="B16" s="528"/>
      <c r="C16" s="528"/>
      <c r="D16" s="528"/>
      <c r="E16" s="528"/>
      <c r="F16" s="528"/>
      <c r="G16" s="528"/>
      <c r="H16" s="528"/>
      <c r="I16" s="528"/>
      <c r="J16" s="535" t="e">
        <f>ROUND(J15*8%,0)</f>
        <v>#REF!</v>
      </c>
      <c r="K16" s="521"/>
    </row>
    <row r="17" spans="1:12" s="534" customFormat="1" ht="16.5">
      <c r="A17" s="1543" t="s">
        <v>1325</v>
      </c>
      <c r="B17" s="1544"/>
      <c r="C17" s="1544"/>
      <c r="D17" s="1544"/>
      <c r="E17" s="1544"/>
      <c r="F17" s="1544"/>
      <c r="G17" s="1544"/>
      <c r="H17" s="1544"/>
      <c r="I17" s="1545"/>
      <c r="J17" s="532" t="e">
        <f>J15+J16</f>
        <v>#REF!</v>
      </c>
      <c r="K17" s="536"/>
    </row>
    <row r="18" spans="1:12" ht="17.25">
      <c r="A18" s="1546" t="s">
        <v>948</v>
      </c>
      <c r="B18" s="1546"/>
      <c r="C18" s="1546"/>
      <c r="D18" s="1546"/>
      <c r="E18" s="1546"/>
      <c r="F18" s="1546"/>
      <c r="G18" s="1546"/>
      <c r="H18" s="1546"/>
      <c r="I18" s="1546"/>
      <c r="J18" s="537">
        <f>G14</f>
        <v>6632502</v>
      </c>
      <c r="K18" s="538"/>
    </row>
    <row r="19" spans="1:12" s="263" customFormat="1" ht="16.5">
      <c r="A19" s="1547" t="s">
        <v>949</v>
      </c>
      <c r="B19" s="1548"/>
      <c r="C19" s="1548"/>
      <c r="D19" s="1548"/>
      <c r="E19" s="1548"/>
      <c r="F19" s="1548"/>
      <c r="G19" s="1548"/>
      <c r="H19" s="1548"/>
      <c r="I19" s="1549"/>
      <c r="J19" s="539">
        <f>G15</f>
        <v>6632502</v>
      </c>
      <c r="K19" s="520"/>
    </row>
    <row r="20" spans="1:12" ht="17.25">
      <c r="A20" s="1547" t="s">
        <v>950</v>
      </c>
      <c r="B20" s="1548"/>
      <c r="C20" s="1548"/>
      <c r="D20" s="1548"/>
      <c r="E20" s="1548"/>
      <c r="F20" s="1548"/>
      <c r="G20" s="1548"/>
      <c r="H20" s="1548"/>
      <c r="I20" s="1549"/>
      <c r="J20" s="539">
        <f>'DSOAT-T1.2025'!AT89</f>
        <v>925501311</v>
      </c>
      <c r="K20" s="538"/>
    </row>
    <row r="21" spans="1:12" ht="60.6" customHeight="1">
      <c r="A21" s="1550" t="s">
        <v>1328</v>
      </c>
      <c r="B21" s="1550"/>
      <c r="C21" s="1550"/>
      <c r="D21" s="1550"/>
      <c r="E21" s="1550"/>
      <c r="F21" s="1550"/>
      <c r="G21" s="1550"/>
      <c r="H21" s="1550"/>
      <c r="I21" s="1550"/>
      <c r="J21" s="1550"/>
      <c r="K21" s="540"/>
    </row>
    <row r="22" spans="1:12" ht="18.600000000000001" customHeight="1">
      <c r="A22" s="1537" t="s">
        <v>1326</v>
      </c>
      <c r="B22" s="1537"/>
      <c r="C22" s="1537"/>
      <c r="D22" s="1537"/>
      <c r="E22" s="1537"/>
      <c r="F22" s="1537"/>
      <c r="G22" s="1537"/>
      <c r="H22" s="1537"/>
      <c r="I22" s="1537"/>
      <c r="J22" s="1537"/>
      <c r="K22" s="540"/>
    </row>
    <row r="23" spans="1:12" ht="16.5">
      <c r="A23" s="1541" t="s">
        <v>951</v>
      </c>
      <c r="B23" s="1541"/>
      <c r="C23" s="1541"/>
      <c r="D23" s="1541"/>
      <c r="E23" s="1541"/>
      <c r="F23" s="1541"/>
      <c r="G23" s="1541"/>
      <c r="H23" s="1541"/>
      <c r="I23" s="1541"/>
      <c r="J23" s="541">
        <f>J20+D15</f>
        <v>959934364</v>
      </c>
      <c r="K23" s="542"/>
    </row>
    <row r="24" spans="1:12" ht="16.5">
      <c r="A24" s="521" t="s">
        <v>952</v>
      </c>
      <c r="B24" s="521"/>
      <c r="C24" s="521"/>
      <c r="D24" s="520"/>
      <c r="E24" s="520"/>
      <c r="F24" s="520"/>
      <c r="G24" s="543"/>
      <c r="H24" s="544"/>
      <c r="I24" s="545"/>
      <c r="J24" s="541">
        <f>D15+E15</f>
        <v>104938802</v>
      </c>
      <c r="K24" s="540"/>
    </row>
    <row r="25" spans="1:12" ht="16.5">
      <c r="A25" s="546" t="s">
        <v>953</v>
      </c>
      <c r="B25" s="546"/>
      <c r="C25" s="546"/>
      <c r="D25" s="547"/>
      <c r="E25" s="547"/>
      <c r="F25" s="547"/>
      <c r="G25" s="547"/>
      <c r="H25" s="547"/>
      <c r="I25" s="547"/>
      <c r="J25" s="541" t="e">
        <f>J16</f>
        <v>#REF!</v>
      </c>
      <c r="K25" s="548"/>
    </row>
    <row r="26" spans="1:12" ht="38.25" customHeight="1">
      <c r="A26" s="1552" t="s">
        <v>1327</v>
      </c>
      <c r="B26" s="1552"/>
      <c r="C26" s="1552"/>
      <c r="D26" s="1552"/>
      <c r="E26" s="1552"/>
      <c r="F26" s="1552"/>
      <c r="G26" s="1552"/>
      <c r="H26" s="1552"/>
      <c r="I26" s="1552"/>
      <c r="J26" s="549" t="e">
        <f>D15+E15+H15+I15+J16+1</f>
        <v>#REF!</v>
      </c>
      <c r="K26" s="550" t="e">
        <f>E14+D14+H14+I14+J16</f>
        <v>#REF!</v>
      </c>
      <c r="L26" s="28"/>
    </row>
    <row r="27" spans="1:12" ht="24.75" customHeight="1">
      <c r="A27" s="1553" t="s">
        <v>1329</v>
      </c>
      <c r="B27" s="1553"/>
      <c r="C27" s="1553"/>
      <c r="D27" s="1553"/>
      <c r="E27" s="1553"/>
      <c r="F27" s="1553"/>
      <c r="G27" s="1553"/>
      <c r="H27" s="1553"/>
      <c r="I27" s="1553"/>
      <c r="J27" s="1553"/>
      <c r="K27" s="540"/>
    </row>
    <row r="28" spans="1:12" ht="16.5">
      <c r="A28" s="1554" t="s">
        <v>954</v>
      </c>
      <c r="B28" s="1554"/>
      <c r="C28" s="1554"/>
      <c r="D28" s="1554"/>
      <c r="E28" s="1554"/>
      <c r="F28" s="1554"/>
      <c r="G28" s="1554"/>
      <c r="H28" s="1554"/>
      <c r="I28" s="1554"/>
      <c r="J28" s="1554"/>
      <c r="K28" s="520"/>
    </row>
    <row r="29" spans="1:12" ht="16.5">
      <c r="A29" s="1555" t="s">
        <v>955</v>
      </c>
      <c r="B29" s="1555"/>
      <c r="C29" s="1555"/>
      <c r="D29" s="1555"/>
      <c r="E29" s="1555"/>
      <c r="F29" s="1555"/>
      <c r="G29" s="1555"/>
      <c r="H29" s="1555"/>
      <c r="I29" s="1555"/>
      <c r="J29" s="1555"/>
      <c r="K29" s="520"/>
    </row>
    <row r="30" spans="1:12" ht="16.5">
      <c r="A30" s="1555" t="s">
        <v>956</v>
      </c>
      <c r="B30" s="1555"/>
      <c r="C30" s="1555"/>
      <c r="D30" s="1555"/>
      <c r="E30" s="1555"/>
      <c r="F30" s="1555"/>
      <c r="G30" s="1555"/>
      <c r="H30" s="1555"/>
      <c r="I30" s="1555"/>
      <c r="J30" s="1555"/>
      <c r="K30" s="520"/>
    </row>
    <row r="31" spans="1:12" ht="51" customHeight="1">
      <c r="A31" s="1556" t="s">
        <v>957</v>
      </c>
      <c r="B31" s="1556"/>
      <c r="C31" s="1556"/>
      <c r="D31" s="1556"/>
      <c r="E31" s="1556"/>
      <c r="F31" s="1556"/>
      <c r="G31" s="1556"/>
      <c r="H31" s="1556"/>
      <c r="I31" s="1556"/>
      <c r="J31" s="1556"/>
      <c r="K31" s="520"/>
    </row>
    <row r="32" spans="1:12" ht="16.5">
      <c r="A32" s="1556" t="s">
        <v>958</v>
      </c>
      <c r="B32" s="1556"/>
      <c r="C32" s="1556"/>
      <c r="D32" s="1556"/>
      <c r="E32" s="1556"/>
      <c r="F32" s="1556"/>
      <c r="G32" s="1556"/>
      <c r="H32" s="1556"/>
      <c r="I32" s="1556"/>
      <c r="J32" s="1556"/>
      <c r="K32" s="551"/>
    </row>
    <row r="33" spans="1:11" ht="20.25">
      <c r="D33" s="538"/>
      <c r="E33" s="538"/>
      <c r="F33" s="538"/>
      <c r="G33" s="538"/>
      <c r="H33" s="1557"/>
      <c r="I33" s="1557"/>
      <c r="J33" s="1557"/>
      <c r="K33" s="552"/>
    </row>
    <row r="34" spans="1:11" ht="20.25">
      <c r="A34" s="1558" t="s">
        <v>960</v>
      </c>
      <c r="B34" s="1558"/>
      <c r="C34" s="553"/>
      <c r="D34" s="538"/>
      <c r="E34" s="538"/>
      <c r="F34" s="538"/>
      <c r="G34" s="538"/>
      <c r="H34" s="1557" t="s">
        <v>1330</v>
      </c>
      <c r="I34" s="1557"/>
      <c r="J34" s="1557"/>
      <c r="K34" s="538"/>
    </row>
    <row r="35" spans="1:11" ht="17.25">
      <c r="A35" s="1568" t="s">
        <v>1331</v>
      </c>
      <c r="B35" s="1551"/>
      <c r="C35" s="553"/>
      <c r="D35" s="538"/>
      <c r="E35" s="538"/>
      <c r="F35" s="538"/>
      <c r="G35" s="538"/>
      <c r="H35" s="538"/>
      <c r="I35" s="538"/>
      <c r="J35" s="538"/>
      <c r="K35" s="538"/>
    </row>
    <row r="36" spans="1:11" ht="17.25">
      <c r="A36" s="1568" t="s">
        <v>1332</v>
      </c>
      <c r="B36" s="1551"/>
      <c r="C36" s="1551"/>
      <c r="D36" s="538"/>
      <c r="E36" s="538"/>
      <c r="F36" s="538"/>
      <c r="G36" s="538"/>
      <c r="H36" s="538"/>
      <c r="I36" s="538"/>
      <c r="J36" s="538"/>
      <c r="K36" s="538"/>
    </row>
    <row r="37" spans="1:11" ht="17.25">
      <c r="A37" s="1558"/>
      <c r="B37" s="1558"/>
      <c r="C37" s="553"/>
      <c r="D37" s="538"/>
      <c r="E37" s="538"/>
      <c r="F37" s="538"/>
      <c r="G37" s="538"/>
      <c r="H37" s="538"/>
      <c r="I37" s="538"/>
      <c r="J37" s="538"/>
      <c r="K37" s="538"/>
    </row>
    <row r="38" spans="1:11" ht="17.25">
      <c r="A38" s="1551"/>
      <c r="B38" s="1551"/>
      <c r="C38" s="553"/>
      <c r="D38" s="538"/>
      <c r="E38" s="538"/>
      <c r="F38" s="538"/>
      <c r="G38" s="538"/>
      <c r="H38" s="538"/>
      <c r="I38" s="538"/>
      <c r="J38" s="538"/>
      <c r="K38" s="538"/>
    </row>
    <row r="39" spans="1:11" ht="18.75">
      <c r="A39" s="1551"/>
      <c r="B39" s="1551"/>
      <c r="C39" s="1551"/>
      <c r="D39" s="538"/>
      <c r="E39" s="538"/>
      <c r="F39" s="538"/>
      <c r="G39" s="538"/>
      <c r="H39" s="1559" t="s">
        <v>964</v>
      </c>
      <c r="I39" s="1559"/>
      <c r="J39" s="1559"/>
      <c r="K39" s="552"/>
    </row>
    <row r="40" spans="1:11" ht="17.25">
      <c r="A40" s="554"/>
      <c r="B40" s="538"/>
      <c r="C40" s="538"/>
      <c r="D40" s="538"/>
      <c r="E40" s="538"/>
      <c r="F40" s="538"/>
      <c r="G40" s="538"/>
      <c r="H40" s="538"/>
      <c r="I40" s="538"/>
      <c r="J40" s="538"/>
      <c r="K40" s="538"/>
    </row>
    <row r="41" spans="1:11" ht="17.25">
      <c r="A41" s="538"/>
      <c r="B41" s="538"/>
      <c r="C41" s="538"/>
      <c r="D41" s="538"/>
      <c r="E41" s="538"/>
      <c r="F41" s="538"/>
      <c r="G41" s="538"/>
      <c r="H41" s="538"/>
      <c r="I41" s="538"/>
      <c r="J41" s="538"/>
      <c r="K41" s="538"/>
    </row>
    <row r="42" spans="1:11" ht="17.25">
      <c r="A42" s="555"/>
      <c r="B42" s="538"/>
      <c r="C42" s="538"/>
      <c r="D42" s="538"/>
      <c r="E42" s="538"/>
      <c r="F42" s="538"/>
      <c r="G42" s="538"/>
      <c r="H42" s="538"/>
      <c r="I42" s="538"/>
      <c r="J42" s="538"/>
      <c r="K42" s="538"/>
    </row>
    <row r="43" spans="1:11">
      <c r="A43" s="556"/>
    </row>
  </sheetData>
  <mergeCells count="36">
    <mergeCell ref="A36:C36"/>
    <mergeCell ref="A37:B37"/>
    <mergeCell ref="A38:B38"/>
    <mergeCell ref="A39:C39"/>
    <mergeCell ref="H39:J39"/>
    <mergeCell ref="A35:B35"/>
    <mergeCell ref="A23:I23"/>
    <mergeCell ref="A26:I26"/>
    <mergeCell ref="A27:J27"/>
    <mergeCell ref="A28:J28"/>
    <mergeCell ref="A29:J29"/>
    <mergeCell ref="A30:J30"/>
    <mergeCell ref="A31:J31"/>
    <mergeCell ref="A32:J32"/>
    <mergeCell ref="H33:J33"/>
    <mergeCell ref="A34:B34"/>
    <mergeCell ref="H34:J34"/>
    <mergeCell ref="A22:J22"/>
    <mergeCell ref="B5:E5"/>
    <mergeCell ref="B6:E6"/>
    <mergeCell ref="A7:J7"/>
    <mergeCell ref="A9:J9"/>
    <mergeCell ref="A10:J10"/>
    <mergeCell ref="A11:J11"/>
    <mergeCell ref="A17:I17"/>
    <mergeCell ref="A18:I18"/>
    <mergeCell ref="A19:I19"/>
    <mergeCell ref="A20:I20"/>
    <mergeCell ref="A21:J21"/>
    <mergeCell ref="A2:A4"/>
    <mergeCell ref="B2:E2"/>
    <mergeCell ref="F2:J2"/>
    <mergeCell ref="B3:E3"/>
    <mergeCell ref="F3:J3"/>
    <mergeCell ref="B4:E4"/>
    <mergeCell ref="F4:J4"/>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
  <sheetViews>
    <sheetView topLeftCell="A3" workbookViewId="0">
      <selection activeCell="D11" sqref="D11"/>
    </sheetView>
  </sheetViews>
  <sheetFormatPr defaultRowHeight="15"/>
  <cols>
    <col min="2" max="2" width="20.7109375" customWidth="1"/>
    <col min="3" max="3" width="15.7109375" customWidth="1"/>
    <col min="4" max="4" width="19.85546875" customWidth="1"/>
    <col min="6" max="6" width="13.5703125" style="561" customWidth="1"/>
  </cols>
  <sheetData>
    <row r="1" spans="1:6" ht="15.75">
      <c r="A1" s="205"/>
    </row>
    <row r="2" spans="1:6" ht="15.75">
      <c r="A2" s="205" t="s">
        <v>1273</v>
      </c>
    </row>
    <row r="3" spans="1:6" ht="15.75">
      <c r="A3" s="232" t="s">
        <v>1274</v>
      </c>
    </row>
    <row r="4" spans="1:6" ht="16.5" thickBot="1">
      <c r="A4" s="232"/>
    </row>
    <row r="5" spans="1:6" ht="48" customHeight="1" thickBot="1">
      <c r="A5" s="796" t="s">
        <v>0</v>
      </c>
      <c r="B5" s="797" t="s">
        <v>121</v>
      </c>
      <c r="C5" s="797" t="s">
        <v>632</v>
      </c>
      <c r="D5" s="797" t="s">
        <v>1275</v>
      </c>
      <c r="E5" s="797" t="s">
        <v>699</v>
      </c>
    </row>
    <row r="6" spans="1:6" ht="33.75" customHeight="1" thickBot="1">
      <c r="A6" s="694">
        <v>1</v>
      </c>
      <c r="B6" s="798" t="s">
        <v>151</v>
      </c>
      <c r="C6" s="799" t="s">
        <v>653</v>
      </c>
      <c r="D6" s="385" t="s">
        <v>1276</v>
      </c>
      <c r="E6" s="449"/>
      <c r="F6" s="561">
        <v>1200000</v>
      </c>
    </row>
    <row r="7" spans="1:6" ht="50.25" customHeight="1" thickBot="1">
      <c r="A7" s="694">
        <v>2</v>
      </c>
      <c r="B7" s="798" t="s">
        <v>673</v>
      </c>
      <c r="C7" s="799" t="s">
        <v>674</v>
      </c>
      <c r="D7" s="385" t="s">
        <v>1277</v>
      </c>
      <c r="E7" s="449"/>
      <c r="F7" s="561">
        <v>5100000</v>
      </c>
    </row>
    <row r="8" spans="1:6" ht="50.25" customHeight="1" thickBot="1">
      <c r="A8" s="694">
        <v>3</v>
      </c>
      <c r="B8" s="798" t="s">
        <v>78</v>
      </c>
      <c r="C8" s="799" t="s">
        <v>649</v>
      </c>
      <c r="D8" s="800">
        <v>600000</v>
      </c>
      <c r="E8" s="449"/>
      <c r="F8" s="561">
        <v>600000</v>
      </c>
    </row>
    <row r="9" spans="1:6" ht="50.25" customHeight="1" thickBot="1">
      <c r="A9" s="694">
        <v>4</v>
      </c>
      <c r="B9" s="798" t="s">
        <v>637</v>
      </c>
      <c r="C9" s="799" t="s">
        <v>717</v>
      </c>
      <c r="D9" s="385" t="s">
        <v>710</v>
      </c>
      <c r="E9" s="449"/>
      <c r="F9" s="561">
        <v>3000000</v>
      </c>
    </row>
    <row r="10" spans="1:6" ht="50.25" customHeight="1" thickBot="1">
      <c r="A10" s="694">
        <v>5</v>
      </c>
      <c r="B10" s="798" t="s">
        <v>635</v>
      </c>
      <c r="C10" s="799" t="s">
        <v>717</v>
      </c>
      <c r="D10" s="385">
        <v>600</v>
      </c>
      <c r="E10" s="449"/>
      <c r="F10" s="561">
        <v>600000</v>
      </c>
    </row>
    <row r="11" spans="1:6" ht="33.75" customHeight="1" thickBot="1">
      <c r="A11" s="694">
        <v>6</v>
      </c>
      <c r="B11" s="798" t="s">
        <v>765</v>
      </c>
      <c r="C11" s="799" t="s">
        <v>650</v>
      </c>
      <c r="D11" s="385">
        <v>600</v>
      </c>
      <c r="E11" s="449"/>
      <c r="F11" s="561">
        <v>600000</v>
      </c>
    </row>
    <row r="12" spans="1:6" ht="50.25" customHeight="1" thickBot="1">
      <c r="A12" s="694">
        <v>7</v>
      </c>
      <c r="B12" s="798" t="s">
        <v>94</v>
      </c>
      <c r="C12" s="799" t="s">
        <v>642</v>
      </c>
      <c r="D12" s="385" t="s">
        <v>889</v>
      </c>
      <c r="E12" s="449"/>
      <c r="F12" s="561">
        <v>1500000</v>
      </c>
    </row>
    <row r="13" spans="1:6" ht="50.25" customHeight="1" thickBot="1">
      <c r="A13" s="694">
        <v>8</v>
      </c>
      <c r="B13" s="798" t="s">
        <v>667</v>
      </c>
      <c r="C13" s="799" t="s">
        <v>668</v>
      </c>
      <c r="D13" s="385">
        <v>300</v>
      </c>
      <c r="E13" s="449"/>
      <c r="F13" s="561">
        <v>300000</v>
      </c>
    </row>
    <row r="14" spans="1:6" ht="50.25" customHeight="1" thickBot="1">
      <c r="A14" s="694">
        <v>9</v>
      </c>
      <c r="B14" s="798" t="s">
        <v>734</v>
      </c>
      <c r="C14" s="799" t="s">
        <v>735</v>
      </c>
      <c r="D14" s="385">
        <v>600</v>
      </c>
      <c r="E14" s="449"/>
      <c r="F14" s="561">
        <v>600000</v>
      </c>
    </row>
    <row r="15" spans="1:6" ht="66.75" customHeight="1" thickBot="1">
      <c r="A15" s="694">
        <v>10</v>
      </c>
      <c r="B15" s="798" t="s">
        <v>89</v>
      </c>
      <c r="C15" s="799" t="s">
        <v>650</v>
      </c>
      <c r="D15" s="385" t="s">
        <v>1278</v>
      </c>
      <c r="E15" s="449"/>
      <c r="F15" s="561">
        <v>1800000</v>
      </c>
    </row>
    <row r="16" spans="1:6" ht="66.75" customHeight="1" thickBot="1">
      <c r="A16" s="694">
        <v>11</v>
      </c>
      <c r="B16" s="798" t="s">
        <v>648</v>
      </c>
      <c r="C16" s="799" t="s">
        <v>649</v>
      </c>
      <c r="D16" s="385">
        <v>600</v>
      </c>
      <c r="E16" s="449"/>
      <c r="F16" s="561">
        <v>600000</v>
      </c>
    </row>
    <row r="17" spans="1:6" ht="50.25" customHeight="1" thickBot="1">
      <c r="A17" s="694">
        <v>12</v>
      </c>
      <c r="B17" s="798" t="s">
        <v>282</v>
      </c>
      <c r="C17" s="799" t="s">
        <v>646</v>
      </c>
      <c r="D17" s="385" t="s">
        <v>1279</v>
      </c>
      <c r="E17" s="449"/>
      <c r="F17" s="561">
        <v>2100000</v>
      </c>
    </row>
    <row r="18" spans="1:6" ht="50.25" customHeight="1" thickBot="1">
      <c r="A18" s="694">
        <v>13</v>
      </c>
      <c r="B18" s="798" t="s">
        <v>755</v>
      </c>
      <c r="C18" s="799" t="s">
        <v>642</v>
      </c>
      <c r="D18" s="385" t="s">
        <v>1280</v>
      </c>
      <c r="E18" s="449"/>
      <c r="F18" s="561">
        <v>6000000</v>
      </c>
    </row>
    <row r="19" spans="1:6" ht="50.25" customHeight="1" thickBot="1">
      <c r="A19" s="694">
        <v>14</v>
      </c>
      <c r="B19" s="798" t="s">
        <v>655</v>
      </c>
      <c r="C19" s="799" t="s">
        <v>653</v>
      </c>
      <c r="D19" s="385">
        <v>900</v>
      </c>
      <c r="E19" s="449"/>
      <c r="F19" s="561">
        <v>900000</v>
      </c>
    </row>
    <row r="20" spans="1:6" ht="50.25" customHeight="1" thickBot="1">
      <c r="A20" s="694">
        <v>15</v>
      </c>
      <c r="B20" s="798" t="s">
        <v>654</v>
      </c>
      <c r="C20" s="799" t="s">
        <v>653</v>
      </c>
      <c r="D20" s="385" t="s">
        <v>1281</v>
      </c>
      <c r="E20" s="449"/>
      <c r="F20" s="561">
        <v>2400000</v>
      </c>
    </row>
    <row r="21" spans="1:6" ht="33.75" thickBot="1">
      <c r="A21" s="694">
        <v>16</v>
      </c>
      <c r="B21" s="798" t="s">
        <v>1247</v>
      </c>
      <c r="C21" s="799" t="s">
        <v>735</v>
      </c>
      <c r="D21" s="385" t="s">
        <v>1282</v>
      </c>
      <c r="E21" s="449"/>
      <c r="F21" s="561">
        <v>1400000</v>
      </c>
    </row>
    <row r="22" spans="1:6" ht="16.5" thickBot="1">
      <c r="A22" s="401" t="s">
        <v>758</v>
      </c>
      <c r="B22" s="402"/>
      <c r="C22" s="336"/>
      <c r="D22" s="389" t="s">
        <v>1283</v>
      </c>
      <c r="E22" s="696"/>
    </row>
    <row r="23" spans="1:6">
      <c r="A23" s="244" t="s">
        <v>1284</v>
      </c>
    </row>
    <row r="24" spans="1:6">
      <c r="A24" s="244"/>
    </row>
    <row r="25" spans="1:6">
      <c r="A25" s="244"/>
    </row>
    <row r="26" spans="1:6">
      <c r="A26" s="244"/>
    </row>
    <row r="27" spans="1:6">
      <c r="A27" s="24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35"/>
  <sheetViews>
    <sheetView topLeftCell="A72" workbookViewId="0">
      <selection activeCell="H111" sqref="H111"/>
    </sheetView>
  </sheetViews>
  <sheetFormatPr defaultRowHeight="15"/>
  <cols>
    <col min="2" max="2" width="26" customWidth="1"/>
    <col min="3" max="3" width="17" customWidth="1"/>
    <col min="4" max="4" width="15.42578125" customWidth="1"/>
    <col min="5" max="5" width="19.42578125" style="643" customWidth="1"/>
    <col min="8" max="8" width="11.5703125" bestFit="1" customWidth="1"/>
  </cols>
  <sheetData>
    <row r="1" spans="1:8" ht="16.5">
      <c r="A1" s="123" t="s">
        <v>1285</v>
      </c>
    </row>
    <row r="2" spans="1:8" ht="15.75">
      <c r="A2" s="205" t="s">
        <v>1286</v>
      </c>
    </row>
    <row r="3" spans="1:8" ht="16.5" thickBot="1">
      <c r="A3" s="365" t="s">
        <v>1287</v>
      </c>
    </row>
    <row r="4" spans="1:8" ht="33" customHeight="1" thickBot="1">
      <c r="A4" s="802" t="s">
        <v>0</v>
      </c>
      <c r="B4" s="802" t="s">
        <v>121</v>
      </c>
      <c r="C4" s="802" t="s">
        <v>632</v>
      </c>
      <c r="D4" s="818" t="s">
        <v>633</v>
      </c>
      <c r="E4" s="819"/>
      <c r="F4" s="802" t="s">
        <v>699</v>
      </c>
    </row>
    <row r="5" spans="1:8" ht="15.75" customHeight="1" thickBot="1">
      <c r="A5" s="820"/>
      <c r="B5" s="820"/>
      <c r="C5" s="820"/>
      <c r="D5" s="725" t="s">
        <v>739</v>
      </c>
      <c r="E5" s="809" t="s">
        <v>740</v>
      </c>
      <c r="F5" s="820"/>
    </row>
    <row r="6" spans="1:8" ht="16.5" thickBot="1">
      <c r="A6" s="273">
        <v>1</v>
      </c>
      <c r="B6" s="237" t="s">
        <v>715</v>
      </c>
      <c r="C6" s="236" t="s">
        <v>642</v>
      </c>
      <c r="D6" s="292">
        <v>90</v>
      </c>
      <c r="E6" s="810"/>
      <c r="F6" s="258"/>
      <c r="G6">
        <v>1000</v>
      </c>
      <c r="H6" s="561">
        <f>E6*G6</f>
        <v>0</v>
      </c>
    </row>
    <row r="7" spans="1:8" ht="30.75" customHeight="1" thickBot="1">
      <c r="A7" s="273">
        <v>2</v>
      </c>
      <c r="B7" s="237" t="s">
        <v>153</v>
      </c>
      <c r="C7" s="236" t="s">
        <v>642</v>
      </c>
      <c r="D7" s="292"/>
      <c r="E7" s="811">
        <v>70</v>
      </c>
      <c r="F7" s="258"/>
      <c r="G7">
        <v>1000</v>
      </c>
      <c r="H7" s="561">
        <f t="shared" ref="H7:H70" si="0">E7*G7</f>
        <v>70000</v>
      </c>
    </row>
    <row r="8" spans="1:8" ht="45.75" customHeight="1" thickBot="1">
      <c r="A8" s="273">
        <v>3</v>
      </c>
      <c r="B8" s="237" t="s">
        <v>210</v>
      </c>
      <c r="C8" s="236" t="s">
        <v>717</v>
      </c>
      <c r="D8" s="292"/>
      <c r="E8" s="811">
        <v>30</v>
      </c>
      <c r="F8" s="258"/>
      <c r="G8">
        <v>1000</v>
      </c>
      <c r="H8" s="561">
        <f t="shared" si="0"/>
        <v>30000</v>
      </c>
    </row>
    <row r="9" spans="1:8" ht="45.75" customHeight="1" thickBot="1">
      <c r="A9" s="273">
        <v>4</v>
      </c>
      <c r="B9" s="237" t="s">
        <v>96</v>
      </c>
      <c r="C9" s="236" t="s">
        <v>717</v>
      </c>
      <c r="D9" s="292"/>
      <c r="E9" s="811">
        <v>100</v>
      </c>
      <c r="F9" s="258"/>
      <c r="G9">
        <v>1000</v>
      </c>
      <c r="H9" s="561">
        <f t="shared" si="0"/>
        <v>100000</v>
      </c>
    </row>
    <row r="10" spans="1:8" ht="45.75" customHeight="1" thickBot="1">
      <c r="A10" s="273">
        <v>5</v>
      </c>
      <c r="B10" s="237" t="s">
        <v>641</v>
      </c>
      <c r="C10" s="236" t="s">
        <v>717</v>
      </c>
      <c r="D10" s="292">
        <v>170</v>
      </c>
      <c r="E10" s="812"/>
      <c r="F10" s="258"/>
      <c r="G10">
        <v>1000</v>
      </c>
      <c r="H10" s="561">
        <f t="shared" si="0"/>
        <v>0</v>
      </c>
    </row>
    <row r="11" spans="1:8" ht="30.75" customHeight="1" thickBot="1">
      <c r="A11" s="273">
        <v>6</v>
      </c>
      <c r="B11" s="237" t="s">
        <v>640</v>
      </c>
      <c r="C11" s="236" t="s">
        <v>717</v>
      </c>
      <c r="D11" s="292">
        <v>140</v>
      </c>
      <c r="E11" s="812"/>
      <c r="F11" s="258"/>
      <c r="G11">
        <v>1000</v>
      </c>
      <c r="H11" s="561">
        <f t="shared" si="0"/>
        <v>0</v>
      </c>
    </row>
    <row r="12" spans="1:8" ht="30.75" customHeight="1" thickBot="1">
      <c r="A12" s="273">
        <v>7</v>
      </c>
      <c r="B12" s="237" t="s">
        <v>639</v>
      </c>
      <c r="C12" s="236" t="s">
        <v>717</v>
      </c>
      <c r="D12" s="292"/>
      <c r="E12" s="811">
        <v>70</v>
      </c>
      <c r="F12" s="258"/>
      <c r="G12">
        <v>1000</v>
      </c>
      <c r="H12" s="561">
        <f t="shared" si="0"/>
        <v>70000</v>
      </c>
    </row>
    <row r="13" spans="1:8" ht="45.75" customHeight="1" thickBot="1">
      <c r="A13" s="273">
        <v>8</v>
      </c>
      <c r="B13" s="237" t="s">
        <v>686</v>
      </c>
      <c r="C13" s="236" t="s">
        <v>649</v>
      </c>
      <c r="D13" s="292">
        <v>460</v>
      </c>
      <c r="E13" s="812"/>
      <c r="F13" s="258"/>
      <c r="G13">
        <v>1000</v>
      </c>
      <c r="H13" s="561">
        <f t="shared" si="0"/>
        <v>0</v>
      </c>
    </row>
    <row r="14" spans="1:8" ht="45.75" customHeight="1" thickBot="1">
      <c r="A14" s="273">
        <v>9</v>
      </c>
      <c r="B14" s="237" t="s">
        <v>687</v>
      </c>
      <c r="C14" s="236" t="s">
        <v>649</v>
      </c>
      <c r="D14" s="292">
        <v>360</v>
      </c>
      <c r="E14" s="812"/>
      <c r="F14" s="258"/>
      <c r="G14">
        <v>1000</v>
      </c>
      <c r="H14" s="561">
        <f t="shared" si="0"/>
        <v>0</v>
      </c>
    </row>
    <row r="15" spans="1:8" ht="45.75" customHeight="1" thickBot="1">
      <c r="A15" s="273">
        <v>10</v>
      </c>
      <c r="B15" s="237" t="s">
        <v>81</v>
      </c>
      <c r="C15" s="236" t="s">
        <v>649</v>
      </c>
      <c r="D15" s="292"/>
      <c r="E15" s="811">
        <v>30</v>
      </c>
      <c r="F15" s="258"/>
      <c r="G15">
        <v>1000</v>
      </c>
      <c r="H15" s="561">
        <f t="shared" si="0"/>
        <v>30000</v>
      </c>
    </row>
    <row r="16" spans="1:8" ht="45.75" customHeight="1" thickBot="1">
      <c r="A16" s="273">
        <v>11</v>
      </c>
      <c r="B16" s="237" t="s">
        <v>684</v>
      </c>
      <c r="C16" s="236" t="s">
        <v>649</v>
      </c>
      <c r="D16" s="292">
        <v>340</v>
      </c>
      <c r="E16" s="812"/>
      <c r="F16" s="258"/>
      <c r="G16">
        <v>1000</v>
      </c>
      <c r="H16" s="561">
        <f t="shared" si="0"/>
        <v>0</v>
      </c>
    </row>
    <row r="17" spans="1:8" ht="30.75" customHeight="1" thickBot="1">
      <c r="A17" s="273">
        <v>12</v>
      </c>
      <c r="B17" s="237" t="s">
        <v>221</v>
      </c>
      <c r="C17" s="236" t="s">
        <v>649</v>
      </c>
      <c r="D17" s="292"/>
      <c r="E17" s="811">
        <v>120</v>
      </c>
      <c r="F17" s="258"/>
      <c r="G17">
        <v>1000</v>
      </c>
      <c r="H17" s="561">
        <f t="shared" si="0"/>
        <v>120000</v>
      </c>
    </row>
    <row r="18" spans="1:8" ht="45.75" customHeight="1" thickBot="1">
      <c r="A18" s="273">
        <v>13</v>
      </c>
      <c r="B18" s="237" t="s">
        <v>721</v>
      </c>
      <c r="C18" s="236" t="s">
        <v>649</v>
      </c>
      <c r="D18" s="292"/>
      <c r="E18" s="811">
        <v>240</v>
      </c>
      <c r="F18" s="258"/>
      <c r="G18">
        <v>1000</v>
      </c>
      <c r="H18" s="561">
        <f t="shared" si="0"/>
        <v>240000</v>
      </c>
    </row>
    <row r="19" spans="1:8" ht="45.75" customHeight="1" thickBot="1">
      <c r="A19" s="273">
        <v>14</v>
      </c>
      <c r="B19" s="237" t="s">
        <v>685</v>
      </c>
      <c r="C19" s="236" t="s">
        <v>649</v>
      </c>
      <c r="D19" s="292">
        <v>90</v>
      </c>
      <c r="E19" s="812"/>
      <c r="F19" s="258"/>
      <c r="G19">
        <v>1000</v>
      </c>
      <c r="H19" s="561">
        <f t="shared" si="0"/>
        <v>0</v>
      </c>
    </row>
    <row r="20" spans="1:8" ht="45.75" customHeight="1" thickBot="1">
      <c r="A20" s="273">
        <v>15</v>
      </c>
      <c r="B20" s="237" t="s">
        <v>722</v>
      </c>
      <c r="C20" s="236" t="s">
        <v>646</v>
      </c>
      <c r="D20" s="292">
        <v>200</v>
      </c>
      <c r="E20" s="812"/>
      <c r="F20" s="258"/>
      <c r="G20">
        <v>1000</v>
      </c>
      <c r="H20" s="561">
        <f t="shared" si="0"/>
        <v>0</v>
      </c>
    </row>
    <row r="21" spans="1:8" ht="45.75" customHeight="1" thickBot="1">
      <c r="A21" s="273">
        <v>16</v>
      </c>
      <c r="B21" s="237" t="s">
        <v>168</v>
      </c>
      <c r="C21" s="236" t="s">
        <v>646</v>
      </c>
      <c r="D21" s="292"/>
      <c r="E21" s="811">
        <v>70</v>
      </c>
      <c r="F21" s="258"/>
      <c r="G21">
        <v>1000</v>
      </c>
      <c r="H21" s="561">
        <f t="shared" si="0"/>
        <v>70000</v>
      </c>
    </row>
    <row r="22" spans="1:8" ht="45.75" customHeight="1" thickBot="1">
      <c r="A22" s="273">
        <v>17</v>
      </c>
      <c r="B22" s="237" t="s">
        <v>725</v>
      </c>
      <c r="C22" s="236" t="s">
        <v>646</v>
      </c>
      <c r="D22" s="292"/>
      <c r="E22" s="811">
        <v>30</v>
      </c>
      <c r="F22" s="258"/>
      <c r="G22">
        <v>1000</v>
      </c>
      <c r="H22" s="561">
        <f t="shared" si="0"/>
        <v>30000</v>
      </c>
    </row>
    <row r="23" spans="1:8" ht="45.75" customHeight="1" thickBot="1">
      <c r="A23" s="273">
        <v>18</v>
      </c>
      <c r="B23" s="237" t="s">
        <v>647</v>
      </c>
      <c r="C23" s="236" t="s">
        <v>646</v>
      </c>
      <c r="D23" s="292">
        <v>60</v>
      </c>
      <c r="E23" s="812"/>
      <c r="F23" s="258"/>
      <c r="G23">
        <v>1000</v>
      </c>
      <c r="H23" s="561">
        <f t="shared" si="0"/>
        <v>0</v>
      </c>
    </row>
    <row r="24" spans="1:8" ht="45.75" customHeight="1" thickBot="1">
      <c r="A24" s="273">
        <v>19</v>
      </c>
      <c r="B24" s="237" t="s">
        <v>683</v>
      </c>
      <c r="C24" s="236" t="s">
        <v>646</v>
      </c>
      <c r="D24" s="292">
        <v>120</v>
      </c>
      <c r="E24" s="812"/>
      <c r="F24" s="258"/>
      <c r="G24">
        <v>1000</v>
      </c>
      <c r="H24" s="561">
        <f t="shared" si="0"/>
        <v>0</v>
      </c>
    </row>
    <row r="25" spans="1:8" ht="45.75" customHeight="1" thickBot="1">
      <c r="A25" s="273">
        <v>20</v>
      </c>
      <c r="B25" s="237" t="s">
        <v>148</v>
      </c>
      <c r="C25" s="236" t="s">
        <v>646</v>
      </c>
      <c r="D25" s="292"/>
      <c r="E25" s="811">
        <v>60</v>
      </c>
      <c r="F25" s="258"/>
      <c r="G25">
        <v>1000</v>
      </c>
      <c r="H25" s="561">
        <f t="shared" si="0"/>
        <v>60000</v>
      </c>
    </row>
    <row r="26" spans="1:8" ht="30.75" customHeight="1" thickBot="1">
      <c r="A26" s="273">
        <v>21</v>
      </c>
      <c r="B26" s="237" t="s">
        <v>723</v>
      </c>
      <c r="C26" s="236" t="s">
        <v>646</v>
      </c>
      <c r="D26" s="292">
        <v>370</v>
      </c>
      <c r="E26" s="810"/>
      <c r="F26" s="258"/>
      <c r="G26">
        <v>1000</v>
      </c>
      <c r="H26" s="561">
        <f t="shared" si="0"/>
        <v>0</v>
      </c>
    </row>
    <row r="27" spans="1:8" ht="45.75" customHeight="1" thickBot="1">
      <c r="A27" s="273">
        <v>22</v>
      </c>
      <c r="B27" s="237" t="s">
        <v>269</v>
      </c>
      <c r="C27" s="236" t="s">
        <v>650</v>
      </c>
      <c r="D27" s="292" t="s">
        <v>1288</v>
      </c>
      <c r="E27" s="811">
        <v>120</v>
      </c>
      <c r="F27" s="258"/>
      <c r="G27">
        <v>1000</v>
      </c>
      <c r="H27" s="561">
        <f t="shared" si="0"/>
        <v>120000</v>
      </c>
    </row>
    <row r="28" spans="1:8" ht="30.75" customHeight="1" thickBot="1">
      <c r="A28" s="273">
        <v>23</v>
      </c>
      <c r="B28" s="237" t="s">
        <v>651</v>
      </c>
      <c r="C28" s="236" t="s">
        <v>650</v>
      </c>
      <c r="D28" s="292">
        <v>20</v>
      </c>
      <c r="E28" s="812"/>
      <c r="F28" s="258"/>
      <c r="G28">
        <v>1000</v>
      </c>
      <c r="H28" s="561">
        <f t="shared" si="0"/>
        <v>0</v>
      </c>
    </row>
    <row r="29" spans="1:8" ht="60.75" customHeight="1" thickBot="1">
      <c r="A29" s="273">
        <v>24</v>
      </c>
      <c r="B29" s="237" t="s">
        <v>89</v>
      </c>
      <c r="C29" s="236" t="s">
        <v>650</v>
      </c>
      <c r="D29" s="292"/>
      <c r="E29" s="811">
        <v>60</v>
      </c>
      <c r="F29" s="258"/>
      <c r="G29">
        <v>1000</v>
      </c>
      <c r="H29" s="561">
        <f t="shared" si="0"/>
        <v>60000</v>
      </c>
    </row>
    <row r="30" spans="1:8" ht="30.75" customHeight="1" thickBot="1">
      <c r="A30" s="273">
        <v>25</v>
      </c>
      <c r="B30" s="237" t="s">
        <v>652</v>
      </c>
      <c r="C30" s="236" t="s">
        <v>650</v>
      </c>
      <c r="D30" s="292">
        <v>210</v>
      </c>
      <c r="E30" s="812"/>
      <c r="F30" s="258"/>
      <c r="G30">
        <v>1000</v>
      </c>
      <c r="H30" s="561">
        <f t="shared" si="0"/>
        <v>0</v>
      </c>
    </row>
    <row r="31" spans="1:8" ht="30.75" customHeight="1" thickBot="1">
      <c r="A31" s="273">
        <v>26</v>
      </c>
      <c r="B31" s="237" t="s">
        <v>688</v>
      </c>
      <c r="C31" s="236" t="s">
        <v>650</v>
      </c>
      <c r="D31" s="292">
        <v>30</v>
      </c>
      <c r="E31" s="812"/>
      <c r="F31" s="258"/>
      <c r="G31">
        <v>1000</v>
      </c>
      <c r="H31" s="561">
        <f t="shared" si="0"/>
        <v>0</v>
      </c>
    </row>
    <row r="32" spans="1:8" ht="30.75" customHeight="1" thickBot="1">
      <c r="A32" s="273">
        <v>27</v>
      </c>
      <c r="B32" s="237" t="s">
        <v>147</v>
      </c>
      <c r="C32" s="236" t="s">
        <v>653</v>
      </c>
      <c r="D32" s="292" t="s">
        <v>1288</v>
      </c>
      <c r="E32" s="811">
        <v>230</v>
      </c>
      <c r="F32" s="258"/>
      <c r="G32">
        <v>1000</v>
      </c>
      <c r="H32" s="561">
        <f t="shared" si="0"/>
        <v>230000</v>
      </c>
    </row>
    <row r="33" spans="1:8" ht="45.75" customHeight="1" thickBot="1">
      <c r="A33" s="273">
        <v>28</v>
      </c>
      <c r="B33" s="237" t="s">
        <v>689</v>
      </c>
      <c r="C33" s="236" t="s">
        <v>653</v>
      </c>
      <c r="D33" s="292">
        <v>240</v>
      </c>
      <c r="E33" s="812"/>
      <c r="F33" s="258"/>
      <c r="G33">
        <v>1000</v>
      </c>
      <c r="H33" s="561">
        <f t="shared" si="0"/>
        <v>0</v>
      </c>
    </row>
    <row r="34" spans="1:8" ht="45.75" customHeight="1" thickBot="1">
      <c r="A34" s="273">
        <v>29</v>
      </c>
      <c r="B34" s="237" t="s">
        <v>690</v>
      </c>
      <c r="C34" s="236" t="s">
        <v>653</v>
      </c>
      <c r="D34" s="292"/>
      <c r="E34" s="811">
        <v>150</v>
      </c>
      <c r="F34" s="258"/>
      <c r="G34">
        <v>1000</v>
      </c>
      <c r="H34" s="561">
        <f t="shared" si="0"/>
        <v>150000</v>
      </c>
    </row>
    <row r="35" spans="1:8" ht="45.75" customHeight="1" thickBot="1">
      <c r="A35" s="273">
        <v>30</v>
      </c>
      <c r="B35" s="237" t="s">
        <v>60</v>
      </c>
      <c r="C35" s="236" t="s">
        <v>653</v>
      </c>
      <c r="D35" s="292"/>
      <c r="E35" s="811">
        <v>420</v>
      </c>
      <c r="F35" s="258"/>
      <c r="G35">
        <v>1000</v>
      </c>
      <c r="H35" s="561">
        <f t="shared" si="0"/>
        <v>420000</v>
      </c>
    </row>
    <row r="36" spans="1:8" ht="45.75" customHeight="1" thickBot="1">
      <c r="A36" s="803">
        <v>31</v>
      </c>
      <c r="B36" s="804" t="s">
        <v>730</v>
      </c>
      <c r="C36" s="304" t="s">
        <v>653</v>
      </c>
      <c r="D36" s="805">
        <v>120</v>
      </c>
      <c r="E36" s="813"/>
      <c r="F36" s="258"/>
      <c r="G36">
        <v>1000</v>
      </c>
      <c r="H36" s="561">
        <f t="shared" si="0"/>
        <v>0</v>
      </c>
    </row>
    <row r="37" spans="1:8" ht="30.75" customHeight="1" thickBot="1">
      <c r="A37" s="803">
        <v>32</v>
      </c>
      <c r="B37" s="804" t="s">
        <v>658</v>
      </c>
      <c r="C37" s="304" t="s">
        <v>653</v>
      </c>
      <c r="D37" s="805">
        <v>240</v>
      </c>
      <c r="E37" s="813"/>
      <c r="F37" s="258"/>
      <c r="G37">
        <v>1000</v>
      </c>
      <c r="H37" s="561">
        <f t="shared" si="0"/>
        <v>0</v>
      </c>
    </row>
    <row r="38" spans="1:8" ht="45.75" customHeight="1" thickBot="1">
      <c r="A38" s="803">
        <v>33</v>
      </c>
      <c r="B38" s="804" t="s">
        <v>48</v>
      </c>
      <c r="C38" s="304" t="s">
        <v>653</v>
      </c>
      <c r="D38" s="805"/>
      <c r="E38" s="814">
        <v>150</v>
      </c>
      <c r="F38" s="258"/>
      <c r="G38">
        <v>1000</v>
      </c>
      <c r="H38" s="561">
        <f t="shared" si="0"/>
        <v>150000</v>
      </c>
    </row>
    <row r="39" spans="1:8" ht="30.75" customHeight="1" thickBot="1">
      <c r="A39" s="803">
        <v>34</v>
      </c>
      <c r="B39" s="804" t="s">
        <v>655</v>
      </c>
      <c r="C39" s="304" t="s">
        <v>653</v>
      </c>
      <c r="D39" s="805">
        <v>130</v>
      </c>
      <c r="E39" s="815"/>
      <c r="F39" s="258"/>
      <c r="G39">
        <v>1000</v>
      </c>
      <c r="H39" s="561">
        <f t="shared" si="0"/>
        <v>0</v>
      </c>
    </row>
    <row r="40" spans="1:8" ht="30.75" customHeight="1" thickBot="1">
      <c r="A40" s="803">
        <v>35</v>
      </c>
      <c r="B40" s="804" t="s">
        <v>731</v>
      </c>
      <c r="C40" s="304" t="s">
        <v>653</v>
      </c>
      <c r="D40" s="805">
        <v>120</v>
      </c>
      <c r="E40" s="815"/>
      <c r="F40" s="258"/>
      <c r="G40">
        <v>1000</v>
      </c>
      <c r="H40" s="561">
        <f t="shared" si="0"/>
        <v>0</v>
      </c>
    </row>
    <row r="41" spans="1:8" ht="45.75" customHeight="1" thickBot="1">
      <c r="A41" s="803">
        <v>36</v>
      </c>
      <c r="B41" s="804" t="s">
        <v>138</v>
      </c>
      <c r="C41" s="304" t="s">
        <v>653</v>
      </c>
      <c r="D41" s="805"/>
      <c r="E41" s="814">
        <v>60</v>
      </c>
      <c r="F41" s="258"/>
      <c r="G41">
        <v>1000</v>
      </c>
      <c r="H41" s="561">
        <f t="shared" si="0"/>
        <v>60000</v>
      </c>
    </row>
    <row r="42" spans="1:8" ht="30.75" customHeight="1" thickBot="1">
      <c r="A42" s="803">
        <v>37</v>
      </c>
      <c r="B42" s="804" t="s">
        <v>46</v>
      </c>
      <c r="C42" s="304" t="s">
        <v>653</v>
      </c>
      <c r="D42" s="805"/>
      <c r="E42" s="814">
        <v>30</v>
      </c>
      <c r="F42" s="258"/>
      <c r="G42">
        <v>1000</v>
      </c>
      <c r="H42" s="561">
        <f t="shared" si="0"/>
        <v>30000</v>
      </c>
    </row>
    <row r="43" spans="1:8" ht="45.75" customHeight="1" thickBot="1">
      <c r="A43" s="803">
        <v>38</v>
      </c>
      <c r="B43" s="804" t="s">
        <v>215</v>
      </c>
      <c r="C43" s="304" t="s">
        <v>653</v>
      </c>
      <c r="D43" s="805"/>
      <c r="E43" s="814">
        <v>60</v>
      </c>
      <c r="F43" s="258"/>
      <c r="G43">
        <v>1000</v>
      </c>
      <c r="H43" s="561">
        <f t="shared" si="0"/>
        <v>60000</v>
      </c>
    </row>
    <row r="44" spans="1:8" ht="30.75" customHeight="1" thickBot="1">
      <c r="A44" s="803">
        <v>39</v>
      </c>
      <c r="B44" s="804" t="s">
        <v>659</v>
      </c>
      <c r="C44" s="304" t="s">
        <v>653</v>
      </c>
      <c r="D44" s="805">
        <v>210</v>
      </c>
      <c r="E44" s="815"/>
      <c r="F44" s="258"/>
      <c r="G44">
        <v>1000</v>
      </c>
      <c r="H44" s="561">
        <f t="shared" si="0"/>
        <v>0</v>
      </c>
    </row>
    <row r="45" spans="1:8" ht="45.75" customHeight="1" thickBot="1">
      <c r="A45" s="803">
        <v>40</v>
      </c>
      <c r="B45" s="804" t="s">
        <v>656</v>
      </c>
      <c r="C45" s="304" t="s">
        <v>653</v>
      </c>
      <c r="D45" s="805">
        <v>70</v>
      </c>
      <c r="E45" s="815"/>
      <c r="F45" s="258"/>
      <c r="G45">
        <v>1000</v>
      </c>
      <c r="H45" s="561">
        <f t="shared" si="0"/>
        <v>0</v>
      </c>
    </row>
    <row r="46" spans="1:8" ht="30.75" customHeight="1" thickBot="1">
      <c r="A46" s="803">
        <v>41</v>
      </c>
      <c r="B46" s="804" t="s">
        <v>146</v>
      </c>
      <c r="C46" s="304" t="s">
        <v>653</v>
      </c>
      <c r="D46" s="805"/>
      <c r="E46" s="814">
        <v>30</v>
      </c>
      <c r="F46" s="258"/>
      <c r="G46">
        <v>1000</v>
      </c>
      <c r="H46" s="561">
        <f t="shared" si="0"/>
        <v>30000</v>
      </c>
    </row>
    <row r="47" spans="1:8" ht="45.75" customHeight="1" thickBot="1">
      <c r="A47" s="803">
        <v>42</v>
      </c>
      <c r="B47" s="804" t="s">
        <v>672</v>
      </c>
      <c r="C47" s="304" t="s">
        <v>668</v>
      </c>
      <c r="D47" s="805">
        <v>180</v>
      </c>
      <c r="E47" s="815"/>
      <c r="F47" s="258"/>
      <c r="G47">
        <v>1000</v>
      </c>
      <c r="H47" s="561">
        <f t="shared" si="0"/>
        <v>0</v>
      </c>
    </row>
    <row r="48" spans="1:8" ht="45.75" customHeight="1" thickBot="1">
      <c r="A48" s="803">
        <v>43</v>
      </c>
      <c r="B48" s="804" t="s">
        <v>732</v>
      </c>
      <c r="C48" s="304" t="s">
        <v>668</v>
      </c>
      <c r="D48" s="805">
        <v>60</v>
      </c>
      <c r="E48" s="815"/>
      <c r="F48" s="258"/>
      <c r="G48">
        <v>1000</v>
      </c>
      <c r="H48" s="561">
        <f t="shared" si="0"/>
        <v>0</v>
      </c>
    </row>
    <row r="49" spans="1:8" ht="30.75" customHeight="1" thickBot="1">
      <c r="A49" s="803">
        <v>44</v>
      </c>
      <c r="B49" s="804" t="s">
        <v>693</v>
      </c>
      <c r="C49" s="304" t="s">
        <v>668</v>
      </c>
      <c r="D49" s="805">
        <v>240</v>
      </c>
      <c r="E49" s="815"/>
      <c r="F49" s="258"/>
      <c r="G49">
        <v>1000</v>
      </c>
      <c r="H49" s="561">
        <f t="shared" si="0"/>
        <v>0</v>
      </c>
    </row>
    <row r="50" spans="1:8" ht="60.75" customHeight="1" thickBot="1">
      <c r="A50" s="803">
        <v>45</v>
      </c>
      <c r="B50" s="804" t="s">
        <v>692</v>
      </c>
      <c r="C50" s="304" t="s">
        <v>668</v>
      </c>
      <c r="D50" s="805">
        <v>250</v>
      </c>
      <c r="E50" s="815"/>
      <c r="F50" s="258"/>
      <c r="G50">
        <v>1000</v>
      </c>
      <c r="H50" s="561">
        <f t="shared" si="0"/>
        <v>0</v>
      </c>
    </row>
    <row r="51" spans="1:8" ht="45.75" customHeight="1" thickBot="1">
      <c r="A51" s="803">
        <v>46</v>
      </c>
      <c r="B51" s="804" t="s">
        <v>670</v>
      </c>
      <c r="C51" s="304" t="s">
        <v>668</v>
      </c>
      <c r="D51" s="805">
        <v>260</v>
      </c>
      <c r="E51" s="815"/>
      <c r="F51" s="258"/>
      <c r="G51">
        <v>1000</v>
      </c>
      <c r="H51" s="561">
        <f t="shared" si="0"/>
        <v>0</v>
      </c>
    </row>
    <row r="52" spans="1:8" ht="30.75" customHeight="1" thickBot="1">
      <c r="A52" s="803">
        <v>47</v>
      </c>
      <c r="B52" s="804" t="s">
        <v>72</v>
      </c>
      <c r="C52" s="304" t="s">
        <v>674</v>
      </c>
      <c r="D52" s="805"/>
      <c r="E52" s="814">
        <v>100</v>
      </c>
      <c r="F52" s="258"/>
      <c r="G52">
        <v>1000</v>
      </c>
      <c r="H52" s="561">
        <f t="shared" si="0"/>
        <v>100000</v>
      </c>
    </row>
    <row r="53" spans="1:8" ht="45.75" customHeight="1" thickBot="1">
      <c r="A53" s="803">
        <v>48</v>
      </c>
      <c r="B53" s="804" t="s">
        <v>675</v>
      </c>
      <c r="C53" s="304" t="s">
        <v>674</v>
      </c>
      <c r="D53" s="805">
        <v>70</v>
      </c>
      <c r="E53" s="815"/>
      <c r="F53" s="258"/>
      <c r="G53">
        <v>1000</v>
      </c>
      <c r="H53" s="561">
        <f t="shared" si="0"/>
        <v>0</v>
      </c>
    </row>
    <row r="54" spans="1:8" ht="45.75" customHeight="1" thickBot="1">
      <c r="A54" s="803">
        <v>49</v>
      </c>
      <c r="B54" s="804" t="s">
        <v>150</v>
      </c>
      <c r="C54" s="304" t="s">
        <v>674</v>
      </c>
      <c r="D54" s="805"/>
      <c r="E54" s="814">
        <v>50</v>
      </c>
      <c r="F54" s="258"/>
      <c r="G54">
        <v>1000</v>
      </c>
      <c r="H54" s="561">
        <f t="shared" si="0"/>
        <v>50000</v>
      </c>
    </row>
    <row r="55" spans="1:8" ht="45.75" customHeight="1" thickBot="1">
      <c r="A55" s="803">
        <v>50</v>
      </c>
      <c r="B55" s="804" t="s">
        <v>182</v>
      </c>
      <c r="C55" s="304" t="s">
        <v>674</v>
      </c>
      <c r="D55" s="805"/>
      <c r="E55" s="814">
        <v>60</v>
      </c>
      <c r="F55" s="258"/>
      <c r="G55">
        <v>1000</v>
      </c>
      <c r="H55" s="561">
        <f t="shared" si="0"/>
        <v>60000</v>
      </c>
    </row>
    <row r="56" spans="1:8" ht="30.75" customHeight="1" thickBot="1">
      <c r="A56" s="803">
        <v>51</v>
      </c>
      <c r="B56" s="804" t="s">
        <v>741</v>
      </c>
      <c r="C56" s="304" t="s">
        <v>674</v>
      </c>
      <c r="D56" s="805">
        <v>100</v>
      </c>
      <c r="E56" s="815"/>
      <c r="F56" s="258"/>
      <c r="G56">
        <v>1000</v>
      </c>
      <c r="H56" s="561">
        <f t="shared" si="0"/>
        <v>0</v>
      </c>
    </row>
    <row r="57" spans="1:8" ht="16.5" thickBot="1">
      <c r="A57" s="803">
        <v>52</v>
      </c>
      <c r="B57" s="804" t="s">
        <v>149</v>
      </c>
      <c r="C57" s="304" t="s">
        <v>674</v>
      </c>
      <c r="D57" s="805"/>
      <c r="E57" s="814">
        <v>260</v>
      </c>
      <c r="F57" s="258"/>
      <c r="G57">
        <v>1000</v>
      </c>
      <c r="H57" s="561">
        <f t="shared" si="0"/>
        <v>260000</v>
      </c>
    </row>
    <row r="58" spans="1:8" ht="32.25" thickBot="1">
      <c r="A58" s="401" t="s">
        <v>676</v>
      </c>
      <c r="B58" s="402"/>
      <c r="C58" s="336"/>
      <c r="D58" s="389" t="s">
        <v>1289</v>
      </c>
      <c r="E58" s="816" t="s">
        <v>1290</v>
      </c>
      <c r="F58" s="816" t="s">
        <v>1304</v>
      </c>
      <c r="G58" s="816" t="s">
        <v>1305</v>
      </c>
      <c r="H58" s="816" t="s">
        <v>1306</v>
      </c>
    </row>
    <row r="59" spans="1:8" ht="16.5" customHeight="1" thickBot="1">
      <c r="A59" s="821" t="s">
        <v>753</v>
      </c>
      <c r="B59" s="822"/>
      <c r="C59" s="260"/>
      <c r="D59" s="823" t="s">
        <v>1291</v>
      </c>
      <c r="E59" s="824"/>
      <c r="F59" s="806"/>
      <c r="G59">
        <v>1000</v>
      </c>
      <c r="H59" s="561">
        <f t="shared" si="0"/>
        <v>0</v>
      </c>
    </row>
    <row r="60" spans="1:8" ht="15.75">
      <c r="A60" s="365" t="s">
        <v>1292</v>
      </c>
      <c r="G60">
        <v>1000</v>
      </c>
      <c r="H60" s="561">
        <f t="shared" si="0"/>
        <v>0</v>
      </c>
    </row>
    <row r="61" spans="1:8" ht="16.5">
      <c r="A61" s="611"/>
      <c r="G61">
        <v>1000</v>
      </c>
      <c r="H61" s="561">
        <f t="shared" si="0"/>
        <v>0</v>
      </c>
    </row>
    <row r="62" spans="1:8" ht="16.5">
      <c r="A62" s="611"/>
      <c r="G62">
        <v>1000</v>
      </c>
      <c r="H62" s="561">
        <f t="shared" si="0"/>
        <v>0</v>
      </c>
    </row>
    <row r="63" spans="1:8" ht="110.25" customHeight="1">
      <c r="A63" s="594" t="s">
        <v>111</v>
      </c>
      <c r="B63" s="247" t="s">
        <v>932</v>
      </c>
      <c r="G63">
        <v>1000</v>
      </c>
      <c r="H63" s="561">
        <f t="shared" si="0"/>
        <v>0</v>
      </c>
    </row>
    <row r="64" spans="1:8" ht="82.5">
      <c r="A64" s="594" t="s">
        <v>113</v>
      </c>
      <c r="B64" s="588" t="s">
        <v>114</v>
      </c>
      <c r="G64">
        <v>1000</v>
      </c>
      <c r="H64" s="561">
        <f t="shared" si="0"/>
        <v>0</v>
      </c>
    </row>
    <row r="65" spans="1:8" ht="33">
      <c r="A65" s="588" t="s">
        <v>1167</v>
      </c>
      <c r="B65" s="248"/>
      <c r="G65">
        <v>1000</v>
      </c>
      <c r="H65" s="561">
        <f t="shared" si="0"/>
        <v>0</v>
      </c>
    </row>
    <row r="66" spans="1:8" ht="99">
      <c r="A66" s="588" t="s">
        <v>116</v>
      </c>
      <c r="B66" s="248"/>
      <c r="G66">
        <v>1000</v>
      </c>
      <c r="H66" s="561">
        <f t="shared" si="0"/>
        <v>0</v>
      </c>
    </row>
    <row r="67" spans="1:8" ht="16.5">
      <c r="A67" s="246"/>
      <c r="B67" s="248"/>
      <c r="G67">
        <v>1000</v>
      </c>
      <c r="H67" s="561">
        <f t="shared" si="0"/>
        <v>0</v>
      </c>
    </row>
    <row r="68" spans="1:8" ht="16.5">
      <c r="A68" s="123" t="s">
        <v>1293</v>
      </c>
      <c r="G68">
        <v>1000</v>
      </c>
      <c r="H68" s="561">
        <f t="shared" si="0"/>
        <v>0</v>
      </c>
    </row>
    <row r="69" spans="1:8" ht="16.5">
      <c r="A69" s="123" t="s">
        <v>1294</v>
      </c>
      <c r="G69">
        <v>1000</v>
      </c>
      <c r="H69" s="561">
        <f t="shared" si="0"/>
        <v>0</v>
      </c>
    </row>
    <row r="70" spans="1:8" ht="16.5">
      <c r="A70" s="123" t="s">
        <v>1242</v>
      </c>
      <c r="G70">
        <v>1000</v>
      </c>
      <c r="H70" s="561">
        <f t="shared" si="0"/>
        <v>0</v>
      </c>
    </row>
    <row r="71" spans="1:8" ht="16.5" thickBot="1">
      <c r="A71" s="365" t="s">
        <v>1295</v>
      </c>
      <c r="G71">
        <v>1000</v>
      </c>
      <c r="H71" s="561">
        <f t="shared" ref="H71:H129" si="1">E71*G71</f>
        <v>0</v>
      </c>
    </row>
    <row r="72" spans="1:8" ht="33" customHeight="1" thickBot="1">
      <c r="A72" s="802" t="s">
        <v>0</v>
      </c>
      <c r="B72" s="802" t="s">
        <v>121</v>
      </c>
      <c r="C72" s="802" t="s">
        <v>632</v>
      </c>
      <c r="D72" s="818" t="s">
        <v>633</v>
      </c>
      <c r="E72" s="819"/>
      <c r="F72" s="802" t="s">
        <v>699</v>
      </c>
      <c r="G72">
        <v>1000</v>
      </c>
      <c r="H72" s="561">
        <f t="shared" si="1"/>
        <v>0</v>
      </c>
    </row>
    <row r="73" spans="1:8" ht="15.75" customHeight="1" thickBot="1">
      <c r="A73" s="820"/>
      <c r="B73" s="820"/>
      <c r="C73" s="820"/>
      <c r="D73" s="725" t="s">
        <v>739</v>
      </c>
      <c r="E73" s="809" t="s">
        <v>740</v>
      </c>
      <c r="F73" s="820"/>
      <c r="G73">
        <v>1000</v>
      </c>
      <c r="H73" s="561"/>
    </row>
    <row r="74" spans="1:8" ht="15.75" hidden="1" thickBot="1">
      <c r="A74" s="369">
        <v>1</v>
      </c>
      <c r="B74" s="237" t="s">
        <v>744</v>
      </c>
      <c r="C74" s="236" t="s">
        <v>636</v>
      </c>
      <c r="D74" s="292">
        <v>289.5</v>
      </c>
      <c r="E74" s="811"/>
      <c r="F74" s="239"/>
      <c r="G74">
        <v>1000</v>
      </c>
      <c r="H74" s="561">
        <f t="shared" si="1"/>
        <v>0</v>
      </c>
    </row>
    <row r="75" spans="1:8" ht="45.75" hidden="1" customHeight="1" thickBot="1">
      <c r="A75" s="369">
        <v>2</v>
      </c>
      <c r="B75" s="237" t="s">
        <v>637</v>
      </c>
      <c r="C75" s="236" t="s">
        <v>636</v>
      </c>
      <c r="D75" s="292">
        <v>60</v>
      </c>
      <c r="E75" s="811"/>
      <c r="F75" s="239"/>
      <c r="G75">
        <v>1000</v>
      </c>
      <c r="H75" s="561">
        <f t="shared" si="1"/>
        <v>0</v>
      </c>
    </row>
    <row r="76" spans="1:8" ht="60.75" hidden="1" customHeight="1" thickBot="1">
      <c r="A76" s="369">
        <v>3</v>
      </c>
      <c r="B76" s="237" t="s">
        <v>154</v>
      </c>
      <c r="C76" s="236" t="s">
        <v>636</v>
      </c>
      <c r="D76" s="292"/>
      <c r="E76" s="811">
        <v>93</v>
      </c>
      <c r="F76" s="239"/>
      <c r="G76">
        <v>1000</v>
      </c>
      <c r="H76" s="561">
        <f t="shared" si="1"/>
        <v>93000</v>
      </c>
    </row>
    <row r="77" spans="1:8" ht="30.75" hidden="1" customHeight="1" thickBot="1">
      <c r="A77" s="369">
        <v>4</v>
      </c>
      <c r="B77" s="237" t="s">
        <v>640</v>
      </c>
      <c r="C77" s="236" t="s">
        <v>636</v>
      </c>
      <c r="D77" s="292">
        <v>135</v>
      </c>
      <c r="E77" s="811"/>
      <c r="F77" s="239"/>
      <c r="G77">
        <v>1000</v>
      </c>
      <c r="H77" s="561">
        <f t="shared" si="1"/>
        <v>0</v>
      </c>
    </row>
    <row r="78" spans="1:8" ht="45.75" hidden="1" customHeight="1" thickBot="1">
      <c r="A78" s="369">
        <v>5</v>
      </c>
      <c r="B78" s="237" t="s">
        <v>638</v>
      </c>
      <c r="C78" s="236" t="s">
        <v>636</v>
      </c>
      <c r="D78" s="292">
        <v>165</v>
      </c>
      <c r="E78" s="811"/>
      <c r="F78" s="239"/>
      <c r="G78">
        <v>1000</v>
      </c>
      <c r="H78" s="561">
        <f t="shared" si="1"/>
        <v>0</v>
      </c>
    </row>
    <row r="79" spans="1:8" ht="45.75" hidden="1" customHeight="1" thickBot="1">
      <c r="A79" s="369">
        <v>6</v>
      </c>
      <c r="B79" s="237" t="s">
        <v>96</v>
      </c>
      <c r="C79" s="236" t="s">
        <v>636</v>
      </c>
      <c r="D79" s="292"/>
      <c r="E79" s="811">
        <v>37.5</v>
      </c>
      <c r="F79" s="239"/>
      <c r="G79">
        <v>1000</v>
      </c>
      <c r="H79" s="561">
        <f t="shared" si="1"/>
        <v>37500</v>
      </c>
    </row>
    <row r="80" spans="1:8" ht="45.75" hidden="1" customHeight="1" thickBot="1">
      <c r="A80" s="369">
        <v>7</v>
      </c>
      <c r="B80" s="237" t="s">
        <v>100</v>
      </c>
      <c r="C80" s="236" t="s">
        <v>636</v>
      </c>
      <c r="D80" s="292"/>
      <c r="E80" s="811">
        <v>21</v>
      </c>
      <c r="F80" s="239"/>
      <c r="G80">
        <v>1000</v>
      </c>
      <c r="H80" s="561">
        <f t="shared" si="1"/>
        <v>21000</v>
      </c>
    </row>
    <row r="81" spans="1:8" ht="30.75" hidden="1" customHeight="1" thickBot="1">
      <c r="A81" s="369">
        <v>8</v>
      </c>
      <c r="B81" s="237" t="s">
        <v>98</v>
      </c>
      <c r="C81" s="236" t="s">
        <v>636</v>
      </c>
      <c r="D81" s="292"/>
      <c r="E81" s="811">
        <v>60</v>
      </c>
      <c r="F81" s="239"/>
      <c r="G81">
        <v>1000</v>
      </c>
      <c r="H81" s="561">
        <f t="shared" si="1"/>
        <v>60000</v>
      </c>
    </row>
    <row r="82" spans="1:8" ht="45.75" hidden="1" customHeight="1" thickBot="1">
      <c r="A82" s="369">
        <v>9</v>
      </c>
      <c r="B82" s="237" t="s">
        <v>755</v>
      </c>
      <c r="C82" s="236" t="s">
        <v>642</v>
      </c>
      <c r="D82" s="292">
        <v>42</v>
      </c>
      <c r="E82" s="811"/>
      <c r="F82" s="239"/>
      <c r="G82">
        <v>1000</v>
      </c>
      <c r="H82" s="561">
        <f t="shared" si="1"/>
        <v>0</v>
      </c>
    </row>
    <row r="83" spans="1:8" ht="45.75" hidden="1" customHeight="1" thickBot="1">
      <c r="A83" s="369">
        <v>10</v>
      </c>
      <c r="B83" s="237" t="s">
        <v>715</v>
      </c>
      <c r="C83" s="236" t="s">
        <v>642</v>
      </c>
      <c r="D83" s="292">
        <v>93.75</v>
      </c>
      <c r="E83" s="811"/>
      <c r="F83" s="239"/>
      <c r="G83">
        <v>1000</v>
      </c>
      <c r="H83" s="561">
        <f t="shared" si="1"/>
        <v>0</v>
      </c>
    </row>
    <row r="84" spans="1:8" ht="30.75" hidden="1" customHeight="1" thickBot="1">
      <c r="A84" s="369">
        <v>11</v>
      </c>
      <c r="B84" s="237" t="s">
        <v>644</v>
      </c>
      <c r="C84" s="236" t="s">
        <v>642</v>
      </c>
      <c r="D84" s="292"/>
      <c r="E84" s="811">
        <v>95.4</v>
      </c>
      <c r="F84" s="239"/>
      <c r="G84">
        <v>1000</v>
      </c>
      <c r="H84" s="561">
        <f t="shared" si="1"/>
        <v>95400</v>
      </c>
    </row>
    <row r="85" spans="1:8" ht="45.75" hidden="1" customHeight="1" thickBot="1">
      <c r="A85" s="369">
        <v>12</v>
      </c>
      <c r="B85" s="237" t="s">
        <v>86</v>
      </c>
      <c r="C85" s="236" t="s">
        <v>642</v>
      </c>
      <c r="D85" s="292"/>
      <c r="E85" s="811">
        <v>84</v>
      </c>
      <c r="F85" s="239"/>
      <c r="G85">
        <v>1000</v>
      </c>
      <c r="H85" s="561">
        <f t="shared" si="1"/>
        <v>84000</v>
      </c>
    </row>
    <row r="86" spans="1:8" ht="45.75" hidden="1" customHeight="1" thickBot="1">
      <c r="A86" s="369">
        <v>13</v>
      </c>
      <c r="B86" s="237" t="s">
        <v>647</v>
      </c>
      <c r="C86" s="236" t="s">
        <v>646</v>
      </c>
      <c r="D86" s="292">
        <v>28.5</v>
      </c>
      <c r="E86" s="811"/>
      <c r="F86" s="239"/>
      <c r="G86">
        <v>1000</v>
      </c>
      <c r="H86" s="561">
        <f t="shared" si="1"/>
        <v>0</v>
      </c>
    </row>
    <row r="87" spans="1:8" ht="45.75" hidden="1" customHeight="1" thickBot="1">
      <c r="A87" s="369">
        <v>14</v>
      </c>
      <c r="B87" s="237" t="s">
        <v>282</v>
      </c>
      <c r="C87" s="236" t="s">
        <v>646</v>
      </c>
      <c r="D87" s="292"/>
      <c r="E87" s="811">
        <v>190.8</v>
      </c>
      <c r="F87" s="239"/>
      <c r="G87">
        <v>1000</v>
      </c>
      <c r="H87" s="561">
        <f t="shared" si="1"/>
        <v>190800</v>
      </c>
    </row>
    <row r="88" spans="1:8" ht="45.75" hidden="1" customHeight="1" thickBot="1">
      <c r="A88" s="369">
        <v>15</v>
      </c>
      <c r="B88" s="237" t="s">
        <v>686</v>
      </c>
      <c r="C88" s="236" t="s">
        <v>649</v>
      </c>
      <c r="D88" s="292">
        <v>30</v>
      </c>
      <c r="E88" s="811"/>
      <c r="F88" s="239"/>
      <c r="G88">
        <v>1000</v>
      </c>
      <c r="H88" s="561">
        <f t="shared" si="1"/>
        <v>0</v>
      </c>
    </row>
    <row r="89" spans="1:8" ht="30.75" hidden="1" customHeight="1" thickBot="1">
      <c r="A89" s="369">
        <v>16</v>
      </c>
      <c r="B89" s="237" t="s">
        <v>152</v>
      </c>
      <c r="C89" s="236" t="s">
        <v>649</v>
      </c>
      <c r="D89" s="292"/>
      <c r="E89" s="811" t="s">
        <v>1296</v>
      </c>
      <c r="F89" s="239"/>
      <c r="G89">
        <v>1000</v>
      </c>
      <c r="H89" s="561">
        <v>1575000</v>
      </c>
    </row>
    <row r="90" spans="1:8" ht="45.75" hidden="1" customHeight="1" thickBot="1">
      <c r="A90" s="369">
        <v>17</v>
      </c>
      <c r="B90" s="237" t="s">
        <v>685</v>
      </c>
      <c r="C90" s="236" t="s">
        <v>649</v>
      </c>
      <c r="D90" s="292">
        <v>30</v>
      </c>
      <c r="E90" s="811"/>
      <c r="F90" s="239"/>
      <c r="G90">
        <v>1000</v>
      </c>
      <c r="H90" s="561">
        <f t="shared" si="1"/>
        <v>0</v>
      </c>
    </row>
    <row r="91" spans="1:8" ht="30.75" hidden="1" customHeight="1" thickBot="1">
      <c r="A91" s="369">
        <v>18</v>
      </c>
      <c r="B91" s="237" t="s">
        <v>187</v>
      </c>
      <c r="C91" s="236" t="s">
        <v>649</v>
      </c>
      <c r="D91" s="292"/>
      <c r="E91" s="811" t="s">
        <v>1297</v>
      </c>
      <c r="F91" s="239"/>
      <c r="G91">
        <v>1000</v>
      </c>
      <c r="H91" s="561">
        <v>1087500</v>
      </c>
    </row>
    <row r="92" spans="1:8" ht="45.75" hidden="1" customHeight="1" thickBot="1">
      <c r="A92" s="369">
        <v>19</v>
      </c>
      <c r="B92" s="237" t="s">
        <v>81</v>
      </c>
      <c r="C92" s="236" t="s">
        <v>649</v>
      </c>
      <c r="D92" s="292"/>
      <c r="E92" s="811">
        <v>21</v>
      </c>
      <c r="F92" s="239"/>
      <c r="G92">
        <v>1000</v>
      </c>
      <c r="H92" s="561">
        <f t="shared" si="1"/>
        <v>21000</v>
      </c>
    </row>
    <row r="93" spans="1:8" ht="45.75" hidden="1" customHeight="1" thickBot="1">
      <c r="A93" s="369">
        <v>20</v>
      </c>
      <c r="B93" s="237" t="s">
        <v>27</v>
      </c>
      <c r="C93" s="236" t="s">
        <v>649</v>
      </c>
      <c r="D93" s="292"/>
      <c r="E93" s="811">
        <v>21</v>
      </c>
      <c r="F93" s="239"/>
      <c r="G93">
        <v>1000</v>
      </c>
      <c r="H93" s="561">
        <f t="shared" si="1"/>
        <v>21000</v>
      </c>
    </row>
    <row r="94" spans="1:8" ht="45.75" hidden="1" customHeight="1" thickBot="1">
      <c r="A94" s="369">
        <v>21</v>
      </c>
      <c r="B94" s="237" t="s">
        <v>727</v>
      </c>
      <c r="C94" s="236" t="s">
        <v>650</v>
      </c>
      <c r="D94" s="292">
        <v>108</v>
      </c>
      <c r="E94" s="811"/>
      <c r="F94" s="239"/>
      <c r="G94">
        <v>1000</v>
      </c>
      <c r="H94" s="561">
        <f t="shared" si="1"/>
        <v>0</v>
      </c>
    </row>
    <row r="95" spans="1:8" ht="45.75" hidden="1" customHeight="1" thickBot="1">
      <c r="A95" s="369">
        <v>22</v>
      </c>
      <c r="B95" s="237" t="s">
        <v>728</v>
      </c>
      <c r="C95" s="236" t="s">
        <v>650</v>
      </c>
      <c r="D95" s="292">
        <v>75</v>
      </c>
      <c r="E95" s="811"/>
      <c r="F95" s="239"/>
      <c r="G95">
        <v>1000</v>
      </c>
      <c r="H95" s="561">
        <f t="shared" si="1"/>
        <v>0</v>
      </c>
    </row>
    <row r="96" spans="1:8" ht="30.75" hidden="1" customHeight="1" thickBot="1">
      <c r="A96" s="369">
        <v>23</v>
      </c>
      <c r="B96" s="237" t="s">
        <v>651</v>
      </c>
      <c r="C96" s="236" t="s">
        <v>650</v>
      </c>
      <c r="D96" s="292">
        <v>150</v>
      </c>
      <c r="E96" s="811"/>
      <c r="F96" s="239"/>
      <c r="G96">
        <v>1000</v>
      </c>
      <c r="H96" s="561">
        <f t="shared" si="1"/>
        <v>0</v>
      </c>
    </row>
    <row r="97" spans="1:8" ht="45.75" hidden="1" customHeight="1" thickBot="1">
      <c r="A97" s="369">
        <v>24</v>
      </c>
      <c r="B97" s="237" t="s">
        <v>83</v>
      </c>
      <c r="C97" s="236" t="s">
        <v>650</v>
      </c>
      <c r="D97" s="292"/>
      <c r="E97" s="811">
        <v>36</v>
      </c>
      <c r="F97" s="239"/>
      <c r="G97">
        <v>1000</v>
      </c>
      <c r="H97" s="561">
        <f t="shared" si="1"/>
        <v>36000</v>
      </c>
    </row>
    <row r="98" spans="1:8" ht="45.75" hidden="1" customHeight="1" thickBot="1">
      <c r="A98" s="369">
        <v>25</v>
      </c>
      <c r="B98" s="237" t="s">
        <v>269</v>
      </c>
      <c r="C98" s="236" t="s">
        <v>650</v>
      </c>
      <c r="D98" s="292"/>
      <c r="E98" s="811">
        <v>27</v>
      </c>
      <c r="F98" s="239"/>
      <c r="G98">
        <v>1000</v>
      </c>
      <c r="H98" s="561">
        <f t="shared" si="1"/>
        <v>27000</v>
      </c>
    </row>
    <row r="99" spans="1:8" ht="45.75" hidden="1" customHeight="1" thickBot="1">
      <c r="A99" s="369">
        <v>26</v>
      </c>
      <c r="B99" s="237" t="s">
        <v>752</v>
      </c>
      <c r="C99" s="236" t="s">
        <v>746</v>
      </c>
      <c r="D99" s="292"/>
      <c r="E99" s="811">
        <v>30</v>
      </c>
      <c r="F99" s="239"/>
      <c r="G99">
        <v>1000</v>
      </c>
      <c r="H99" s="561">
        <f t="shared" si="1"/>
        <v>30000</v>
      </c>
    </row>
    <row r="100" spans="1:8" ht="45.75" hidden="1" customHeight="1" thickBot="1">
      <c r="A100" s="369">
        <v>27</v>
      </c>
      <c r="B100" s="237" t="s">
        <v>660</v>
      </c>
      <c r="C100" s="236" t="s">
        <v>746</v>
      </c>
      <c r="D100" s="292">
        <v>732</v>
      </c>
      <c r="E100" s="811"/>
      <c r="F100" s="239"/>
      <c r="G100">
        <v>1000</v>
      </c>
      <c r="H100" s="561">
        <f t="shared" si="1"/>
        <v>0</v>
      </c>
    </row>
    <row r="101" spans="1:8" ht="30.75" hidden="1" customHeight="1" thickBot="1">
      <c r="A101" s="369">
        <v>28</v>
      </c>
      <c r="B101" s="237" t="s">
        <v>750</v>
      </c>
      <c r="C101" s="236" t="s">
        <v>746</v>
      </c>
      <c r="D101" s="292" t="s">
        <v>1298</v>
      </c>
      <c r="E101" s="811">
        <v>150</v>
      </c>
      <c r="F101" s="239"/>
      <c r="G101">
        <v>1000</v>
      </c>
      <c r="H101" s="561">
        <f t="shared" si="1"/>
        <v>150000</v>
      </c>
    </row>
    <row r="102" spans="1:8" ht="45.75" hidden="1" customHeight="1" thickBot="1">
      <c r="A102" s="369">
        <v>29</v>
      </c>
      <c r="B102" s="237" t="s">
        <v>662</v>
      </c>
      <c r="C102" s="236" t="s">
        <v>746</v>
      </c>
      <c r="D102" s="292">
        <v>54</v>
      </c>
      <c r="E102" s="811"/>
      <c r="F102" s="239"/>
      <c r="G102">
        <v>1000</v>
      </c>
      <c r="H102" s="561">
        <f t="shared" si="1"/>
        <v>0</v>
      </c>
    </row>
    <row r="103" spans="1:8" ht="45.75" hidden="1" customHeight="1" thickBot="1">
      <c r="A103" s="369">
        <v>30</v>
      </c>
      <c r="B103" s="237" t="s">
        <v>757</v>
      </c>
      <c r="C103" s="236" t="s">
        <v>756</v>
      </c>
      <c r="D103" s="292">
        <v>21</v>
      </c>
      <c r="E103" s="811"/>
      <c r="F103" s="239"/>
      <c r="G103">
        <v>1000</v>
      </c>
      <c r="H103" s="561">
        <f t="shared" si="1"/>
        <v>0</v>
      </c>
    </row>
    <row r="104" spans="1:8" ht="30.75" hidden="1" customHeight="1" thickBot="1">
      <c r="A104" s="807">
        <v>31</v>
      </c>
      <c r="B104" s="804" t="s">
        <v>146</v>
      </c>
      <c r="C104" s="304" t="s">
        <v>653</v>
      </c>
      <c r="D104" s="805"/>
      <c r="E104" s="814">
        <v>75</v>
      </c>
      <c r="F104" s="239"/>
      <c r="G104">
        <v>1000</v>
      </c>
      <c r="H104" s="561">
        <f t="shared" si="1"/>
        <v>75000</v>
      </c>
    </row>
    <row r="105" spans="1:8" ht="30.75" hidden="1" customHeight="1" thickBot="1">
      <c r="A105" s="807">
        <v>32</v>
      </c>
      <c r="B105" s="804" t="s">
        <v>731</v>
      </c>
      <c r="C105" s="304" t="s">
        <v>653</v>
      </c>
      <c r="D105" s="805">
        <v>300</v>
      </c>
      <c r="E105" s="814"/>
      <c r="F105" s="239"/>
      <c r="G105">
        <v>1000</v>
      </c>
      <c r="H105" s="561">
        <f t="shared" si="1"/>
        <v>0</v>
      </c>
    </row>
    <row r="106" spans="1:8" ht="45.75" hidden="1" customHeight="1" thickBot="1">
      <c r="A106" s="807">
        <v>33</v>
      </c>
      <c r="B106" s="804" t="s">
        <v>50</v>
      </c>
      <c r="C106" s="304" t="s">
        <v>653</v>
      </c>
      <c r="D106" s="805" t="s">
        <v>1299</v>
      </c>
      <c r="E106" s="814">
        <v>75</v>
      </c>
      <c r="F106" s="239"/>
      <c r="G106">
        <v>1000</v>
      </c>
      <c r="H106" s="561">
        <f t="shared" si="1"/>
        <v>75000</v>
      </c>
    </row>
    <row r="107" spans="1:8" ht="30.75" hidden="1" customHeight="1" thickBot="1">
      <c r="A107" s="807">
        <v>34</v>
      </c>
      <c r="B107" s="804" t="s">
        <v>659</v>
      </c>
      <c r="C107" s="304" t="s">
        <v>653</v>
      </c>
      <c r="D107" s="805">
        <v>108</v>
      </c>
      <c r="E107" s="814"/>
      <c r="F107" s="239"/>
      <c r="G107">
        <v>1000</v>
      </c>
      <c r="H107" s="561">
        <f t="shared" si="1"/>
        <v>0</v>
      </c>
    </row>
    <row r="108" spans="1:8" ht="45.75" hidden="1" customHeight="1" thickBot="1">
      <c r="A108" s="807">
        <v>35</v>
      </c>
      <c r="B108" s="804" t="s">
        <v>48</v>
      </c>
      <c r="C108" s="304" t="s">
        <v>653</v>
      </c>
      <c r="D108" s="805"/>
      <c r="E108" s="814">
        <v>21</v>
      </c>
      <c r="F108" s="239"/>
      <c r="G108">
        <v>1000</v>
      </c>
      <c r="H108" s="561">
        <f t="shared" si="1"/>
        <v>21000</v>
      </c>
    </row>
    <row r="109" spans="1:8" ht="45.75" hidden="1" customHeight="1" thickBot="1">
      <c r="A109" s="807">
        <v>36</v>
      </c>
      <c r="B109" s="804" t="s">
        <v>56</v>
      </c>
      <c r="C109" s="304" t="s">
        <v>653</v>
      </c>
      <c r="D109" s="805"/>
      <c r="E109" s="814">
        <v>150</v>
      </c>
      <c r="F109" s="239"/>
      <c r="G109">
        <v>1000</v>
      </c>
      <c r="H109" s="561">
        <f t="shared" si="1"/>
        <v>150000</v>
      </c>
    </row>
    <row r="110" spans="1:8" ht="45.75" hidden="1" customHeight="1" thickBot="1">
      <c r="A110" s="807">
        <v>37</v>
      </c>
      <c r="B110" s="804" t="s">
        <v>52</v>
      </c>
      <c r="C110" s="304" t="s">
        <v>653</v>
      </c>
      <c r="D110" s="805"/>
      <c r="E110" s="814">
        <v>60</v>
      </c>
      <c r="F110" s="239"/>
      <c r="G110">
        <v>1000</v>
      </c>
      <c r="H110" s="561">
        <f t="shared" si="1"/>
        <v>60000</v>
      </c>
    </row>
    <row r="111" spans="1:8" ht="45.75" customHeight="1" thickBot="1">
      <c r="A111" s="807">
        <v>38</v>
      </c>
      <c r="B111" s="804" t="s">
        <v>138</v>
      </c>
      <c r="C111" s="304" t="s">
        <v>653</v>
      </c>
      <c r="D111" s="805"/>
      <c r="E111" s="814">
        <v>63</v>
      </c>
      <c r="F111" s="239"/>
      <c r="G111">
        <v>1000</v>
      </c>
      <c r="H111" s="561">
        <f t="shared" si="1"/>
        <v>63000</v>
      </c>
    </row>
    <row r="112" spans="1:8" ht="45.75" hidden="1" customHeight="1" thickBot="1">
      <c r="A112" s="807">
        <v>39</v>
      </c>
      <c r="B112" s="804" t="s">
        <v>689</v>
      </c>
      <c r="C112" s="304" t="s">
        <v>653</v>
      </c>
      <c r="D112" s="805">
        <v>84</v>
      </c>
      <c r="E112" s="814"/>
      <c r="F112" s="239"/>
      <c r="G112">
        <v>1000</v>
      </c>
      <c r="H112" s="561">
        <f t="shared" si="1"/>
        <v>0</v>
      </c>
    </row>
    <row r="113" spans="1:8" ht="45.75" hidden="1" customHeight="1" thickBot="1">
      <c r="A113" s="807">
        <v>40</v>
      </c>
      <c r="B113" s="804" t="s">
        <v>730</v>
      </c>
      <c r="C113" s="304" t="s">
        <v>653</v>
      </c>
      <c r="D113" s="805">
        <v>48</v>
      </c>
      <c r="E113" s="814"/>
      <c r="F113" s="239"/>
      <c r="G113">
        <v>1000</v>
      </c>
      <c r="H113" s="561">
        <f t="shared" si="1"/>
        <v>0</v>
      </c>
    </row>
    <row r="114" spans="1:8" ht="45.75" hidden="1" customHeight="1" thickBot="1">
      <c r="A114" s="807">
        <v>41</v>
      </c>
      <c r="B114" s="804" t="s">
        <v>654</v>
      </c>
      <c r="C114" s="304" t="s">
        <v>653</v>
      </c>
      <c r="D114" s="805">
        <v>27</v>
      </c>
      <c r="E114" s="814"/>
      <c r="F114" s="239"/>
      <c r="G114">
        <v>1000</v>
      </c>
      <c r="H114" s="561">
        <f t="shared" si="1"/>
        <v>0</v>
      </c>
    </row>
    <row r="115" spans="1:8" ht="45.75" hidden="1" customHeight="1" thickBot="1">
      <c r="A115" s="807">
        <v>42</v>
      </c>
      <c r="B115" s="804" t="s">
        <v>690</v>
      </c>
      <c r="C115" s="304" t="s">
        <v>653</v>
      </c>
      <c r="D115" s="805"/>
      <c r="E115" s="814">
        <v>63</v>
      </c>
      <c r="F115" s="239"/>
      <c r="G115">
        <v>1000</v>
      </c>
      <c r="H115" s="561">
        <f t="shared" si="1"/>
        <v>63000</v>
      </c>
    </row>
    <row r="116" spans="1:8" ht="45.75" hidden="1" customHeight="1" thickBot="1">
      <c r="A116" s="807">
        <v>43</v>
      </c>
      <c r="B116" s="804" t="s">
        <v>215</v>
      </c>
      <c r="C116" s="304" t="s">
        <v>653</v>
      </c>
      <c r="D116" s="805"/>
      <c r="E116" s="814">
        <v>30</v>
      </c>
      <c r="F116" s="239"/>
      <c r="G116">
        <v>1000</v>
      </c>
      <c r="H116" s="561">
        <f t="shared" si="1"/>
        <v>30000</v>
      </c>
    </row>
    <row r="117" spans="1:8" ht="30.75" hidden="1" customHeight="1" thickBot="1">
      <c r="A117" s="807">
        <v>44</v>
      </c>
      <c r="B117" s="804" t="s">
        <v>147</v>
      </c>
      <c r="C117" s="304" t="s">
        <v>653</v>
      </c>
      <c r="D117" s="805"/>
      <c r="E117" s="814">
        <v>21</v>
      </c>
      <c r="F117" s="239"/>
      <c r="G117">
        <v>1000</v>
      </c>
      <c r="H117" s="561">
        <f t="shared" si="1"/>
        <v>21000</v>
      </c>
    </row>
    <row r="118" spans="1:8" ht="45.75" hidden="1" customHeight="1" thickBot="1">
      <c r="A118" s="807">
        <v>45</v>
      </c>
      <c r="B118" s="804" t="s">
        <v>39</v>
      </c>
      <c r="C118" s="304" t="s">
        <v>668</v>
      </c>
      <c r="D118" s="805"/>
      <c r="E118" s="814">
        <v>332.7</v>
      </c>
      <c r="F118" s="239"/>
      <c r="G118">
        <v>1000</v>
      </c>
      <c r="H118" s="561">
        <f t="shared" si="1"/>
        <v>332700</v>
      </c>
    </row>
    <row r="119" spans="1:8" ht="45.75" hidden="1" customHeight="1" thickBot="1">
      <c r="A119" s="807">
        <v>46</v>
      </c>
      <c r="B119" s="804" t="s">
        <v>262</v>
      </c>
      <c r="C119" s="304" t="s">
        <v>668</v>
      </c>
      <c r="D119" s="805"/>
      <c r="E119" s="814">
        <v>107.7</v>
      </c>
      <c r="F119" s="239"/>
      <c r="G119">
        <v>1000</v>
      </c>
      <c r="H119" s="561">
        <f t="shared" si="1"/>
        <v>107700</v>
      </c>
    </row>
    <row r="120" spans="1:8" ht="45.75" hidden="1" customHeight="1" thickBot="1">
      <c r="A120" s="807">
        <v>47</v>
      </c>
      <c r="B120" s="804" t="s">
        <v>669</v>
      </c>
      <c r="C120" s="304" t="s">
        <v>668</v>
      </c>
      <c r="D120" s="805">
        <v>42</v>
      </c>
      <c r="E120" s="814"/>
      <c r="F120" s="239"/>
      <c r="G120">
        <v>1000</v>
      </c>
      <c r="H120" s="561">
        <f t="shared" si="1"/>
        <v>0</v>
      </c>
    </row>
    <row r="121" spans="1:8" ht="60.75" hidden="1" customHeight="1" thickBot="1">
      <c r="A121" s="807">
        <v>48</v>
      </c>
      <c r="B121" s="804" t="s">
        <v>273</v>
      </c>
      <c r="C121" s="304" t="s">
        <v>668</v>
      </c>
      <c r="D121" s="805"/>
      <c r="E121" s="814">
        <v>75</v>
      </c>
      <c r="F121" s="239"/>
      <c r="G121">
        <v>1000</v>
      </c>
      <c r="H121" s="561">
        <f t="shared" si="1"/>
        <v>75000</v>
      </c>
    </row>
    <row r="122" spans="1:8" ht="30.75" hidden="1" customHeight="1" thickBot="1">
      <c r="A122" s="807">
        <v>49</v>
      </c>
      <c r="B122" s="804" t="s">
        <v>213</v>
      </c>
      <c r="C122" s="304" t="s">
        <v>668</v>
      </c>
      <c r="D122" s="805"/>
      <c r="E122" s="814">
        <v>47.7</v>
      </c>
      <c r="F122" s="239"/>
      <c r="G122">
        <v>1000</v>
      </c>
      <c r="H122" s="561">
        <f t="shared" si="1"/>
        <v>47700</v>
      </c>
    </row>
    <row r="123" spans="1:8" ht="45.75" hidden="1" customHeight="1" thickBot="1">
      <c r="A123" s="807">
        <v>50</v>
      </c>
      <c r="B123" s="804" t="s">
        <v>295</v>
      </c>
      <c r="C123" s="304" t="s">
        <v>668</v>
      </c>
      <c r="D123" s="805"/>
      <c r="E123" s="814">
        <v>101.7</v>
      </c>
      <c r="F123" s="239"/>
      <c r="G123">
        <v>1000</v>
      </c>
      <c r="H123" s="561">
        <f t="shared" si="1"/>
        <v>101700</v>
      </c>
    </row>
    <row r="124" spans="1:8" ht="45.75" hidden="1" customHeight="1" thickBot="1">
      <c r="A124" s="807">
        <v>51</v>
      </c>
      <c r="B124" s="804" t="s">
        <v>31</v>
      </c>
      <c r="C124" s="304" t="s">
        <v>668</v>
      </c>
      <c r="D124" s="805"/>
      <c r="E124" s="814">
        <v>51</v>
      </c>
      <c r="F124" s="239"/>
      <c r="G124">
        <v>1000</v>
      </c>
      <c r="H124" s="561">
        <f t="shared" si="1"/>
        <v>51000</v>
      </c>
    </row>
    <row r="125" spans="1:8" ht="45.75" hidden="1" customHeight="1" thickBot="1">
      <c r="A125" s="807">
        <v>52</v>
      </c>
      <c r="B125" s="804" t="s">
        <v>672</v>
      </c>
      <c r="C125" s="304" t="s">
        <v>668</v>
      </c>
      <c r="D125" s="805">
        <v>54</v>
      </c>
      <c r="E125" s="814"/>
      <c r="F125" s="239"/>
      <c r="G125">
        <v>1000</v>
      </c>
      <c r="H125" s="561">
        <f t="shared" si="1"/>
        <v>0</v>
      </c>
    </row>
    <row r="126" spans="1:8" ht="30.75" hidden="1" customHeight="1" thickBot="1">
      <c r="A126" s="807">
        <v>53</v>
      </c>
      <c r="B126" s="804" t="s">
        <v>742</v>
      </c>
      <c r="C126" s="304" t="s">
        <v>674</v>
      </c>
      <c r="D126" s="805">
        <v>792</v>
      </c>
      <c r="E126" s="814"/>
      <c r="F126" s="239"/>
      <c r="G126">
        <v>1000</v>
      </c>
      <c r="H126" s="561">
        <f t="shared" si="1"/>
        <v>0</v>
      </c>
    </row>
    <row r="127" spans="1:8" ht="45.75" hidden="1" customHeight="1" thickBot="1">
      <c r="A127" s="807">
        <v>54</v>
      </c>
      <c r="B127" s="804" t="s">
        <v>150</v>
      </c>
      <c r="C127" s="304" t="s">
        <v>674</v>
      </c>
      <c r="D127" s="805"/>
      <c r="E127" s="814">
        <v>21</v>
      </c>
      <c r="F127" s="239"/>
      <c r="G127">
        <v>1000</v>
      </c>
      <c r="H127" s="561">
        <f t="shared" si="1"/>
        <v>21000</v>
      </c>
    </row>
    <row r="128" spans="1:8" ht="30.75" hidden="1" customHeight="1" thickBot="1">
      <c r="A128" s="807">
        <v>55</v>
      </c>
      <c r="B128" s="804" t="s">
        <v>741</v>
      </c>
      <c r="C128" s="304" t="s">
        <v>674</v>
      </c>
      <c r="D128" s="805">
        <v>63</v>
      </c>
      <c r="E128" s="814"/>
      <c r="F128" s="239"/>
      <c r="G128">
        <v>1000</v>
      </c>
      <c r="H128" s="561">
        <f t="shared" si="1"/>
        <v>0</v>
      </c>
    </row>
    <row r="129" spans="1:8" ht="15.75" hidden="1" thickBot="1">
      <c r="A129" s="807">
        <v>56</v>
      </c>
      <c r="B129" s="804" t="s">
        <v>72</v>
      </c>
      <c r="C129" s="304" t="s">
        <v>674</v>
      </c>
      <c r="D129" s="805"/>
      <c r="E129" s="814">
        <v>270</v>
      </c>
      <c r="F129" s="239"/>
      <c r="G129">
        <v>1000</v>
      </c>
      <c r="H129" s="561">
        <f t="shared" si="1"/>
        <v>270000</v>
      </c>
    </row>
    <row r="130" spans="1:8" ht="29.25" hidden="1" thickBot="1">
      <c r="A130" s="700" t="s">
        <v>676</v>
      </c>
      <c r="B130" s="701"/>
      <c r="C130" s="318"/>
      <c r="D130" s="696" t="s">
        <v>1300</v>
      </c>
      <c r="E130" s="817" t="s">
        <v>1301</v>
      </c>
      <c r="F130" s="817" t="s">
        <v>1307</v>
      </c>
      <c r="G130" s="817" t="s">
        <v>1308</v>
      </c>
      <c r="H130" s="817" t="s">
        <v>1309</v>
      </c>
    </row>
    <row r="131" spans="1:8" ht="15.75" hidden="1" customHeight="1" thickBot="1">
      <c r="A131" s="825" t="s">
        <v>753</v>
      </c>
      <c r="B131" s="826"/>
      <c r="C131" s="241"/>
      <c r="D131" s="827" t="s">
        <v>1302</v>
      </c>
      <c r="E131" s="828"/>
      <c r="F131" s="808"/>
    </row>
    <row r="132" spans="1:8" hidden="1">
      <c r="A132" s="244" t="s">
        <v>1303</v>
      </c>
    </row>
    <row r="133" spans="1:8" ht="16.5">
      <c r="A133" s="611"/>
    </row>
    <row r="134" spans="1:8" ht="16.5">
      <c r="A134" s="611"/>
    </row>
    <row r="135" spans="1:8" ht="16.5">
      <c r="A135" s="250"/>
    </row>
  </sheetData>
  <autoFilter ref="A73:H132">
    <filterColumn colId="1">
      <filters>
        <filter val="Dương Thị Kim Thoa"/>
      </filters>
    </filterColumn>
  </autoFilter>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74"/>
  <sheetViews>
    <sheetView topLeftCell="A37" workbookViewId="0">
      <selection activeCell="H59" sqref="H59"/>
    </sheetView>
  </sheetViews>
  <sheetFormatPr defaultColWidth="11.140625" defaultRowHeight="16.5"/>
  <cols>
    <col min="1" max="1" width="9.42578125" style="520" customWidth="1"/>
    <col min="2" max="2" width="12.42578125" style="520" customWidth="1"/>
    <col min="3" max="3" width="20.140625" style="551" customWidth="1"/>
    <col min="4" max="6" width="19.85546875" style="551" customWidth="1"/>
    <col min="7" max="7" width="17.85546875" style="551" bestFit="1" customWidth="1"/>
    <col min="8" max="8" width="15.85546875" style="551" customWidth="1"/>
    <col min="9" max="9" width="21.28515625" style="551" customWidth="1"/>
    <col min="10" max="10" width="14.5703125" style="551" customWidth="1"/>
    <col min="11" max="11" width="16.85546875" style="551" bestFit="1" customWidth="1"/>
    <col min="12" max="12" width="18.7109375" style="551" customWidth="1"/>
    <col min="13" max="14" width="16" style="551" customWidth="1"/>
    <col min="15" max="17" width="14.5703125" style="551" customWidth="1"/>
    <col min="18" max="18" width="15" style="551" customWidth="1"/>
    <col min="19" max="19" width="9.85546875" style="551" customWidth="1"/>
    <col min="20" max="20" width="8.85546875" style="520" customWidth="1"/>
    <col min="21" max="21" width="17.42578125" style="611" customWidth="1"/>
    <col min="22" max="22" width="17.5703125" style="520" customWidth="1"/>
    <col min="23" max="26" width="18.140625" style="520" customWidth="1"/>
    <col min="27" max="27" width="17.140625" style="520" customWidth="1"/>
    <col min="28" max="29" width="11" style="520" customWidth="1"/>
    <col min="30" max="30" width="9.85546875" style="520" customWidth="1"/>
    <col min="31" max="31" width="12.7109375" style="520" bestFit="1" customWidth="1"/>
    <col min="32" max="32" width="11.140625" style="520" customWidth="1"/>
    <col min="33" max="33" width="12.140625" style="520" customWidth="1"/>
    <col min="34" max="34" width="19.7109375" style="520" customWidth="1"/>
    <col min="35" max="35" width="14.85546875" style="520" bestFit="1" customWidth="1"/>
    <col min="36" max="36" width="16.28515625" style="520" bestFit="1" customWidth="1"/>
    <col min="37" max="37" width="10.28515625" style="520" customWidth="1"/>
    <col min="38" max="38" width="15.85546875" style="520" bestFit="1" customWidth="1"/>
    <col min="39" max="39" width="18.5703125" style="520" bestFit="1" customWidth="1"/>
    <col min="40" max="40" width="8.5703125" style="520" bestFit="1" customWidth="1"/>
    <col min="41" max="41" width="24" style="520" bestFit="1" customWidth="1"/>
    <col min="42" max="42" width="18.5703125" style="520" bestFit="1" customWidth="1"/>
    <col min="43" max="43" width="18.42578125" style="520" bestFit="1" customWidth="1"/>
    <col min="44" max="44" width="19.7109375" style="520" customWidth="1"/>
    <col min="45" max="45" width="15.85546875" style="520" bestFit="1" customWidth="1"/>
    <col min="46" max="48" width="15.85546875" style="520" customWidth="1"/>
    <col min="49" max="49" width="11.140625" style="520" customWidth="1"/>
    <col min="50" max="50" width="11.5703125" style="520" bestFit="1" customWidth="1"/>
    <col min="51" max="52" width="11.140625" style="520" customWidth="1"/>
    <col min="53" max="53" width="11.5703125" style="520" bestFit="1" customWidth="1"/>
    <col min="54" max="55" width="11.140625" style="520" customWidth="1"/>
    <col min="56" max="56" width="19.7109375" style="520" bestFit="1" customWidth="1"/>
    <col min="57" max="59" width="18.85546875" style="520" bestFit="1" customWidth="1"/>
    <col min="60" max="60" width="15.85546875" style="520" bestFit="1" customWidth="1"/>
    <col min="61" max="61" width="18.42578125" style="520" bestFit="1" customWidth="1"/>
    <col min="62" max="62" width="21" style="520" bestFit="1" customWidth="1"/>
    <col min="63" max="63" width="19.7109375" style="520" bestFit="1" customWidth="1"/>
    <col min="64" max="65" width="11.140625" style="520" customWidth="1"/>
    <col min="66" max="66" width="15.85546875" style="520" bestFit="1" customWidth="1"/>
    <col min="67" max="68" width="17.5703125" style="520" bestFit="1" customWidth="1"/>
    <col min="69" max="69" width="14.5703125" style="520" bestFit="1" customWidth="1"/>
    <col min="70" max="70" width="16.7109375" style="520" customWidth="1"/>
    <col min="71" max="71" width="17.42578125" style="520" customWidth="1"/>
    <col min="72" max="72" width="17.85546875" style="520" customWidth="1"/>
    <col min="73" max="73" width="16.7109375" style="520" customWidth="1"/>
    <col min="74" max="74" width="23.5703125" style="520" bestFit="1" customWidth="1"/>
    <col min="75" max="75" width="15.85546875" style="520" bestFit="1" customWidth="1"/>
    <col min="76" max="77" width="14.85546875" style="520" bestFit="1" customWidth="1"/>
    <col min="78" max="16384" width="11.140625" style="520"/>
  </cols>
  <sheetData>
    <row r="1" spans="1:77" s="551" customFormat="1">
      <c r="A1" s="1505" t="s">
        <v>111</v>
      </c>
      <c r="B1" s="1505"/>
      <c r="C1" s="1505"/>
      <c r="D1" s="1505"/>
      <c r="E1" s="1505"/>
      <c r="F1" s="1505"/>
      <c r="G1" s="1505"/>
      <c r="H1" s="581"/>
      <c r="I1" s="581"/>
      <c r="J1" s="581"/>
      <c r="L1" s="582"/>
      <c r="O1" s="582"/>
      <c r="P1" s="582"/>
      <c r="Q1" s="582"/>
      <c r="R1" s="582"/>
      <c r="S1" s="582"/>
      <c r="U1" s="517"/>
      <c r="V1" s="1506" t="s">
        <v>932</v>
      </c>
      <c r="W1" s="1506"/>
      <c r="X1" s="1506"/>
      <c r="Y1" s="1506"/>
      <c r="Z1" s="1506"/>
      <c r="AA1" s="1506"/>
      <c r="AB1" s="1506"/>
      <c r="AC1" s="1506"/>
      <c r="AD1" s="1506"/>
      <c r="AE1" s="1506"/>
      <c r="AF1" s="1506"/>
      <c r="AG1" s="1506"/>
    </row>
    <row r="2" spans="1:77" s="551" customFormat="1">
      <c r="A2" s="1505" t="s">
        <v>113</v>
      </c>
      <c r="B2" s="1505"/>
      <c r="C2" s="1505"/>
      <c r="D2" s="1505"/>
      <c r="E2" s="1505"/>
      <c r="F2" s="1505"/>
      <c r="G2" s="1505"/>
      <c r="H2" s="581"/>
      <c r="I2" s="581"/>
      <c r="J2" s="581"/>
      <c r="L2" s="582"/>
      <c r="O2" s="582"/>
      <c r="P2" s="582"/>
      <c r="Q2" s="582"/>
      <c r="R2" s="582"/>
      <c r="S2" s="582"/>
      <c r="U2" s="517"/>
      <c r="V2" s="1506" t="s">
        <v>1333</v>
      </c>
      <c r="W2" s="1506"/>
      <c r="X2" s="1506"/>
      <c r="Y2" s="1506"/>
      <c r="Z2" s="1506"/>
      <c r="AA2" s="1506"/>
      <c r="AB2" s="1506"/>
      <c r="AC2" s="1506"/>
      <c r="AD2" s="1506"/>
      <c r="AE2" s="1506"/>
      <c r="AF2" s="1506"/>
      <c r="AG2" s="1506"/>
    </row>
    <row r="3" spans="1:77" s="551" customFormat="1">
      <c r="A3" s="1506" t="s">
        <v>115</v>
      </c>
      <c r="B3" s="1506"/>
      <c r="C3" s="1506"/>
      <c r="D3" s="1506"/>
      <c r="E3" s="1506"/>
      <c r="F3" s="1506"/>
      <c r="G3" s="1506"/>
      <c r="H3" s="583"/>
      <c r="I3" s="583"/>
      <c r="J3" s="583"/>
      <c r="K3" s="582"/>
      <c r="L3" s="582"/>
      <c r="U3" s="517"/>
    </row>
    <row r="4" spans="1:77" s="551" customFormat="1">
      <c r="A4" s="1506" t="s">
        <v>1334</v>
      </c>
      <c r="B4" s="1506"/>
      <c r="C4" s="1506"/>
      <c r="D4" s="1506"/>
      <c r="E4" s="1506"/>
      <c r="F4" s="1506"/>
      <c r="G4" s="1506"/>
      <c r="H4" s="583"/>
      <c r="I4" s="583"/>
      <c r="J4" s="583"/>
      <c r="K4" s="584"/>
      <c r="L4" s="584"/>
      <c r="U4" s="517"/>
    </row>
    <row r="5" spans="1:77" s="551" customFormat="1" ht="19.5">
      <c r="B5" s="585"/>
      <c r="C5" s="586"/>
      <c r="D5" s="586"/>
      <c r="E5" s="586"/>
      <c r="F5" s="586"/>
      <c r="G5" s="586"/>
      <c r="H5" s="586"/>
      <c r="I5" s="586"/>
      <c r="J5" s="586"/>
      <c r="K5" s="586"/>
      <c r="L5" s="586"/>
      <c r="M5" s="586"/>
      <c r="N5" s="586"/>
      <c r="O5" s="586"/>
      <c r="P5" s="586"/>
      <c r="Q5" s="586"/>
      <c r="R5" s="585" t="s">
        <v>1001</v>
      </c>
      <c r="S5" s="586"/>
      <c r="T5" s="586"/>
      <c r="U5" s="586"/>
      <c r="V5" s="586"/>
      <c r="W5" s="586"/>
      <c r="X5" s="586"/>
      <c r="Y5" s="586"/>
      <c r="Z5" s="586"/>
      <c r="AA5" s="586"/>
      <c r="AB5" s="586"/>
      <c r="AC5" s="586"/>
      <c r="AD5" s="586"/>
      <c r="AE5" s="586"/>
      <c r="AF5" s="586"/>
      <c r="AG5" s="586"/>
      <c r="AH5" s="586"/>
      <c r="AI5" s="586"/>
      <c r="AJ5" s="586"/>
      <c r="AK5" s="586"/>
      <c r="AL5" s="586"/>
    </row>
    <row r="6" spans="1:77" s="551" customFormat="1">
      <c r="B6" s="587"/>
      <c r="C6" s="583"/>
      <c r="D6" s="583"/>
      <c r="E6" s="583"/>
      <c r="F6" s="583"/>
      <c r="G6" s="583"/>
      <c r="H6" s="583"/>
      <c r="I6" s="583"/>
      <c r="J6" s="583"/>
      <c r="K6" s="583"/>
      <c r="R6" s="584" t="s">
        <v>1002</v>
      </c>
      <c r="S6" s="588">
        <v>5</v>
      </c>
      <c r="T6" s="583" t="s">
        <v>1003</v>
      </c>
      <c r="U6" s="589">
        <v>2024</v>
      </c>
    </row>
    <row r="7" spans="1:77" s="551" customFormat="1">
      <c r="A7" s="590" t="s">
        <v>1335</v>
      </c>
      <c r="B7" s="587"/>
      <c r="C7" s="583"/>
      <c r="D7" s="583"/>
      <c r="E7" s="583"/>
      <c r="F7" s="583"/>
      <c r="G7" s="583"/>
      <c r="H7" s="583"/>
      <c r="I7" s="583"/>
      <c r="J7" s="583"/>
      <c r="K7" s="583"/>
      <c r="R7" s="584"/>
      <c r="S7" s="588"/>
      <c r="T7" s="583"/>
      <c r="U7" s="589"/>
    </row>
    <row r="8" spans="1:77" s="588" customFormat="1" ht="17.25">
      <c r="A8" s="590" t="str">
        <f>"I. Phát sinh tháng "&amp;S6&amp;"/"&amp;U6</f>
        <v>I. Phát sinh tháng 5/2024</v>
      </c>
      <c r="B8" s="590"/>
      <c r="C8" s="583"/>
      <c r="D8" s="583"/>
      <c r="E8" s="583"/>
      <c r="F8" s="583"/>
      <c r="G8" s="583"/>
      <c r="H8" s="583"/>
      <c r="I8" s="583"/>
      <c r="J8" s="583"/>
      <c r="K8" s="583"/>
      <c r="L8" s="583"/>
      <c r="M8" s="583"/>
      <c r="N8" s="583"/>
      <c r="O8" s="583"/>
      <c r="P8" s="583"/>
      <c r="Q8" s="583"/>
      <c r="R8" s="583"/>
      <c r="S8" s="583"/>
      <c r="U8" s="591"/>
    </row>
    <row r="9" spans="1:77" s="588" customFormat="1" ht="16.5" customHeight="1">
      <c r="A9" s="1507" t="s">
        <v>0</v>
      </c>
      <c r="B9" s="1511" t="s">
        <v>632</v>
      </c>
      <c r="C9" s="1513" t="s">
        <v>1005</v>
      </c>
      <c r="D9" s="1514"/>
      <c r="E9" s="1515"/>
      <c r="F9" s="832"/>
      <c r="G9" s="832"/>
      <c r="H9" s="832"/>
      <c r="I9" s="832"/>
      <c r="J9" s="832"/>
      <c r="K9" s="832"/>
      <c r="L9" s="832"/>
      <c r="M9" s="832"/>
      <c r="N9" s="832"/>
      <c r="O9" s="832"/>
      <c r="P9" s="1517" t="s">
        <v>1016</v>
      </c>
      <c r="Q9" s="1517"/>
      <c r="R9" s="1517"/>
      <c r="S9" s="832"/>
      <c r="T9" s="832"/>
      <c r="U9" s="832"/>
      <c r="V9" s="832"/>
      <c r="W9" s="832"/>
      <c r="X9" s="1517" t="s">
        <v>1022</v>
      </c>
      <c r="Y9" s="1517"/>
      <c r="Z9" s="1517"/>
      <c r="AA9" s="1517"/>
      <c r="AB9" s="832"/>
      <c r="AC9" s="832"/>
      <c r="AD9" s="832"/>
      <c r="AE9" s="832"/>
      <c r="AF9" s="832"/>
      <c r="AG9" s="832"/>
      <c r="AH9" s="832"/>
      <c r="AI9" s="1507" t="s">
        <v>489</v>
      </c>
      <c r="AJ9" s="1507"/>
    </row>
    <row r="10" spans="1:77" s="594" customFormat="1" ht="66">
      <c r="A10" s="1508"/>
      <c r="B10" s="1512"/>
      <c r="C10" s="592" t="s">
        <v>1030</v>
      </c>
      <c r="D10" s="592" t="s">
        <v>1031</v>
      </c>
      <c r="E10" s="592" t="s">
        <v>1032</v>
      </c>
      <c r="F10" s="833" t="s">
        <v>1006</v>
      </c>
      <c r="G10" s="833" t="s">
        <v>1007</v>
      </c>
      <c r="H10" s="833" t="s">
        <v>1008</v>
      </c>
      <c r="I10" s="833" t="s">
        <v>1009</v>
      </c>
      <c r="J10" s="833" t="s">
        <v>1010</v>
      </c>
      <c r="K10" s="833" t="s">
        <v>1011</v>
      </c>
      <c r="L10" s="833" t="s">
        <v>1012</v>
      </c>
      <c r="M10" s="833" t="s">
        <v>1013</v>
      </c>
      <c r="N10" s="833" t="s">
        <v>1014</v>
      </c>
      <c r="O10" s="833" t="s">
        <v>1015</v>
      </c>
      <c r="P10" s="593" t="s">
        <v>1033</v>
      </c>
      <c r="Q10" s="593" t="s">
        <v>1034</v>
      </c>
      <c r="R10" s="593" t="s">
        <v>1035</v>
      </c>
      <c r="S10" s="833" t="s">
        <v>1017</v>
      </c>
      <c r="T10" s="833" t="s">
        <v>1018</v>
      </c>
      <c r="U10" s="833" t="s">
        <v>1019</v>
      </c>
      <c r="V10" s="833" t="s">
        <v>1020</v>
      </c>
      <c r="W10" s="833" t="s">
        <v>1021</v>
      </c>
      <c r="X10" s="593" t="s">
        <v>1036</v>
      </c>
      <c r="Y10" s="593" t="s">
        <v>1037</v>
      </c>
      <c r="Z10" s="593" t="s">
        <v>1038</v>
      </c>
      <c r="AA10" s="593" t="s">
        <v>1039</v>
      </c>
      <c r="AB10" s="833" t="s">
        <v>1023</v>
      </c>
      <c r="AC10" s="833" t="s">
        <v>1024</v>
      </c>
      <c r="AD10" s="833" t="s">
        <v>1025</v>
      </c>
      <c r="AE10" s="833" t="s">
        <v>1026</v>
      </c>
      <c r="AF10" s="833" t="s">
        <v>1027</v>
      </c>
      <c r="AG10" s="833" t="s">
        <v>1028</v>
      </c>
      <c r="AH10" s="833" t="s">
        <v>1029</v>
      </c>
      <c r="AI10" s="592" t="s">
        <v>1040</v>
      </c>
      <c r="AJ10" s="592" t="s">
        <v>1041</v>
      </c>
      <c r="AK10" s="588"/>
      <c r="AL10" s="588" t="s">
        <v>1336</v>
      </c>
      <c r="AM10" s="594" t="s">
        <v>1337</v>
      </c>
      <c r="AN10" s="588"/>
      <c r="AO10" s="834" t="s">
        <v>1338</v>
      </c>
      <c r="AP10" s="834" t="s">
        <v>1339</v>
      </c>
      <c r="AQ10" s="834" t="s">
        <v>1340</v>
      </c>
      <c r="AR10" s="834" t="s">
        <v>1341</v>
      </c>
      <c r="AS10" s="588" t="s">
        <v>1342</v>
      </c>
      <c r="AT10" s="588" t="s">
        <v>1343</v>
      </c>
      <c r="AU10" s="588"/>
      <c r="AV10" s="588" t="s">
        <v>199</v>
      </c>
      <c r="AX10" s="594" t="s">
        <v>1344</v>
      </c>
      <c r="AY10" s="594" t="s">
        <v>1340</v>
      </c>
      <c r="AZ10" s="594" t="s">
        <v>199</v>
      </c>
      <c r="BA10" s="594" t="s">
        <v>1345</v>
      </c>
      <c r="BB10" s="594" t="s">
        <v>1346</v>
      </c>
      <c r="BJ10" s="835" t="s">
        <v>1347</v>
      </c>
      <c r="BK10" s="594" t="s">
        <v>1009</v>
      </c>
    </row>
    <row r="11" spans="1:77" s="599" customFormat="1" ht="49.5">
      <c r="A11" s="595"/>
      <c r="B11" s="595"/>
      <c r="C11" s="596"/>
      <c r="D11" s="597"/>
      <c r="E11" s="596" t="s">
        <v>1042</v>
      </c>
      <c r="F11" s="836" t="s">
        <v>1043</v>
      </c>
      <c r="G11" s="597" t="s">
        <v>1044</v>
      </c>
      <c r="H11" s="597" t="s">
        <v>1045</v>
      </c>
      <c r="I11" s="597" t="s">
        <v>1046</v>
      </c>
      <c r="J11" s="597" t="s">
        <v>1073</v>
      </c>
      <c r="K11" s="597" t="s">
        <v>1048</v>
      </c>
      <c r="L11" s="597" t="s">
        <v>1049</v>
      </c>
      <c r="M11" s="597" t="s">
        <v>1050</v>
      </c>
      <c r="N11" s="597" t="s">
        <v>1051</v>
      </c>
      <c r="O11" s="597" t="s">
        <v>1052</v>
      </c>
      <c r="P11" s="597" t="s">
        <v>1053</v>
      </c>
      <c r="Q11" s="597" t="s">
        <v>1054</v>
      </c>
      <c r="R11" s="597" t="s">
        <v>1055</v>
      </c>
      <c r="S11" s="597" t="s">
        <v>1056</v>
      </c>
      <c r="T11" s="597" t="s">
        <v>1057</v>
      </c>
      <c r="U11" s="597" t="s">
        <v>1058</v>
      </c>
      <c r="V11" s="597" t="s">
        <v>1059</v>
      </c>
      <c r="W11" s="597" t="s">
        <v>1060</v>
      </c>
      <c r="X11" s="597" t="s">
        <v>1061</v>
      </c>
      <c r="Y11" s="597" t="s">
        <v>1062</v>
      </c>
      <c r="Z11" s="597" t="s">
        <v>1063</v>
      </c>
      <c r="AA11" s="597" t="s">
        <v>1064</v>
      </c>
      <c r="AB11" s="597" t="s">
        <v>1065</v>
      </c>
      <c r="AC11" s="597" t="s">
        <v>1066</v>
      </c>
      <c r="AD11" s="597" t="s">
        <v>1067</v>
      </c>
      <c r="AE11" s="597" t="s">
        <v>1068</v>
      </c>
      <c r="AF11" s="597"/>
      <c r="AG11" s="597" t="s">
        <v>1069</v>
      </c>
      <c r="AH11" s="598"/>
      <c r="AI11" s="597" t="s">
        <v>1070</v>
      </c>
      <c r="AJ11" s="597" t="s">
        <v>1071</v>
      </c>
      <c r="AK11" s="837"/>
      <c r="AL11" s="837"/>
      <c r="AO11" s="599" t="s">
        <v>1042</v>
      </c>
      <c r="AT11" s="838" t="s">
        <v>1348</v>
      </c>
      <c r="BD11" s="591" t="s">
        <v>1349</v>
      </c>
      <c r="BE11" s="591" t="s">
        <v>1349</v>
      </c>
      <c r="BF11" s="599" t="s">
        <v>1062</v>
      </c>
      <c r="BG11" s="599" t="s">
        <v>1350</v>
      </c>
      <c r="BH11" s="599" t="s">
        <v>1351</v>
      </c>
      <c r="BJ11" s="839" t="s">
        <v>1352</v>
      </c>
      <c r="BK11" s="599" t="s">
        <v>1353</v>
      </c>
    </row>
    <row r="12" spans="1:77" s="599" customFormat="1" ht="33">
      <c r="A12" s="595"/>
      <c r="B12" s="595"/>
      <c r="C12" s="597"/>
      <c r="D12" s="597"/>
      <c r="E12" s="597" t="s">
        <v>1072</v>
      </c>
      <c r="F12" s="597"/>
      <c r="G12" s="597"/>
      <c r="H12" s="597"/>
      <c r="I12" s="597"/>
      <c r="J12" s="597"/>
      <c r="K12" s="597" t="s">
        <v>1354</v>
      </c>
      <c r="L12" s="597"/>
      <c r="M12" s="597"/>
      <c r="N12" s="597" t="s">
        <v>1074</v>
      </c>
      <c r="O12" s="597" t="s">
        <v>1075</v>
      </c>
      <c r="P12" s="597"/>
      <c r="Q12" s="597" t="s">
        <v>1076</v>
      </c>
      <c r="R12" s="597"/>
      <c r="S12" s="597"/>
      <c r="T12" s="597"/>
      <c r="U12" s="597"/>
      <c r="V12" s="597"/>
      <c r="W12" s="597"/>
      <c r="X12" s="597"/>
      <c r="Y12" s="597" t="s">
        <v>1077</v>
      </c>
      <c r="Z12" s="597"/>
      <c r="AA12" s="597"/>
      <c r="AB12" s="597"/>
      <c r="AC12" s="597"/>
      <c r="AD12" s="597"/>
      <c r="AE12" s="597"/>
      <c r="AF12" s="597"/>
      <c r="AG12" s="597"/>
      <c r="AH12" s="598"/>
      <c r="AI12" s="597"/>
      <c r="AJ12" s="597"/>
      <c r="AK12" s="837"/>
      <c r="AL12" s="837"/>
      <c r="BD12" s="591"/>
      <c r="BE12" s="599" t="s">
        <v>1355</v>
      </c>
      <c r="BJ12" s="839"/>
      <c r="BK12" s="839"/>
    </row>
    <row r="13" spans="1:77" s="599" customFormat="1" ht="33">
      <c r="A13" s="595"/>
      <c r="B13" s="595"/>
      <c r="C13" s="597"/>
      <c r="D13" s="597"/>
      <c r="E13" s="597"/>
      <c r="F13" s="597"/>
      <c r="G13" s="597"/>
      <c r="H13" s="597"/>
      <c r="I13" s="597"/>
      <c r="J13" s="597"/>
      <c r="K13" s="597"/>
      <c r="L13" s="597"/>
      <c r="M13" s="597"/>
      <c r="N13" s="597" t="s">
        <v>1078</v>
      </c>
      <c r="O13" s="597" t="s">
        <v>1079</v>
      </c>
      <c r="P13" s="597"/>
      <c r="Q13" s="597" t="s">
        <v>1080</v>
      </c>
      <c r="R13" s="597"/>
      <c r="S13" s="597"/>
      <c r="T13" s="597"/>
      <c r="U13" s="597"/>
      <c r="V13" s="597"/>
      <c r="W13" s="597"/>
      <c r="X13" s="597"/>
      <c r="Y13" s="597"/>
      <c r="Z13" s="597"/>
      <c r="AA13" s="597"/>
      <c r="AB13" s="597"/>
      <c r="AC13" s="597"/>
      <c r="AD13" s="597"/>
      <c r="AE13" s="597"/>
      <c r="AF13" s="597"/>
      <c r="AG13" s="597"/>
      <c r="AH13" s="598"/>
      <c r="AI13" s="597"/>
      <c r="AJ13" s="597"/>
      <c r="AK13" s="837"/>
      <c r="AL13" s="837"/>
      <c r="BD13" s="591"/>
      <c r="BJ13" s="840"/>
      <c r="BK13" s="840"/>
    </row>
    <row r="14" spans="1:77" s="551" customFormat="1">
      <c r="A14" s="600" t="s">
        <v>1081</v>
      </c>
      <c r="B14" s="601" t="s">
        <v>1082</v>
      </c>
      <c r="C14" s="602">
        <v>0</v>
      </c>
      <c r="D14" s="602">
        <v>21300453</v>
      </c>
      <c r="E14" s="602">
        <v>100000</v>
      </c>
      <c r="F14" s="602">
        <v>0</v>
      </c>
      <c r="G14" s="602">
        <v>0</v>
      </c>
      <c r="H14" s="602">
        <v>0</v>
      </c>
      <c r="I14" s="602">
        <v>74666346</v>
      </c>
      <c r="J14" s="602">
        <v>182006</v>
      </c>
      <c r="K14" s="602">
        <v>0</v>
      </c>
      <c r="L14" s="602">
        <v>0</v>
      </c>
      <c r="M14" s="602">
        <v>0</v>
      </c>
      <c r="N14" s="602">
        <v>0</v>
      </c>
      <c r="O14" s="602">
        <v>0</v>
      </c>
      <c r="P14" s="602">
        <v>0</v>
      </c>
      <c r="Q14" s="602">
        <v>0</v>
      </c>
      <c r="R14" s="602">
        <v>0</v>
      </c>
      <c r="S14" s="602">
        <v>0</v>
      </c>
      <c r="T14" s="602">
        <v>0</v>
      </c>
      <c r="U14" s="602">
        <v>0</v>
      </c>
      <c r="V14" s="602">
        <v>0</v>
      </c>
      <c r="W14" s="602">
        <v>0</v>
      </c>
      <c r="X14" s="602">
        <v>0</v>
      </c>
      <c r="Y14" s="602">
        <v>0</v>
      </c>
      <c r="Z14" s="602">
        <v>0</v>
      </c>
      <c r="AA14" s="602">
        <v>0</v>
      </c>
      <c r="AB14" s="602">
        <v>0</v>
      </c>
      <c r="AC14" s="602">
        <v>0</v>
      </c>
      <c r="AD14" s="602">
        <v>0</v>
      </c>
      <c r="AE14" s="602">
        <v>0</v>
      </c>
      <c r="AF14" s="602">
        <v>0</v>
      </c>
      <c r="AG14" s="602">
        <v>0</v>
      </c>
      <c r="AH14" s="603">
        <f>SUM(C14:AG14)</f>
        <v>96248805</v>
      </c>
      <c r="AI14" s="602">
        <v>0</v>
      </c>
      <c r="AJ14" s="602">
        <v>0</v>
      </c>
      <c r="AK14" s="841">
        <f t="shared" ref="AK14:AK25" si="0">AH14/1000000</f>
        <v>96.248805000000004</v>
      </c>
      <c r="AL14" s="841">
        <f>(C14+G14+I14+D14+H14+E14)/1000000</f>
        <v>96.066799000000003</v>
      </c>
      <c r="AM14" s="606">
        <f t="shared" ref="AM14:AM24" si="1">(R14+S14+T14+AA14+AB14+AE14+AF14+AG14)/1000000</f>
        <v>0</v>
      </c>
      <c r="AN14" s="842">
        <f>AM14/1000000</f>
        <v>0</v>
      </c>
      <c r="AO14" s="843">
        <v>0</v>
      </c>
      <c r="AP14" s="844">
        <f t="shared" ref="AP14:AP25" si="2">C14-AO14</f>
        <v>0</v>
      </c>
      <c r="AQ14" s="843">
        <v>10032196</v>
      </c>
      <c r="AR14" s="844">
        <f>(SUM(P14:AG14)-AG14)</f>
        <v>0</v>
      </c>
      <c r="AS14" s="842">
        <f t="shared" ref="AS14:AS25" si="3">(AH14-L14-M14)/1000000</f>
        <v>96.248805000000004</v>
      </c>
      <c r="AT14" s="843">
        <v>0</v>
      </c>
      <c r="AU14" s="606">
        <f>AQ14/1000000</f>
        <v>10.032196000000001</v>
      </c>
      <c r="AV14" s="606">
        <f>AR14/1000000</f>
        <v>0</v>
      </c>
      <c r="AW14" s="845"/>
      <c r="AX14" s="846"/>
      <c r="AY14" s="845"/>
      <c r="AZ14" s="845"/>
      <c r="BA14" s="845"/>
      <c r="BB14" s="845"/>
      <c r="BC14" s="842"/>
      <c r="BD14" s="847">
        <v>586959</v>
      </c>
      <c r="BE14" s="846">
        <v>586959</v>
      </c>
      <c r="BF14" s="846">
        <v>0</v>
      </c>
      <c r="BG14" s="846">
        <v>0</v>
      </c>
      <c r="BH14" s="846">
        <v>0</v>
      </c>
      <c r="BI14" s="848">
        <f>SUM(BF14:BH14)</f>
        <v>0</v>
      </c>
      <c r="BJ14" s="846">
        <v>0</v>
      </c>
      <c r="BK14" s="846">
        <v>74666346</v>
      </c>
      <c r="BL14" s="849">
        <f t="shared" ref="BL14:BL26" si="4">BD14/D14</f>
        <v>2.7556174509528037E-2</v>
      </c>
      <c r="BM14" s="850"/>
      <c r="BN14" s="846"/>
      <c r="BO14" s="846"/>
      <c r="BP14" s="846"/>
      <c r="BQ14" s="846"/>
      <c r="BR14" s="846"/>
      <c r="BS14" s="846"/>
      <c r="BT14" s="846"/>
      <c r="BU14" s="846"/>
      <c r="BV14" s="846"/>
      <c r="BW14" s="846"/>
      <c r="BX14" s="846"/>
      <c r="BY14" s="846"/>
    </row>
    <row r="15" spans="1:77" s="551" customFormat="1">
      <c r="A15" s="600" t="s">
        <v>1083</v>
      </c>
      <c r="B15" s="601" t="s">
        <v>668</v>
      </c>
      <c r="C15" s="602">
        <v>996532449</v>
      </c>
      <c r="D15" s="602">
        <v>2856715832</v>
      </c>
      <c r="E15" s="602">
        <v>14404539</v>
      </c>
      <c r="F15" s="602">
        <v>0</v>
      </c>
      <c r="G15" s="602">
        <v>1980547723</v>
      </c>
      <c r="H15" s="602">
        <v>0</v>
      </c>
      <c r="I15" s="602">
        <v>368400467</v>
      </c>
      <c r="J15" s="602">
        <v>23327056</v>
      </c>
      <c r="K15" s="602">
        <v>242120754</v>
      </c>
      <c r="L15" s="602">
        <v>95008067</v>
      </c>
      <c r="M15" s="602">
        <v>0</v>
      </c>
      <c r="N15" s="602">
        <v>363632</v>
      </c>
      <c r="O15" s="602">
        <v>6737860</v>
      </c>
      <c r="P15" s="602">
        <v>0</v>
      </c>
      <c r="Q15" s="602">
        <v>0</v>
      </c>
      <c r="R15" s="602">
        <v>0</v>
      </c>
      <c r="S15" s="602">
        <v>0</v>
      </c>
      <c r="T15" s="602">
        <v>0</v>
      </c>
      <c r="U15" s="602">
        <v>21600000</v>
      </c>
      <c r="V15" s="602">
        <v>2338122</v>
      </c>
      <c r="W15" s="602">
        <v>54986544</v>
      </c>
      <c r="X15" s="602">
        <v>16335136</v>
      </c>
      <c r="Y15" s="602">
        <v>0</v>
      </c>
      <c r="Z15" s="602">
        <v>0</v>
      </c>
      <c r="AA15" s="602">
        <v>774091</v>
      </c>
      <c r="AB15" s="602">
        <v>0</v>
      </c>
      <c r="AC15" s="602">
        <v>0</v>
      </c>
      <c r="AD15" s="602">
        <v>0</v>
      </c>
      <c r="AE15" s="602">
        <v>0</v>
      </c>
      <c r="AF15" s="602">
        <v>0</v>
      </c>
      <c r="AG15" s="602">
        <v>0</v>
      </c>
      <c r="AH15" s="603">
        <f t="shared" ref="AH15:AH24" si="5">SUM(C15:AG15)</f>
        <v>6680192272</v>
      </c>
      <c r="AI15" s="602">
        <v>29823345</v>
      </c>
      <c r="AJ15" s="602">
        <v>58898655</v>
      </c>
      <c r="AK15" s="841">
        <f t="shared" si="0"/>
        <v>6680.1922720000002</v>
      </c>
      <c r="AL15" s="841">
        <f t="shared" ref="AL15:AL25" si="6">(C15+G15+I15+D15+H15+E15)/1000000</f>
        <v>6216.6010100000003</v>
      </c>
      <c r="AM15" s="606">
        <f t="shared" si="1"/>
        <v>0.77409099999999997</v>
      </c>
      <c r="AN15" s="842">
        <f t="shared" ref="AN15:AN24" si="7">AM15/1000000</f>
        <v>7.7409099999999999E-7</v>
      </c>
      <c r="AO15" s="843">
        <v>0</v>
      </c>
      <c r="AP15" s="844">
        <f t="shared" si="2"/>
        <v>996532449</v>
      </c>
      <c r="AQ15" s="843">
        <v>1834449160</v>
      </c>
      <c r="AR15" s="844">
        <f t="shared" ref="AR15:AR25" si="8">(SUM(P15:AG15)-AG15)</f>
        <v>96033893</v>
      </c>
      <c r="AS15" s="842">
        <f t="shared" si="3"/>
        <v>6585.1842049999996</v>
      </c>
      <c r="AT15" s="843">
        <v>0</v>
      </c>
      <c r="AU15" s="606">
        <f t="shared" ref="AU15:AV25" si="9">AQ15/1000000</f>
        <v>1834.4491599999999</v>
      </c>
      <c r="AV15" s="606">
        <f t="shared" si="9"/>
        <v>96.033893000000006</v>
      </c>
      <c r="AW15" s="845" t="s">
        <v>668</v>
      </c>
      <c r="AX15" s="846">
        <f t="shared" ref="AX15:AZ22" si="10">AP15/1000000</f>
        <v>996.53244900000004</v>
      </c>
      <c r="AY15" s="846">
        <f>AQ15/1000000</f>
        <v>1834.4491599999999</v>
      </c>
      <c r="AZ15" s="846">
        <f>AR15/1000000</f>
        <v>96.033893000000006</v>
      </c>
      <c r="BA15" s="846">
        <f t="shared" ref="BA15:BA22" si="11">G15/1000000+I15/1000000</f>
        <v>2348.9481900000001</v>
      </c>
      <c r="BB15" s="846">
        <f t="shared" ref="BB15:BB22" si="12">AH15/1000000-AX15-AZ15-BA15</f>
        <v>3238.6777400000001</v>
      </c>
      <c r="BC15" s="842">
        <f>AV15</f>
        <v>96.033893000000006</v>
      </c>
      <c r="BD15" s="847">
        <v>2179015267</v>
      </c>
      <c r="BE15" s="846">
        <v>268179867</v>
      </c>
      <c r="BF15" s="846">
        <v>0</v>
      </c>
      <c r="BG15" s="846">
        <v>474091</v>
      </c>
      <c r="BH15" s="846">
        <v>0</v>
      </c>
      <c r="BI15" s="848">
        <f>SUM(BF15:BH15)</f>
        <v>474091</v>
      </c>
      <c r="BJ15" s="846">
        <v>1980547723</v>
      </c>
      <c r="BK15" s="846">
        <v>368400467</v>
      </c>
      <c r="BL15" s="849">
        <f t="shared" si="4"/>
        <v>0.76276934604113611</v>
      </c>
      <c r="BM15" s="850"/>
      <c r="BN15" s="846"/>
      <c r="BO15" s="846"/>
      <c r="BP15" s="846"/>
      <c r="BQ15" s="846"/>
      <c r="BR15" s="846"/>
      <c r="BS15" s="846"/>
      <c r="BT15" s="846"/>
      <c r="BU15" s="846"/>
      <c r="BV15" s="846"/>
      <c r="BW15" s="846"/>
      <c r="BX15" s="846"/>
      <c r="BY15" s="846"/>
    </row>
    <row r="16" spans="1:77" s="551" customFormat="1">
      <c r="A16" s="600" t="s">
        <v>1084</v>
      </c>
      <c r="B16" s="601" t="s">
        <v>653</v>
      </c>
      <c r="C16" s="602">
        <v>340872942</v>
      </c>
      <c r="D16" s="602">
        <v>1540226095</v>
      </c>
      <c r="E16" s="602">
        <v>12036367</v>
      </c>
      <c r="F16" s="602">
        <v>0</v>
      </c>
      <c r="G16" s="602">
        <v>2670481172</v>
      </c>
      <c r="H16" s="602">
        <v>0</v>
      </c>
      <c r="I16" s="602">
        <v>818382358</v>
      </c>
      <c r="J16" s="602">
        <v>18006307</v>
      </c>
      <c r="K16" s="602">
        <v>59312330</v>
      </c>
      <c r="L16" s="602">
        <v>4085040</v>
      </c>
      <c r="M16" s="602">
        <v>0</v>
      </c>
      <c r="N16" s="602">
        <v>311835</v>
      </c>
      <c r="O16" s="602">
        <v>1577194</v>
      </c>
      <c r="P16" s="602">
        <v>0</v>
      </c>
      <c r="Q16" s="602">
        <v>0</v>
      </c>
      <c r="R16" s="602">
        <v>0</v>
      </c>
      <c r="S16" s="602">
        <v>0</v>
      </c>
      <c r="T16" s="602">
        <v>0</v>
      </c>
      <c r="U16" s="602">
        <v>239090</v>
      </c>
      <c r="V16" s="602">
        <v>7636360</v>
      </c>
      <c r="W16" s="602">
        <v>2154000</v>
      </c>
      <c r="X16" s="602">
        <v>46205485</v>
      </c>
      <c r="Y16" s="602">
        <v>27981500</v>
      </c>
      <c r="Z16" s="602">
        <v>4516361</v>
      </c>
      <c r="AA16" s="602">
        <v>8732448</v>
      </c>
      <c r="AB16" s="602">
        <v>0</v>
      </c>
      <c r="AC16" s="602">
        <v>0</v>
      </c>
      <c r="AD16" s="602">
        <v>0</v>
      </c>
      <c r="AE16" s="602">
        <v>0</v>
      </c>
      <c r="AF16" s="602">
        <v>0</v>
      </c>
      <c r="AG16" s="602">
        <v>0</v>
      </c>
      <c r="AH16" s="603">
        <f t="shared" si="5"/>
        <v>5562756884</v>
      </c>
      <c r="AI16" s="602">
        <v>11704543</v>
      </c>
      <c r="AJ16" s="602">
        <v>69656670</v>
      </c>
      <c r="AK16" s="841">
        <f t="shared" si="0"/>
        <v>5562.7568840000004</v>
      </c>
      <c r="AL16" s="841">
        <f t="shared" si="6"/>
        <v>5381.9989340000002</v>
      </c>
      <c r="AM16" s="606">
        <f t="shared" si="1"/>
        <v>8.7324479999999998</v>
      </c>
      <c r="AN16" s="842">
        <f t="shared" si="7"/>
        <v>8.7324479999999992E-6</v>
      </c>
      <c r="AO16" s="843">
        <v>0</v>
      </c>
      <c r="AP16" s="844">
        <f t="shared" si="2"/>
        <v>340872942</v>
      </c>
      <c r="AQ16" s="843">
        <v>797325305</v>
      </c>
      <c r="AR16" s="844">
        <f t="shared" si="8"/>
        <v>97465244</v>
      </c>
      <c r="AS16" s="842">
        <f t="shared" si="3"/>
        <v>5558.6718440000004</v>
      </c>
      <c r="AT16" s="843">
        <v>0</v>
      </c>
      <c r="AU16" s="606">
        <f t="shared" si="9"/>
        <v>797.32530499999996</v>
      </c>
      <c r="AV16" s="606">
        <f t="shared" si="9"/>
        <v>97.465243999999998</v>
      </c>
      <c r="AW16" s="845" t="s">
        <v>653</v>
      </c>
      <c r="AX16" s="846">
        <f t="shared" si="10"/>
        <v>340.87294200000002</v>
      </c>
      <c r="AY16" s="846">
        <f t="shared" si="10"/>
        <v>797.32530499999996</v>
      </c>
      <c r="AZ16" s="846">
        <f t="shared" si="10"/>
        <v>97.465243999999998</v>
      </c>
      <c r="BA16" s="846">
        <f t="shared" si="11"/>
        <v>3488.8635299999996</v>
      </c>
      <c r="BB16" s="846">
        <f t="shared" si="12"/>
        <v>1635.5551680000008</v>
      </c>
      <c r="BC16" s="842">
        <f t="shared" ref="BC16:BC22" si="13">AV16</f>
        <v>97.465243999999998</v>
      </c>
      <c r="BD16" s="847">
        <v>753219894</v>
      </c>
      <c r="BE16" s="846">
        <v>206514948</v>
      </c>
      <c r="BF16" s="846">
        <v>24981500</v>
      </c>
      <c r="BG16" s="846">
        <v>2030448</v>
      </c>
      <c r="BH16" s="846">
        <v>0</v>
      </c>
      <c r="BI16" s="848">
        <f t="shared" ref="BI16:BI26" si="14">SUM(BF16:BH16)</f>
        <v>27011948</v>
      </c>
      <c r="BJ16" s="846">
        <v>2670481172</v>
      </c>
      <c r="BK16" s="846">
        <v>818382358</v>
      </c>
      <c r="BL16" s="849">
        <f t="shared" si="4"/>
        <v>0.48903203006698831</v>
      </c>
      <c r="BM16" s="850"/>
      <c r="BN16" s="846"/>
      <c r="BO16" s="846"/>
      <c r="BP16" s="846"/>
      <c r="BQ16" s="846"/>
      <c r="BR16" s="846"/>
      <c r="BS16" s="846"/>
      <c r="BT16" s="846"/>
      <c r="BU16" s="846"/>
      <c r="BV16" s="846"/>
      <c r="BW16" s="846"/>
      <c r="BX16" s="846"/>
      <c r="BY16" s="846"/>
    </row>
    <row r="17" spans="1:77">
      <c r="A17" s="600" t="s">
        <v>1085</v>
      </c>
      <c r="B17" s="601" t="s">
        <v>646</v>
      </c>
      <c r="C17" s="602">
        <v>177273240</v>
      </c>
      <c r="D17" s="602">
        <v>1171808016</v>
      </c>
      <c r="E17" s="602">
        <v>10749996</v>
      </c>
      <c r="F17" s="602">
        <v>0</v>
      </c>
      <c r="G17" s="602">
        <v>1503520030</v>
      </c>
      <c r="H17" s="602">
        <v>0</v>
      </c>
      <c r="I17" s="602">
        <v>350131592</v>
      </c>
      <c r="J17" s="602">
        <v>7469233</v>
      </c>
      <c r="K17" s="602">
        <v>22531286</v>
      </c>
      <c r="L17" s="602">
        <v>3593040</v>
      </c>
      <c r="M17" s="602">
        <v>0</v>
      </c>
      <c r="N17" s="602">
        <v>90910</v>
      </c>
      <c r="O17" s="602">
        <v>857235</v>
      </c>
      <c r="P17" s="602">
        <v>0</v>
      </c>
      <c r="Q17" s="602">
        <v>0</v>
      </c>
      <c r="R17" s="602">
        <v>0</v>
      </c>
      <c r="S17" s="602">
        <v>0</v>
      </c>
      <c r="T17" s="602">
        <v>0</v>
      </c>
      <c r="U17" s="602">
        <v>33636367</v>
      </c>
      <c r="V17" s="602">
        <v>3054544</v>
      </c>
      <c r="W17" s="602">
        <v>2527273</v>
      </c>
      <c r="X17" s="602">
        <v>9107029</v>
      </c>
      <c r="Y17" s="602">
        <v>917500</v>
      </c>
      <c r="Z17" s="602">
        <v>2727271</v>
      </c>
      <c r="AA17" s="602">
        <v>2127273</v>
      </c>
      <c r="AB17" s="602">
        <v>0</v>
      </c>
      <c r="AC17" s="602">
        <v>0</v>
      </c>
      <c r="AD17" s="602">
        <v>0</v>
      </c>
      <c r="AE17" s="602">
        <v>0</v>
      </c>
      <c r="AF17" s="602">
        <v>0</v>
      </c>
      <c r="AG17" s="602">
        <v>0</v>
      </c>
      <c r="AH17" s="603">
        <f t="shared" si="5"/>
        <v>3302121835</v>
      </c>
      <c r="AI17" s="602">
        <v>10724999</v>
      </c>
      <c r="AJ17" s="602">
        <v>30719655</v>
      </c>
      <c r="AK17" s="841">
        <f t="shared" si="0"/>
        <v>3302.1218349999999</v>
      </c>
      <c r="AL17" s="841">
        <f t="shared" si="6"/>
        <v>3213.4828739999998</v>
      </c>
      <c r="AM17" s="606">
        <f t="shared" si="1"/>
        <v>2.1272730000000002</v>
      </c>
      <c r="AN17" s="842">
        <f t="shared" si="7"/>
        <v>2.1272730000000003E-6</v>
      </c>
      <c r="AO17" s="843">
        <v>0</v>
      </c>
      <c r="AP17" s="844">
        <f t="shared" si="2"/>
        <v>177273240</v>
      </c>
      <c r="AQ17" s="843">
        <v>555839877</v>
      </c>
      <c r="AR17" s="844">
        <f t="shared" si="8"/>
        <v>54097257</v>
      </c>
      <c r="AS17" s="842">
        <f t="shared" si="3"/>
        <v>3298.5287950000002</v>
      </c>
      <c r="AT17" s="843">
        <v>0</v>
      </c>
      <c r="AU17" s="606">
        <f t="shared" si="9"/>
        <v>555.839877</v>
      </c>
      <c r="AV17" s="606">
        <f t="shared" si="9"/>
        <v>54.097256999999999</v>
      </c>
      <c r="AW17" s="851" t="s">
        <v>646</v>
      </c>
      <c r="AX17" s="846">
        <f>AP17/1000000</f>
        <v>177.27323999999999</v>
      </c>
      <c r="AY17" s="846">
        <f t="shared" si="10"/>
        <v>555.839877</v>
      </c>
      <c r="AZ17" s="846">
        <f t="shared" si="10"/>
        <v>54.097256999999999</v>
      </c>
      <c r="BA17" s="846">
        <f t="shared" si="11"/>
        <v>1853.6516219999999</v>
      </c>
      <c r="BB17" s="846">
        <f t="shared" si="12"/>
        <v>1217.0997160000002</v>
      </c>
      <c r="BC17" s="842">
        <f t="shared" si="13"/>
        <v>54.097256999999999</v>
      </c>
      <c r="BD17" s="847">
        <v>391687842</v>
      </c>
      <c r="BE17" s="846">
        <v>92312842</v>
      </c>
      <c r="BF17" s="846">
        <v>917500</v>
      </c>
      <c r="BG17" s="846">
        <v>1227273</v>
      </c>
      <c r="BH17" s="846">
        <v>0</v>
      </c>
      <c r="BI17" s="848">
        <f t="shared" si="14"/>
        <v>2144773</v>
      </c>
      <c r="BJ17" s="846">
        <v>1503520030</v>
      </c>
      <c r="BK17" s="846">
        <v>350131592</v>
      </c>
      <c r="BL17" s="849">
        <f t="shared" si="4"/>
        <v>0.33425939800022669</v>
      </c>
      <c r="BM17" s="850"/>
      <c r="BN17" s="846"/>
      <c r="BO17" s="846"/>
      <c r="BP17" s="846"/>
      <c r="BQ17" s="846"/>
      <c r="BR17" s="846"/>
      <c r="BS17" s="846"/>
      <c r="BT17" s="846"/>
      <c r="BU17" s="846"/>
      <c r="BV17" s="846"/>
      <c r="BW17" s="846"/>
      <c r="BX17" s="846"/>
      <c r="BY17" s="846"/>
    </row>
    <row r="18" spans="1:77">
      <c r="A18" s="600" t="s">
        <v>1086</v>
      </c>
      <c r="B18" s="601" t="s">
        <v>674</v>
      </c>
      <c r="C18" s="602">
        <v>151510284</v>
      </c>
      <c r="D18" s="602">
        <v>948928998</v>
      </c>
      <c r="E18" s="602">
        <v>4200001</v>
      </c>
      <c r="F18" s="602">
        <v>0</v>
      </c>
      <c r="G18" s="602">
        <v>1083336388</v>
      </c>
      <c r="H18" s="602">
        <v>0</v>
      </c>
      <c r="I18" s="602">
        <v>286607688</v>
      </c>
      <c r="J18" s="602">
        <v>5804960</v>
      </c>
      <c r="K18" s="602">
        <v>27441641</v>
      </c>
      <c r="L18" s="602">
        <v>492000</v>
      </c>
      <c r="M18" s="602">
        <v>0</v>
      </c>
      <c r="N18" s="602">
        <v>1129442</v>
      </c>
      <c r="O18" s="602">
        <v>316803</v>
      </c>
      <c r="P18" s="602">
        <v>0</v>
      </c>
      <c r="Q18" s="602">
        <v>0</v>
      </c>
      <c r="R18" s="602">
        <v>0</v>
      </c>
      <c r="S18" s="602">
        <v>0</v>
      </c>
      <c r="T18" s="602">
        <v>0</v>
      </c>
      <c r="U18" s="602">
        <v>1500000</v>
      </c>
      <c r="V18" s="602">
        <v>1621700</v>
      </c>
      <c r="W18" s="602">
        <v>40308000</v>
      </c>
      <c r="X18" s="602">
        <v>28694442</v>
      </c>
      <c r="Y18" s="602">
        <v>6493000</v>
      </c>
      <c r="Z18" s="602">
        <v>3185453</v>
      </c>
      <c r="AA18" s="602">
        <v>16963636</v>
      </c>
      <c r="AB18" s="602">
        <v>0</v>
      </c>
      <c r="AC18" s="602">
        <v>0</v>
      </c>
      <c r="AD18" s="602">
        <v>0</v>
      </c>
      <c r="AE18" s="602">
        <v>0</v>
      </c>
      <c r="AF18" s="602">
        <v>0</v>
      </c>
      <c r="AG18" s="602">
        <v>0</v>
      </c>
      <c r="AH18" s="603">
        <f t="shared" si="5"/>
        <v>2608534436</v>
      </c>
      <c r="AI18" s="602">
        <v>3429544</v>
      </c>
      <c r="AJ18" s="602">
        <v>24615720</v>
      </c>
      <c r="AK18" s="841">
        <f t="shared" si="0"/>
        <v>2608.5344359999999</v>
      </c>
      <c r="AL18" s="841">
        <f t="shared" si="6"/>
        <v>2474.5833590000002</v>
      </c>
      <c r="AM18" s="606">
        <f t="shared" si="1"/>
        <v>16.963636000000001</v>
      </c>
      <c r="AN18" s="842">
        <f t="shared" si="7"/>
        <v>1.6963636E-5</v>
      </c>
      <c r="AO18" s="843">
        <v>0</v>
      </c>
      <c r="AP18" s="844">
        <f t="shared" si="2"/>
        <v>151510284</v>
      </c>
      <c r="AQ18" s="843">
        <v>570931991</v>
      </c>
      <c r="AR18" s="844">
        <f t="shared" si="8"/>
        <v>98766231</v>
      </c>
      <c r="AS18" s="842">
        <f t="shared" si="3"/>
        <v>2608.0424360000002</v>
      </c>
      <c r="AT18" s="843">
        <v>0</v>
      </c>
      <c r="AU18" s="606">
        <f>AQ18/1000000</f>
        <v>570.93199100000004</v>
      </c>
      <c r="AV18" s="606">
        <f t="shared" si="9"/>
        <v>98.766231000000005</v>
      </c>
      <c r="AW18" s="851" t="s">
        <v>674</v>
      </c>
      <c r="AX18" s="846">
        <f t="shared" si="10"/>
        <v>151.51028400000001</v>
      </c>
      <c r="AY18" s="846">
        <f t="shared" si="10"/>
        <v>570.93199100000004</v>
      </c>
      <c r="AZ18" s="846">
        <f t="shared" si="10"/>
        <v>98.766231000000005</v>
      </c>
      <c r="BA18" s="846">
        <f t="shared" si="11"/>
        <v>1369.944076</v>
      </c>
      <c r="BB18" s="846">
        <f t="shared" si="12"/>
        <v>988.3138449999999</v>
      </c>
      <c r="BC18" s="842">
        <f t="shared" si="13"/>
        <v>98.766231000000005</v>
      </c>
      <c r="BD18" s="847">
        <v>335875846</v>
      </c>
      <c r="BE18" s="846">
        <v>76411519</v>
      </c>
      <c r="BF18" s="846">
        <v>6493000</v>
      </c>
      <c r="BG18" s="846">
        <v>16363636</v>
      </c>
      <c r="BH18" s="846">
        <v>0</v>
      </c>
      <c r="BI18" s="848">
        <f t="shared" si="14"/>
        <v>22856636</v>
      </c>
      <c r="BJ18" s="846">
        <v>1083336388</v>
      </c>
      <c r="BK18" s="846">
        <v>286607688</v>
      </c>
      <c r="BL18" s="849">
        <f t="shared" si="4"/>
        <v>0.35395255778662588</v>
      </c>
      <c r="BM18" s="850"/>
      <c r="BN18" s="846"/>
      <c r="BO18" s="846"/>
      <c r="BP18" s="846"/>
      <c r="BQ18" s="846"/>
      <c r="BR18" s="846"/>
      <c r="BS18" s="846"/>
      <c r="BT18" s="846"/>
      <c r="BU18" s="846"/>
      <c r="BV18" s="846"/>
      <c r="BW18" s="846"/>
      <c r="BX18" s="846"/>
      <c r="BY18" s="846"/>
    </row>
    <row r="19" spans="1:77">
      <c r="A19" s="600" t="s">
        <v>1087</v>
      </c>
      <c r="B19" s="601" t="s">
        <v>649</v>
      </c>
      <c r="C19" s="602">
        <v>287343118</v>
      </c>
      <c r="D19" s="602">
        <v>1726526647</v>
      </c>
      <c r="E19" s="602">
        <v>8745452</v>
      </c>
      <c r="F19" s="602">
        <v>0</v>
      </c>
      <c r="G19" s="602">
        <v>1793137761</v>
      </c>
      <c r="H19" s="602">
        <v>30648240</v>
      </c>
      <c r="I19" s="602">
        <v>340712700</v>
      </c>
      <c r="J19" s="602">
        <v>14711022</v>
      </c>
      <c r="K19" s="602">
        <v>53248087</v>
      </c>
      <c r="L19" s="602">
        <v>4350000</v>
      </c>
      <c r="M19" s="602">
        <v>0</v>
      </c>
      <c r="N19" s="602">
        <v>0</v>
      </c>
      <c r="O19" s="602">
        <v>1663535</v>
      </c>
      <c r="P19" s="602">
        <v>0</v>
      </c>
      <c r="Q19" s="602">
        <v>0</v>
      </c>
      <c r="R19" s="602">
        <v>0</v>
      </c>
      <c r="S19" s="602">
        <v>0</v>
      </c>
      <c r="T19" s="602">
        <v>0</v>
      </c>
      <c r="U19" s="602">
        <v>-2200000</v>
      </c>
      <c r="V19" s="602">
        <v>20522725</v>
      </c>
      <c r="W19" s="602">
        <v>21686000</v>
      </c>
      <c r="X19" s="602">
        <v>24318108</v>
      </c>
      <c r="Y19" s="602">
        <v>4039500</v>
      </c>
      <c r="Z19" s="602">
        <v>1184545</v>
      </c>
      <c r="AA19" s="602">
        <v>28670001</v>
      </c>
      <c r="AB19" s="602">
        <v>0</v>
      </c>
      <c r="AC19" s="602">
        <v>0</v>
      </c>
      <c r="AD19" s="602">
        <v>0</v>
      </c>
      <c r="AE19" s="602">
        <v>0</v>
      </c>
      <c r="AF19" s="602">
        <v>0</v>
      </c>
      <c r="AG19" s="602">
        <v>0</v>
      </c>
      <c r="AH19" s="603">
        <f t="shared" si="5"/>
        <v>4359307441</v>
      </c>
      <c r="AI19" s="602">
        <v>8913369</v>
      </c>
      <c r="AJ19" s="602">
        <v>42136695</v>
      </c>
      <c r="AK19" s="841">
        <f t="shared" si="0"/>
        <v>4359.3074409999999</v>
      </c>
      <c r="AL19" s="841">
        <f t="shared" si="6"/>
        <v>4187.113918</v>
      </c>
      <c r="AM19" s="606">
        <f t="shared" si="1"/>
        <v>28.670000999999999</v>
      </c>
      <c r="AN19" s="842">
        <f t="shared" si="7"/>
        <v>2.8670000999999998E-5</v>
      </c>
      <c r="AO19" s="843">
        <v>0</v>
      </c>
      <c r="AP19" s="844">
        <f t="shared" si="2"/>
        <v>287343118</v>
      </c>
      <c r="AQ19" s="843">
        <v>984367029</v>
      </c>
      <c r="AR19" s="844">
        <f t="shared" si="8"/>
        <v>98220879</v>
      </c>
      <c r="AS19" s="842">
        <f t="shared" si="3"/>
        <v>4354.9574409999996</v>
      </c>
      <c r="AT19" s="843">
        <v>0</v>
      </c>
      <c r="AU19" s="606">
        <f t="shared" si="9"/>
        <v>984.367029</v>
      </c>
      <c r="AV19" s="606">
        <f t="shared" si="9"/>
        <v>98.220878999999996</v>
      </c>
      <c r="AW19" s="851" t="s">
        <v>649</v>
      </c>
      <c r="AX19" s="846">
        <f t="shared" si="10"/>
        <v>287.343118</v>
      </c>
      <c r="AY19" s="846">
        <f t="shared" si="10"/>
        <v>984.367029</v>
      </c>
      <c r="AZ19" s="846">
        <f t="shared" si="10"/>
        <v>98.220878999999996</v>
      </c>
      <c r="BA19" s="846">
        <f t="shared" si="11"/>
        <v>2133.850461</v>
      </c>
      <c r="BB19" s="846">
        <f t="shared" si="12"/>
        <v>1839.8929830000002</v>
      </c>
      <c r="BC19" s="842">
        <f t="shared" si="13"/>
        <v>98.220878999999996</v>
      </c>
      <c r="BD19" s="847">
        <v>1223214873</v>
      </c>
      <c r="BE19" s="846">
        <v>89529600</v>
      </c>
      <c r="BF19" s="846">
        <v>4039500</v>
      </c>
      <c r="BG19" s="846">
        <v>25970001</v>
      </c>
      <c r="BH19" s="846">
        <v>0</v>
      </c>
      <c r="BI19" s="848">
        <f t="shared" si="14"/>
        <v>30009501</v>
      </c>
      <c r="BJ19" s="846">
        <v>1823786001</v>
      </c>
      <c r="BK19" s="846">
        <v>340712700</v>
      </c>
      <c r="BL19" s="849">
        <f t="shared" si="4"/>
        <v>0.70848305476515472</v>
      </c>
      <c r="BM19" s="850"/>
      <c r="BN19" s="846"/>
      <c r="BO19" s="846"/>
      <c r="BP19" s="846"/>
      <c r="BQ19" s="846"/>
      <c r="BR19" s="846"/>
      <c r="BS19" s="846"/>
      <c r="BT19" s="846"/>
      <c r="BU19" s="846"/>
      <c r="BV19" s="846"/>
      <c r="BW19" s="846"/>
      <c r="BX19" s="846"/>
      <c r="BY19" s="846"/>
    </row>
    <row r="20" spans="1:77">
      <c r="A20" s="600" t="s">
        <v>1088</v>
      </c>
      <c r="B20" s="601" t="s">
        <v>650</v>
      </c>
      <c r="C20" s="602">
        <v>198094796</v>
      </c>
      <c r="D20" s="602">
        <v>920011934</v>
      </c>
      <c r="E20" s="602">
        <v>5954547</v>
      </c>
      <c r="F20" s="602">
        <v>0</v>
      </c>
      <c r="G20" s="602">
        <v>1492584034</v>
      </c>
      <c r="H20" s="602">
        <v>0</v>
      </c>
      <c r="I20" s="602">
        <v>463888231</v>
      </c>
      <c r="J20" s="602">
        <v>10275505</v>
      </c>
      <c r="K20" s="602">
        <v>39255154</v>
      </c>
      <c r="L20" s="602">
        <v>492000</v>
      </c>
      <c r="M20" s="602">
        <v>0</v>
      </c>
      <c r="N20" s="602">
        <v>0</v>
      </c>
      <c r="O20" s="602">
        <v>794935</v>
      </c>
      <c r="P20" s="602">
        <v>0</v>
      </c>
      <c r="Q20" s="602">
        <v>0</v>
      </c>
      <c r="R20" s="602">
        <v>0</v>
      </c>
      <c r="S20" s="602">
        <v>0</v>
      </c>
      <c r="T20" s="602">
        <v>0</v>
      </c>
      <c r="U20" s="602">
        <v>14400000</v>
      </c>
      <c r="V20" s="602">
        <v>2354544</v>
      </c>
      <c r="W20" s="602">
        <v>56808000</v>
      </c>
      <c r="X20" s="602">
        <v>17941423</v>
      </c>
      <c r="Y20" s="602">
        <v>0</v>
      </c>
      <c r="Z20" s="602">
        <v>322727</v>
      </c>
      <c r="AA20" s="602">
        <v>5162275</v>
      </c>
      <c r="AB20" s="602">
        <v>0</v>
      </c>
      <c r="AC20" s="602">
        <v>0</v>
      </c>
      <c r="AD20" s="602">
        <v>0</v>
      </c>
      <c r="AE20" s="602">
        <v>0</v>
      </c>
      <c r="AF20" s="602">
        <v>0</v>
      </c>
      <c r="AG20" s="602">
        <v>0</v>
      </c>
      <c r="AH20" s="603">
        <f t="shared" si="5"/>
        <v>3228340105</v>
      </c>
      <c r="AI20" s="602">
        <v>5720455</v>
      </c>
      <c r="AJ20" s="602">
        <v>30365145</v>
      </c>
      <c r="AK20" s="841">
        <f t="shared" si="0"/>
        <v>3228.3401050000002</v>
      </c>
      <c r="AL20" s="841">
        <f t="shared" si="6"/>
        <v>3080.5335420000001</v>
      </c>
      <c r="AM20" s="606">
        <f t="shared" si="1"/>
        <v>5.1622750000000002</v>
      </c>
      <c r="AN20" s="842">
        <f t="shared" si="7"/>
        <v>5.1622750000000005E-6</v>
      </c>
      <c r="AO20" s="843">
        <v>0</v>
      </c>
      <c r="AP20" s="844">
        <f t="shared" si="2"/>
        <v>198094796</v>
      </c>
      <c r="AQ20" s="843">
        <v>504240385</v>
      </c>
      <c r="AR20" s="844">
        <f t="shared" si="8"/>
        <v>96988969</v>
      </c>
      <c r="AS20" s="842">
        <f t="shared" si="3"/>
        <v>3227.848105</v>
      </c>
      <c r="AT20" s="843">
        <v>0</v>
      </c>
      <c r="AU20" s="606">
        <f t="shared" si="9"/>
        <v>504.240385</v>
      </c>
      <c r="AV20" s="606">
        <f t="shared" si="9"/>
        <v>96.988968999999997</v>
      </c>
      <c r="AW20" s="851" t="s">
        <v>650</v>
      </c>
      <c r="AX20" s="846">
        <f t="shared" si="10"/>
        <v>198.094796</v>
      </c>
      <c r="AY20" s="846">
        <f t="shared" si="10"/>
        <v>504.240385</v>
      </c>
      <c r="AZ20" s="846">
        <f t="shared" si="10"/>
        <v>96.988968999999997</v>
      </c>
      <c r="BA20" s="846">
        <f t="shared" si="11"/>
        <v>1956.4722649999999</v>
      </c>
      <c r="BB20" s="846">
        <f t="shared" si="12"/>
        <v>976.78407500000048</v>
      </c>
      <c r="BC20" s="842">
        <f t="shared" si="13"/>
        <v>96.988968999999997</v>
      </c>
      <c r="BD20" s="847">
        <v>722562354</v>
      </c>
      <c r="BE20" s="846">
        <v>85310536</v>
      </c>
      <c r="BF20" s="846">
        <v>0</v>
      </c>
      <c r="BG20" s="846">
        <v>1262275</v>
      </c>
      <c r="BH20" s="846">
        <v>0</v>
      </c>
      <c r="BI20" s="848">
        <f t="shared" si="14"/>
        <v>1262275</v>
      </c>
      <c r="BJ20" s="846">
        <v>1492584034</v>
      </c>
      <c r="BK20" s="846">
        <v>463888231</v>
      </c>
      <c r="BL20" s="849">
        <f t="shared" si="4"/>
        <v>0.78538367525132557</v>
      </c>
      <c r="BM20" s="850"/>
      <c r="BN20" s="846"/>
      <c r="BO20" s="846"/>
      <c r="BP20" s="846"/>
      <c r="BQ20" s="846"/>
      <c r="BR20" s="846"/>
      <c r="BS20" s="846"/>
      <c r="BT20" s="846"/>
      <c r="BU20" s="846"/>
      <c r="BV20" s="846"/>
      <c r="BW20" s="846"/>
      <c r="BX20" s="846"/>
      <c r="BY20" s="846"/>
    </row>
    <row r="21" spans="1:77">
      <c r="A21" s="600" t="s">
        <v>1089</v>
      </c>
      <c r="B21" s="601" t="s">
        <v>642</v>
      </c>
      <c r="C21" s="602">
        <v>363858164</v>
      </c>
      <c r="D21" s="602">
        <v>1281399572</v>
      </c>
      <c r="E21" s="602">
        <v>4836358</v>
      </c>
      <c r="F21" s="602">
        <v>0</v>
      </c>
      <c r="G21" s="602">
        <v>1008459646</v>
      </c>
      <c r="H21" s="602">
        <v>9000000</v>
      </c>
      <c r="I21" s="602">
        <v>445283940</v>
      </c>
      <c r="J21" s="602">
        <v>17153756</v>
      </c>
      <c r="K21" s="602">
        <v>32211608</v>
      </c>
      <c r="L21" s="602">
        <v>7186080</v>
      </c>
      <c r="M21" s="602">
        <v>0</v>
      </c>
      <c r="N21" s="602">
        <v>0</v>
      </c>
      <c r="O21" s="602">
        <v>1361700</v>
      </c>
      <c r="P21" s="602">
        <v>0</v>
      </c>
      <c r="Q21" s="602">
        <v>0</v>
      </c>
      <c r="R21" s="602">
        <v>0</v>
      </c>
      <c r="S21" s="602">
        <v>0</v>
      </c>
      <c r="T21" s="602">
        <v>0</v>
      </c>
      <c r="U21" s="602">
        <v>354618182</v>
      </c>
      <c r="V21" s="602">
        <v>11002926</v>
      </c>
      <c r="W21" s="602">
        <v>4308000</v>
      </c>
      <c r="X21" s="602">
        <v>25565747</v>
      </c>
      <c r="Y21" s="602">
        <v>1369500</v>
      </c>
      <c r="Z21" s="602">
        <v>3316362</v>
      </c>
      <c r="AA21" s="602">
        <v>7900003</v>
      </c>
      <c r="AB21" s="602">
        <v>0</v>
      </c>
      <c r="AC21" s="602">
        <v>0</v>
      </c>
      <c r="AD21" s="602">
        <v>0</v>
      </c>
      <c r="AE21" s="602">
        <v>0</v>
      </c>
      <c r="AF21" s="602">
        <v>0</v>
      </c>
      <c r="AG21" s="602">
        <v>0</v>
      </c>
      <c r="AH21" s="603">
        <f t="shared" si="5"/>
        <v>3578831544</v>
      </c>
      <c r="AI21" s="602">
        <v>11922738</v>
      </c>
      <c r="AJ21" s="602">
        <v>48540600</v>
      </c>
      <c r="AK21" s="841">
        <f t="shared" si="0"/>
        <v>3578.8315440000001</v>
      </c>
      <c r="AL21" s="841">
        <f t="shared" si="6"/>
        <v>3112.8376800000001</v>
      </c>
      <c r="AM21" s="606">
        <f t="shared" si="1"/>
        <v>7.9000029999999999</v>
      </c>
      <c r="AN21" s="842">
        <f t="shared" si="7"/>
        <v>7.9000030000000005E-6</v>
      </c>
      <c r="AO21" s="843">
        <v>0</v>
      </c>
      <c r="AP21" s="844">
        <f t="shared" si="2"/>
        <v>363858164</v>
      </c>
      <c r="AQ21" s="843">
        <v>662212254</v>
      </c>
      <c r="AR21" s="844">
        <f t="shared" si="8"/>
        <v>408080720</v>
      </c>
      <c r="AS21" s="842">
        <f t="shared" si="3"/>
        <v>3571.6454640000002</v>
      </c>
      <c r="AT21" s="843">
        <v>0</v>
      </c>
      <c r="AU21" s="606">
        <f t="shared" si="9"/>
        <v>662.21225400000003</v>
      </c>
      <c r="AV21" s="606">
        <f t="shared" si="9"/>
        <v>408.08071999999999</v>
      </c>
      <c r="AW21" s="851" t="s">
        <v>642</v>
      </c>
      <c r="AX21" s="846">
        <f t="shared" si="10"/>
        <v>363.85816399999999</v>
      </c>
      <c r="AY21" s="846">
        <f t="shared" si="10"/>
        <v>662.21225400000003</v>
      </c>
      <c r="AZ21" s="846">
        <f t="shared" si="10"/>
        <v>408.08071999999999</v>
      </c>
      <c r="BA21" s="846">
        <f t="shared" si="11"/>
        <v>1453.7435860000001</v>
      </c>
      <c r="BB21" s="846">
        <f t="shared" si="12"/>
        <v>1353.1490740000004</v>
      </c>
      <c r="BC21" s="842">
        <f t="shared" si="13"/>
        <v>408.08071999999999</v>
      </c>
      <c r="BD21" s="847">
        <v>853111326</v>
      </c>
      <c r="BE21" s="846">
        <v>170492780</v>
      </c>
      <c r="BF21" s="846">
        <v>1369500</v>
      </c>
      <c r="BG21" s="846">
        <v>4600003</v>
      </c>
      <c r="BH21" s="846">
        <v>0</v>
      </c>
      <c r="BI21" s="848">
        <f t="shared" si="14"/>
        <v>5969503</v>
      </c>
      <c r="BJ21" s="846">
        <v>1017459646</v>
      </c>
      <c r="BK21" s="846">
        <v>445283940</v>
      </c>
      <c r="BL21" s="849">
        <f t="shared" si="4"/>
        <v>0.66576526529384539</v>
      </c>
      <c r="BM21" s="850"/>
      <c r="BN21" s="846"/>
      <c r="BO21" s="846"/>
      <c r="BP21" s="846"/>
      <c r="BQ21" s="846"/>
      <c r="BR21" s="846"/>
      <c r="BS21" s="846"/>
      <c r="BT21" s="846"/>
      <c r="BU21" s="846"/>
      <c r="BV21" s="846"/>
      <c r="BW21" s="846"/>
      <c r="BX21" s="846"/>
      <c r="BY21" s="846"/>
    </row>
    <row r="22" spans="1:77">
      <c r="A22" s="600" t="s">
        <v>1090</v>
      </c>
      <c r="B22" s="601" t="s">
        <v>636</v>
      </c>
      <c r="C22" s="602">
        <v>483233397</v>
      </c>
      <c r="D22" s="602">
        <v>1818222304</v>
      </c>
      <c r="E22" s="602">
        <v>7695450</v>
      </c>
      <c r="F22" s="602">
        <v>0</v>
      </c>
      <c r="G22" s="602">
        <v>1521571165</v>
      </c>
      <c r="H22" s="602">
        <v>0</v>
      </c>
      <c r="I22" s="602">
        <v>397865848</v>
      </c>
      <c r="J22" s="602">
        <v>12313661</v>
      </c>
      <c r="K22" s="602">
        <v>36797391</v>
      </c>
      <c r="L22" s="602">
        <v>492000</v>
      </c>
      <c r="M22" s="602">
        <v>0</v>
      </c>
      <c r="N22" s="602">
        <v>0</v>
      </c>
      <c r="O22" s="602">
        <v>826763</v>
      </c>
      <c r="P22" s="602">
        <v>0</v>
      </c>
      <c r="Q22" s="602">
        <v>0</v>
      </c>
      <c r="R22" s="602">
        <v>0</v>
      </c>
      <c r="S22" s="602">
        <v>0</v>
      </c>
      <c r="T22" s="602">
        <v>0</v>
      </c>
      <c r="U22" s="602">
        <v>97610000</v>
      </c>
      <c r="V22" s="602">
        <v>33333721</v>
      </c>
      <c r="W22" s="602">
        <v>127151091</v>
      </c>
      <c r="X22" s="602">
        <v>20582650</v>
      </c>
      <c r="Y22" s="602">
        <v>0</v>
      </c>
      <c r="Z22" s="602">
        <v>0</v>
      </c>
      <c r="AA22" s="602">
        <v>30075002</v>
      </c>
      <c r="AB22" s="602">
        <v>0</v>
      </c>
      <c r="AC22" s="602">
        <v>0</v>
      </c>
      <c r="AD22" s="602">
        <v>0</v>
      </c>
      <c r="AE22" s="602">
        <v>0</v>
      </c>
      <c r="AF22" s="602">
        <v>0</v>
      </c>
      <c r="AG22" s="602">
        <v>0</v>
      </c>
      <c r="AH22" s="603">
        <f t="shared" si="5"/>
        <v>4587770443</v>
      </c>
      <c r="AI22" s="602">
        <v>6470456</v>
      </c>
      <c r="AJ22" s="602">
        <v>40191435</v>
      </c>
      <c r="AK22" s="841">
        <f t="shared" si="0"/>
        <v>4587.7704430000003</v>
      </c>
      <c r="AL22" s="841">
        <f t="shared" si="6"/>
        <v>4228.5881639999998</v>
      </c>
      <c r="AM22" s="606">
        <f t="shared" si="1"/>
        <v>30.075002000000001</v>
      </c>
      <c r="AN22" s="842">
        <f t="shared" si="7"/>
        <v>3.0075002000000001E-5</v>
      </c>
      <c r="AO22" s="843">
        <v>0</v>
      </c>
      <c r="AP22" s="844">
        <f t="shared" si="2"/>
        <v>483233397</v>
      </c>
      <c r="AQ22" s="843">
        <v>942572183</v>
      </c>
      <c r="AR22" s="844">
        <f t="shared" si="8"/>
        <v>308752464</v>
      </c>
      <c r="AS22" s="842">
        <f t="shared" si="3"/>
        <v>4587.2784430000002</v>
      </c>
      <c r="AT22" s="843">
        <v>0</v>
      </c>
      <c r="AU22" s="606">
        <f t="shared" si="9"/>
        <v>942.572183</v>
      </c>
      <c r="AV22" s="606">
        <f t="shared" si="9"/>
        <v>308.75246399999997</v>
      </c>
      <c r="AW22" s="851" t="s">
        <v>636</v>
      </c>
      <c r="AX22" s="846">
        <f t="shared" si="10"/>
        <v>483.23339700000002</v>
      </c>
      <c r="AY22" s="846">
        <f t="shared" si="10"/>
        <v>942.572183</v>
      </c>
      <c r="AZ22" s="846">
        <f t="shared" si="10"/>
        <v>308.75246399999997</v>
      </c>
      <c r="BA22" s="846">
        <f t="shared" si="11"/>
        <v>1919.4370130000002</v>
      </c>
      <c r="BB22" s="846">
        <f t="shared" si="12"/>
        <v>1876.347569</v>
      </c>
      <c r="BC22" s="842">
        <f t="shared" si="13"/>
        <v>308.75246399999997</v>
      </c>
      <c r="BD22" s="847">
        <v>1066505917</v>
      </c>
      <c r="BE22" s="846">
        <v>125711190</v>
      </c>
      <c r="BF22" s="846">
        <v>0</v>
      </c>
      <c r="BG22" s="846">
        <v>29475002</v>
      </c>
      <c r="BH22" s="846">
        <v>0</v>
      </c>
      <c r="BI22" s="848">
        <f t="shared" si="14"/>
        <v>29475002</v>
      </c>
      <c r="BJ22" s="846">
        <v>1521571165</v>
      </c>
      <c r="BK22" s="846">
        <v>397865848</v>
      </c>
      <c r="BL22" s="849">
        <f t="shared" si="4"/>
        <v>0.58656519318553035</v>
      </c>
      <c r="BM22" s="850"/>
      <c r="BN22" s="846"/>
      <c r="BO22" s="846"/>
      <c r="BP22" s="846"/>
      <c r="BQ22" s="846"/>
      <c r="BR22" s="846"/>
      <c r="BS22" s="846"/>
      <c r="BT22" s="846"/>
      <c r="BU22" s="846"/>
      <c r="BV22" s="846"/>
      <c r="BW22" s="846"/>
      <c r="BX22" s="846"/>
      <c r="BY22" s="846"/>
    </row>
    <row r="23" spans="1:77">
      <c r="A23" s="600" t="s">
        <v>1091</v>
      </c>
      <c r="B23" s="601" t="s">
        <v>756</v>
      </c>
      <c r="C23" s="602">
        <v>0</v>
      </c>
      <c r="D23" s="602">
        <v>0</v>
      </c>
      <c r="E23" s="602">
        <v>286364</v>
      </c>
      <c r="F23" s="602">
        <v>0</v>
      </c>
      <c r="G23" s="602">
        <v>2616305</v>
      </c>
      <c r="H23" s="602">
        <v>7537273</v>
      </c>
      <c r="I23" s="602">
        <v>0</v>
      </c>
      <c r="J23" s="602">
        <v>19092</v>
      </c>
      <c r="K23" s="602">
        <v>0</v>
      </c>
      <c r="L23" s="602">
        <v>97993967</v>
      </c>
      <c r="M23" s="602">
        <v>5248259</v>
      </c>
      <c r="N23" s="602">
        <v>8221340</v>
      </c>
      <c r="O23" s="602">
        <v>2656108</v>
      </c>
      <c r="P23" s="602">
        <v>2160000</v>
      </c>
      <c r="Q23" s="602">
        <v>3926000</v>
      </c>
      <c r="R23" s="602">
        <v>10887645</v>
      </c>
      <c r="S23" s="602">
        <v>0</v>
      </c>
      <c r="T23" s="602">
        <v>0</v>
      </c>
      <c r="U23" s="602">
        <v>37640000</v>
      </c>
      <c r="V23" s="602">
        <v>44100000</v>
      </c>
      <c r="W23" s="602">
        <v>0</v>
      </c>
      <c r="X23" s="602">
        <v>61610734</v>
      </c>
      <c r="Y23" s="602">
        <v>87898364</v>
      </c>
      <c r="Z23" s="602">
        <v>9391814</v>
      </c>
      <c r="AA23" s="602">
        <v>42793818</v>
      </c>
      <c r="AB23" s="602">
        <v>0</v>
      </c>
      <c r="AC23" s="602">
        <v>0</v>
      </c>
      <c r="AD23" s="602">
        <v>0</v>
      </c>
      <c r="AE23" s="602">
        <v>0</v>
      </c>
      <c r="AF23" s="602">
        <v>0</v>
      </c>
      <c r="AG23" s="602">
        <v>0</v>
      </c>
      <c r="AH23" s="603">
        <f t="shared" si="5"/>
        <v>424987083</v>
      </c>
      <c r="AI23" s="602">
        <v>6824091</v>
      </c>
      <c r="AJ23" s="602">
        <v>13635</v>
      </c>
      <c r="AK23" s="841">
        <f t="shared" si="0"/>
        <v>424.98708299999998</v>
      </c>
      <c r="AL23" s="841">
        <f t="shared" si="6"/>
        <v>10.439942</v>
      </c>
      <c r="AM23" s="606">
        <f t="shared" si="1"/>
        <v>53.681463000000001</v>
      </c>
      <c r="AN23" s="842">
        <f t="shared" si="7"/>
        <v>5.3681463000000003E-5</v>
      </c>
      <c r="AO23" s="843">
        <v>0</v>
      </c>
      <c r="AP23" s="844">
        <f t="shared" si="2"/>
        <v>0</v>
      </c>
      <c r="AQ23" s="843">
        <v>0</v>
      </c>
      <c r="AR23" s="844">
        <f t="shared" si="8"/>
        <v>300408375</v>
      </c>
      <c r="AS23" s="842">
        <f t="shared" si="3"/>
        <v>321.74485700000002</v>
      </c>
      <c r="AT23" s="843">
        <v>0</v>
      </c>
      <c r="AU23" s="606">
        <f t="shared" si="9"/>
        <v>0</v>
      </c>
      <c r="AV23" s="606">
        <f t="shared" si="9"/>
        <v>300.40837499999998</v>
      </c>
      <c r="AW23" s="851" t="s">
        <v>1356</v>
      </c>
      <c r="AX23" s="846">
        <f t="shared" ref="AX23:BC23" si="15">SUM(AX16:AX18)</f>
        <v>669.65646599999991</v>
      </c>
      <c r="AY23" s="846">
        <f t="shared" si="15"/>
        <v>1924.0971730000001</v>
      </c>
      <c r="AZ23" s="846">
        <f t="shared" si="15"/>
        <v>250.328732</v>
      </c>
      <c r="BA23" s="846">
        <f t="shared" si="15"/>
        <v>6712.4592279999997</v>
      </c>
      <c r="BB23" s="846">
        <f t="shared" si="15"/>
        <v>3840.9687290000011</v>
      </c>
      <c r="BC23" s="846">
        <f t="shared" si="15"/>
        <v>250.328732</v>
      </c>
      <c r="BD23" s="847">
        <v>2727</v>
      </c>
      <c r="BE23" s="846">
        <v>2727</v>
      </c>
      <c r="BF23" s="846">
        <v>72298364</v>
      </c>
      <c r="BG23" s="846">
        <v>2081818</v>
      </c>
      <c r="BH23" s="846">
        <v>0</v>
      </c>
      <c r="BI23" s="848">
        <f t="shared" si="14"/>
        <v>74380182</v>
      </c>
      <c r="BJ23" s="846">
        <v>10153578</v>
      </c>
      <c r="BK23" s="846">
        <v>0</v>
      </c>
      <c r="BL23" s="849" t="e">
        <f t="shared" si="4"/>
        <v>#DIV/0!</v>
      </c>
      <c r="BM23" s="850"/>
      <c r="BN23" s="846"/>
      <c r="BO23" s="846"/>
      <c r="BP23" s="846"/>
      <c r="BQ23" s="846"/>
      <c r="BR23" s="846"/>
      <c r="BS23" s="846"/>
      <c r="BT23" s="846"/>
      <c r="BU23" s="846"/>
      <c r="BV23" s="846"/>
      <c r="BW23" s="846"/>
      <c r="BX23" s="846"/>
      <c r="BY23" s="846"/>
    </row>
    <row r="24" spans="1:77">
      <c r="A24" s="600" t="s">
        <v>1092</v>
      </c>
      <c r="B24" s="601" t="s">
        <v>746</v>
      </c>
      <c r="C24" s="602">
        <v>0</v>
      </c>
      <c r="D24" s="602">
        <v>0</v>
      </c>
      <c r="E24" s="602">
        <v>1045454</v>
      </c>
      <c r="F24" s="602">
        <v>0</v>
      </c>
      <c r="G24" s="602">
        <v>0</v>
      </c>
      <c r="H24" s="602">
        <v>0</v>
      </c>
      <c r="I24" s="602">
        <v>0</v>
      </c>
      <c r="J24" s="602">
        <v>0</v>
      </c>
      <c r="K24" s="602">
        <v>0</v>
      </c>
      <c r="L24" s="602">
        <v>0</v>
      </c>
      <c r="M24" s="602">
        <v>0</v>
      </c>
      <c r="N24" s="602">
        <v>0</v>
      </c>
      <c r="O24" s="602">
        <v>0</v>
      </c>
      <c r="P24" s="602">
        <v>0</v>
      </c>
      <c r="Q24" s="602">
        <v>0</v>
      </c>
      <c r="R24" s="602">
        <v>0</v>
      </c>
      <c r="S24" s="602">
        <v>0</v>
      </c>
      <c r="T24" s="602">
        <v>0</v>
      </c>
      <c r="U24" s="602">
        <v>0</v>
      </c>
      <c r="V24" s="602">
        <v>0</v>
      </c>
      <c r="W24" s="602">
        <v>0</v>
      </c>
      <c r="X24" s="602">
        <v>0</v>
      </c>
      <c r="Y24" s="602">
        <v>0</v>
      </c>
      <c r="Z24" s="602">
        <v>0</v>
      </c>
      <c r="AA24" s="602">
        <v>0</v>
      </c>
      <c r="AB24" s="602">
        <v>0</v>
      </c>
      <c r="AC24" s="602">
        <v>0</v>
      </c>
      <c r="AD24" s="602">
        <v>0</v>
      </c>
      <c r="AE24" s="602">
        <v>0</v>
      </c>
      <c r="AF24" s="602">
        <v>0</v>
      </c>
      <c r="AG24" s="602">
        <v>0</v>
      </c>
      <c r="AH24" s="603">
        <f t="shared" si="5"/>
        <v>1045454</v>
      </c>
      <c r="AI24" s="602">
        <v>0</v>
      </c>
      <c r="AJ24" s="602">
        <v>0</v>
      </c>
      <c r="AK24" s="841">
        <f t="shared" si="0"/>
        <v>1.0454540000000001</v>
      </c>
      <c r="AL24" s="841">
        <f t="shared" si="6"/>
        <v>1.0454540000000001</v>
      </c>
      <c r="AM24" s="606">
        <f t="shared" si="1"/>
        <v>0</v>
      </c>
      <c r="AN24" s="842">
        <f t="shared" si="7"/>
        <v>0</v>
      </c>
      <c r="AO24" s="843">
        <v>0</v>
      </c>
      <c r="AP24" s="844">
        <f t="shared" si="2"/>
        <v>0</v>
      </c>
      <c r="AQ24" s="843">
        <v>0</v>
      </c>
      <c r="AR24" s="844">
        <f t="shared" si="8"/>
        <v>0</v>
      </c>
      <c r="AS24" s="842">
        <f t="shared" si="3"/>
        <v>1.0454540000000001</v>
      </c>
      <c r="AT24" s="843">
        <v>0</v>
      </c>
      <c r="AU24" s="606">
        <f t="shared" si="9"/>
        <v>0</v>
      </c>
      <c r="AV24" s="606">
        <f>AR24/1000000</f>
        <v>0</v>
      </c>
      <c r="AW24" s="851" t="s">
        <v>1357</v>
      </c>
      <c r="AX24" s="846">
        <f t="shared" ref="AX24:BC24" si="16">AX20+AX21</f>
        <v>561.95295999999996</v>
      </c>
      <c r="AY24" s="846">
        <f t="shared" si="16"/>
        <v>1166.4526390000001</v>
      </c>
      <c r="AZ24" s="846">
        <f t="shared" si="16"/>
        <v>505.06968899999998</v>
      </c>
      <c r="BA24" s="846">
        <f t="shared" si="16"/>
        <v>3410.2158509999999</v>
      </c>
      <c r="BB24" s="846">
        <f t="shared" si="16"/>
        <v>2329.9331490000009</v>
      </c>
      <c r="BC24" s="846">
        <f t="shared" si="16"/>
        <v>505.06968899999998</v>
      </c>
      <c r="BD24" s="847">
        <v>126573849</v>
      </c>
      <c r="BE24" s="846">
        <v>126573849</v>
      </c>
      <c r="BF24" s="846">
        <v>0</v>
      </c>
      <c r="BG24" s="846">
        <v>0</v>
      </c>
      <c r="BH24" s="846">
        <v>0</v>
      </c>
      <c r="BI24" s="848">
        <f t="shared" si="14"/>
        <v>0</v>
      </c>
      <c r="BJ24" s="846">
        <v>0</v>
      </c>
      <c r="BK24" s="846">
        <v>0</v>
      </c>
      <c r="BL24" s="849" t="e">
        <f t="shared" si="4"/>
        <v>#DIV/0!</v>
      </c>
      <c r="BM24" s="850"/>
      <c r="BN24" s="846"/>
      <c r="BO24" s="846"/>
      <c r="BP24" s="846"/>
      <c r="BQ24" s="846"/>
      <c r="BR24" s="846"/>
      <c r="BS24" s="846"/>
      <c r="BT24" s="846"/>
      <c r="BU24" s="846"/>
      <c r="BV24" s="846"/>
      <c r="BW24" s="846"/>
      <c r="BX24" s="846"/>
      <c r="BY24" s="846"/>
    </row>
    <row r="25" spans="1:77">
      <c r="A25" s="600" t="s">
        <v>1093</v>
      </c>
      <c r="B25" s="604" t="s">
        <v>1094</v>
      </c>
      <c r="C25" s="603">
        <f>SUM(C14:C24)</f>
        <v>2998718390</v>
      </c>
      <c r="D25" s="603">
        <f t="shared" ref="D25:AH25" si="17">SUM(D14:D24)</f>
        <v>12285139851</v>
      </c>
      <c r="E25" s="603">
        <f t="shared" si="17"/>
        <v>70054528</v>
      </c>
      <c r="F25" s="603">
        <f t="shared" si="17"/>
        <v>0</v>
      </c>
      <c r="G25" s="603">
        <f t="shared" si="17"/>
        <v>13056254224</v>
      </c>
      <c r="H25" s="603">
        <f t="shared" si="17"/>
        <v>47185513</v>
      </c>
      <c r="I25" s="603">
        <f t="shared" si="17"/>
        <v>3545939170</v>
      </c>
      <c r="J25" s="603">
        <f t="shared" si="17"/>
        <v>109262598</v>
      </c>
      <c r="K25" s="603">
        <f>SUM(K14:K24)</f>
        <v>512918251</v>
      </c>
      <c r="L25" s="603">
        <f t="shared" si="17"/>
        <v>213692194</v>
      </c>
      <c r="M25" s="603">
        <f t="shared" si="17"/>
        <v>5248259</v>
      </c>
      <c r="N25" s="603">
        <f t="shared" si="17"/>
        <v>10117159</v>
      </c>
      <c r="O25" s="603">
        <f t="shared" si="17"/>
        <v>16792133</v>
      </c>
      <c r="P25" s="603">
        <f t="shared" si="17"/>
        <v>2160000</v>
      </c>
      <c r="Q25" s="603">
        <f t="shared" si="17"/>
        <v>3926000</v>
      </c>
      <c r="R25" s="603">
        <f t="shared" si="17"/>
        <v>10887645</v>
      </c>
      <c r="S25" s="603">
        <f t="shared" si="17"/>
        <v>0</v>
      </c>
      <c r="T25" s="603">
        <f t="shared" si="17"/>
        <v>0</v>
      </c>
      <c r="U25" s="603">
        <f t="shared" si="17"/>
        <v>559043639</v>
      </c>
      <c r="V25" s="603">
        <f t="shared" si="17"/>
        <v>125964642</v>
      </c>
      <c r="W25" s="603">
        <f t="shared" si="17"/>
        <v>309928908</v>
      </c>
      <c r="X25" s="603">
        <f t="shared" si="17"/>
        <v>250360754</v>
      </c>
      <c r="Y25" s="603">
        <f t="shared" si="17"/>
        <v>128699364</v>
      </c>
      <c r="Z25" s="603">
        <f t="shared" si="17"/>
        <v>24644533</v>
      </c>
      <c r="AA25" s="603">
        <f t="shared" si="17"/>
        <v>143198547</v>
      </c>
      <c r="AB25" s="603">
        <f t="shared" si="17"/>
        <v>0</v>
      </c>
      <c r="AC25" s="603">
        <f t="shared" si="17"/>
        <v>0</v>
      </c>
      <c r="AD25" s="603">
        <f t="shared" si="17"/>
        <v>0</v>
      </c>
      <c r="AE25" s="603">
        <f t="shared" si="17"/>
        <v>0</v>
      </c>
      <c r="AF25" s="603">
        <f t="shared" si="17"/>
        <v>0</v>
      </c>
      <c r="AG25" s="603">
        <f t="shared" si="17"/>
        <v>0</v>
      </c>
      <c r="AH25" s="603">
        <f t="shared" si="17"/>
        <v>34430136302</v>
      </c>
      <c r="AI25" s="603">
        <f>SUM(AI14:AI24)</f>
        <v>95533540</v>
      </c>
      <c r="AJ25" s="603">
        <f>SUM(AJ14:AJ24)</f>
        <v>345138210</v>
      </c>
      <c r="AK25" s="841">
        <f t="shared" si="0"/>
        <v>34430.136301999999</v>
      </c>
      <c r="AL25" s="841">
        <f t="shared" si="6"/>
        <v>32003.291676000001</v>
      </c>
      <c r="AM25" s="852">
        <f>SUM(AM14:AM24)</f>
        <v>154.08619200000001</v>
      </c>
      <c r="AN25" s="852">
        <f>SUM(AN14:AN24)</f>
        <v>1.5408619200000002E-4</v>
      </c>
      <c r="AO25" s="852">
        <f>SUM(AO14:AO24)</f>
        <v>0</v>
      </c>
      <c r="AP25" s="853">
        <f t="shared" si="2"/>
        <v>2998718390</v>
      </c>
      <c r="AQ25" s="852">
        <f>SUM(AQ14:AQ24)</f>
        <v>6861970380</v>
      </c>
      <c r="AR25" s="853">
        <f t="shared" si="8"/>
        <v>1558814032</v>
      </c>
      <c r="AS25" s="848">
        <f t="shared" si="3"/>
        <v>34211.195849000003</v>
      </c>
      <c r="AT25" s="852">
        <f>SUM(AT14:AT24)</f>
        <v>0</v>
      </c>
      <c r="AU25" s="854">
        <f t="shared" si="9"/>
        <v>6861.9703799999997</v>
      </c>
      <c r="AV25" s="606">
        <f>AR25/1000000</f>
        <v>1558.814032</v>
      </c>
      <c r="AW25" s="851" t="s">
        <v>1358</v>
      </c>
      <c r="AX25" s="846">
        <f t="shared" ref="AX25:BC25" si="18">AX19+AX22</f>
        <v>770.57651499999997</v>
      </c>
      <c r="AY25" s="846">
        <f t="shared" si="18"/>
        <v>1926.939212</v>
      </c>
      <c r="AZ25" s="846">
        <f t="shared" si="18"/>
        <v>406.973343</v>
      </c>
      <c r="BA25" s="846">
        <f t="shared" si="18"/>
        <v>4053.2874740000002</v>
      </c>
      <c r="BB25" s="846">
        <f t="shared" si="18"/>
        <v>3716.2405520000002</v>
      </c>
      <c r="BC25" s="846">
        <f t="shared" si="18"/>
        <v>406.973343</v>
      </c>
      <c r="BD25" s="847">
        <v>7652356854</v>
      </c>
      <c r="BE25" s="846">
        <v>1241626817</v>
      </c>
      <c r="BF25" s="846">
        <v>110099364</v>
      </c>
      <c r="BG25" s="846">
        <v>83484547</v>
      </c>
      <c r="BH25" s="846">
        <v>0</v>
      </c>
      <c r="BI25" s="848">
        <f t="shared" si="14"/>
        <v>193583911</v>
      </c>
      <c r="BJ25" s="842"/>
      <c r="BK25" s="842"/>
      <c r="BL25" s="849">
        <f t="shared" si="4"/>
        <v>0.62289537985008003</v>
      </c>
      <c r="BM25" s="850"/>
      <c r="BN25" s="846"/>
      <c r="BO25" s="846"/>
      <c r="BP25" s="846"/>
      <c r="BQ25" s="846"/>
      <c r="BR25" s="846"/>
      <c r="BS25" s="846"/>
      <c r="BT25" s="846"/>
      <c r="BU25" s="846"/>
      <c r="BV25" s="846"/>
      <c r="BW25" s="846"/>
      <c r="BX25" s="846"/>
      <c r="BY25" s="846"/>
    </row>
    <row r="26" spans="1:77">
      <c r="A26" s="1516" t="s">
        <v>1095</v>
      </c>
      <c r="B26" s="1516"/>
      <c r="C26" s="605">
        <f>C25/$AH25</f>
        <v>8.7095745532259433E-2</v>
      </c>
      <c r="D26" s="605">
        <f t="shared" ref="D26:AH26" si="19">D25/$AH25</f>
        <v>0.35681357004347303</v>
      </c>
      <c r="E26" s="605">
        <f t="shared" si="19"/>
        <v>2.0346863394766937E-3</v>
      </c>
      <c r="F26" s="605">
        <f t="shared" si="19"/>
        <v>0</v>
      </c>
      <c r="G26" s="605">
        <f t="shared" si="19"/>
        <v>0.37921006496978577</v>
      </c>
      <c r="H26" s="605">
        <f t="shared" si="19"/>
        <v>1.3704712809184858E-3</v>
      </c>
      <c r="I26" s="605">
        <f t="shared" si="19"/>
        <v>0.10298940262382933</v>
      </c>
      <c r="J26" s="605">
        <f t="shared" si="19"/>
        <v>3.1734581891171044E-3</v>
      </c>
      <c r="K26" s="605">
        <f t="shared" si="19"/>
        <v>1.4897363359267482E-2</v>
      </c>
      <c r="L26" s="605">
        <f t="shared" si="19"/>
        <v>6.2065451070429517E-3</v>
      </c>
      <c r="M26" s="605">
        <f t="shared" si="19"/>
        <v>1.5243212963101559E-4</v>
      </c>
      <c r="N26" s="605">
        <f t="shared" si="19"/>
        <v>2.9384603392965098E-4</v>
      </c>
      <c r="O26" s="605">
        <f t="shared" si="19"/>
        <v>4.8771613486248578E-4</v>
      </c>
      <c r="P26" s="605">
        <f t="shared" si="19"/>
        <v>6.2735737699491149E-5</v>
      </c>
      <c r="Q26" s="605">
        <f t="shared" si="19"/>
        <v>1.1402801213342695E-4</v>
      </c>
      <c r="R26" s="605">
        <f t="shared" si="19"/>
        <v>3.1622427818758163E-4</v>
      </c>
      <c r="S26" s="605">
        <f t="shared" si="19"/>
        <v>0</v>
      </c>
      <c r="T26" s="605">
        <f t="shared" si="19"/>
        <v>0</v>
      </c>
      <c r="U26" s="605">
        <f t="shared" si="19"/>
        <v>1.6237044027256026E-2</v>
      </c>
      <c r="V26" s="605">
        <f t="shared" si="19"/>
        <v>3.6585577499640303E-3</v>
      </c>
      <c r="W26" s="605">
        <f t="shared" si="19"/>
        <v>9.0016753137859822E-3</v>
      </c>
      <c r="X26" s="605">
        <f t="shared" si="19"/>
        <v>7.2715586079587164E-3</v>
      </c>
      <c r="Y26" s="605">
        <f t="shared" si="19"/>
        <v>3.7379858990719138E-3</v>
      </c>
      <c r="Z26" s="605">
        <f t="shared" si="19"/>
        <v>7.1578377685854332E-4</v>
      </c>
      <c r="AA26" s="605">
        <f t="shared" si="19"/>
        <v>4.1591048534908581E-3</v>
      </c>
      <c r="AB26" s="605">
        <f t="shared" si="19"/>
        <v>0</v>
      </c>
      <c r="AC26" s="605">
        <f t="shared" si="19"/>
        <v>0</v>
      </c>
      <c r="AD26" s="605">
        <f t="shared" si="19"/>
        <v>0</v>
      </c>
      <c r="AE26" s="605">
        <f t="shared" si="19"/>
        <v>0</v>
      </c>
      <c r="AF26" s="605">
        <f t="shared" si="19"/>
        <v>0</v>
      </c>
      <c r="AG26" s="605">
        <f t="shared" si="19"/>
        <v>0</v>
      </c>
      <c r="AH26" s="605">
        <f t="shared" si="19"/>
        <v>1</v>
      </c>
      <c r="AI26" s="605"/>
      <c r="AJ26" s="605"/>
      <c r="AK26" s="855"/>
      <c r="AL26" s="855"/>
      <c r="AM26" s="543"/>
      <c r="AO26" s="851"/>
      <c r="AP26" s="851"/>
      <c r="AQ26" s="851"/>
      <c r="AR26" s="851"/>
      <c r="AS26" s="851"/>
      <c r="AT26" s="851"/>
      <c r="AU26" s="851"/>
      <c r="AV26" s="851"/>
      <c r="AW26" s="851" t="s">
        <v>1094</v>
      </c>
      <c r="AX26" s="846">
        <f>AP25/1000000</f>
        <v>2998.71839</v>
      </c>
      <c r="AY26" s="846">
        <f>AQ25/1000000</f>
        <v>6861.9703799999997</v>
      </c>
      <c r="AZ26" s="846">
        <f>AR25/1000000</f>
        <v>1558.814032</v>
      </c>
      <c r="BA26" s="846">
        <f>G25/1000000+I25/1000000</f>
        <v>16602.193394000002</v>
      </c>
      <c r="BB26" s="846">
        <f>AH25/1000000-AX26-AZ26-BA26</f>
        <v>13270.410485999997</v>
      </c>
      <c r="BC26" s="543">
        <f>AV25</f>
        <v>1558.814032</v>
      </c>
      <c r="BD26" s="847"/>
      <c r="BE26" s="856">
        <f>BE25/BD25</f>
        <v>0.16225417092918024</v>
      </c>
      <c r="BF26" s="846">
        <f>SUM(BF14:BF25)</f>
        <v>220198728</v>
      </c>
      <c r="BG26" s="846">
        <f>SUM(BG14:BG25)</f>
        <v>166969094</v>
      </c>
      <c r="BH26" s="846">
        <f>SUM(BH14:BH25)</f>
        <v>0</v>
      </c>
      <c r="BI26" s="848">
        <f t="shared" si="14"/>
        <v>387167822</v>
      </c>
      <c r="BJ26" s="847">
        <f>SUM(BJ15:BJ25)</f>
        <v>13103439737</v>
      </c>
      <c r="BK26" s="847">
        <f>SUM(BK15:BK25)</f>
        <v>3471272824</v>
      </c>
      <c r="BL26" s="849">
        <f t="shared" si="4"/>
        <v>0</v>
      </c>
      <c r="BM26" s="857"/>
      <c r="BN26" s="847"/>
      <c r="BO26" s="847"/>
      <c r="BP26" s="847"/>
      <c r="BQ26" s="847"/>
      <c r="BR26" s="847"/>
      <c r="BS26" s="847"/>
      <c r="BT26" s="847"/>
      <c r="BU26" s="847"/>
      <c r="BV26" s="847"/>
      <c r="BW26" s="847"/>
      <c r="BX26" s="847"/>
    </row>
    <row r="27" spans="1:77" s="551" customFormat="1">
      <c r="B27" s="587"/>
      <c r="C27" s="606"/>
      <c r="D27" s="607"/>
      <c r="E27" s="607"/>
      <c r="F27" s="607"/>
      <c r="G27" s="607"/>
      <c r="H27" s="607"/>
      <c r="I27" s="607"/>
      <c r="J27" s="607"/>
      <c r="K27" s="607"/>
      <c r="L27" s="607"/>
      <c r="M27" s="607"/>
      <c r="N27" s="607"/>
      <c r="O27" s="607"/>
      <c r="P27" s="607"/>
      <c r="Q27" s="607"/>
      <c r="R27" s="607"/>
      <c r="S27" s="607"/>
      <c r="T27" s="607"/>
      <c r="U27" s="607"/>
      <c r="V27" s="607"/>
      <c r="W27" s="607"/>
      <c r="X27" s="607"/>
      <c r="Y27" s="607"/>
      <c r="Z27" s="607"/>
      <c r="AA27" s="607"/>
      <c r="AB27" s="607"/>
      <c r="AC27" s="607"/>
      <c r="AD27" s="607"/>
      <c r="AE27" s="607"/>
      <c r="AF27" s="607"/>
      <c r="AG27" s="607"/>
      <c r="BD27" s="858"/>
    </row>
    <row r="28" spans="1:77" s="588" customFormat="1" ht="17.25">
      <c r="A28" s="590" t="str">
        <f>"II. Lũy kế đến tháng "&amp;S6&amp;"/"&amp;U6</f>
        <v>II. Lũy kế đến tháng 5/2024</v>
      </c>
      <c r="B28" s="590"/>
      <c r="C28" s="583"/>
      <c r="D28" s="583"/>
      <c r="E28" s="583"/>
      <c r="F28" s="583"/>
      <c r="G28" s="583"/>
      <c r="H28" s="583"/>
      <c r="I28" s="583"/>
      <c r="J28" s="583"/>
      <c r="K28" s="583"/>
      <c r="L28" s="583"/>
      <c r="M28" s="583"/>
      <c r="N28" s="583"/>
      <c r="O28" s="583"/>
      <c r="P28" s="583"/>
      <c r="Q28" s="583"/>
      <c r="R28" s="583"/>
      <c r="S28" s="583"/>
      <c r="U28" s="591"/>
    </row>
    <row r="29" spans="1:77" s="588" customFormat="1" ht="16.5" customHeight="1">
      <c r="A29" s="1507" t="s">
        <v>0</v>
      </c>
      <c r="B29" s="1511" t="s">
        <v>632</v>
      </c>
      <c r="C29" s="1513" t="s">
        <v>1005</v>
      </c>
      <c r="D29" s="1514"/>
      <c r="E29" s="1515"/>
      <c r="F29" s="832"/>
      <c r="G29" s="832"/>
      <c r="H29" s="832"/>
      <c r="I29" s="832"/>
      <c r="J29" s="832"/>
      <c r="K29" s="832"/>
      <c r="L29" s="832"/>
      <c r="M29" s="832"/>
      <c r="N29" s="832"/>
      <c r="O29" s="832"/>
      <c r="P29" s="1517" t="s">
        <v>1016</v>
      </c>
      <c r="Q29" s="1517"/>
      <c r="R29" s="1517"/>
      <c r="S29" s="832"/>
      <c r="T29" s="832"/>
      <c r="U29" s="832"/>
      <c r="V29" s="832"/>
      <c r="W29" s="832"/>
      <c r="X29" s="1517" t="s">
        <v>1022</v>
      </c>
      <c r="Y29" s="1517"/>
      <c r="Z29" s="1517"/>
      <c r="AA29" s="1517"/>
      <c r="AB29" s="832"/>
      <c r="AC29" s="832"/>
      <c r="AD29" s="832"/>
      <c r="AE29" s="832"/>
      <c r="AF29" s="832"/>
      <c r="AG29" s="832"/>
      <c r="AH29" s="832"/>
      <c r="AI29" s="1507" t="s">
        <v>489</v>
      </c>
      <c r="AJ29" s="1507"/>
    </row>
    <row r="30" spans="1:77" s="594" customFormat="1" ht="66">
      <c r="A30" s="1508"/>
      <c r="B30" s="1512"/>
      <c r="C30" s="592" t="s">
        <v>1030</v>
      </c>
      <c r="D30" s="592" t="s">
        <v>1031</v>
      </c>
      <c r="E30" s="592" t="s">
        <v>1032</v>
      </c>
      <c r="F30" s="833" t="s">
        <v>1006</v>
      </c>
      <c r="G30" s="833" t="s">
        <v>1007</v>
      </c>
      <c r="H30" s="833" t="s">
        <v>1008</v>
      </c>
      <c r="I30" s="833" t="s">
        <v>1009</v>
      </c>
      <c r="J30" s="833" t="s">
        <v>1010</v>
      </c>
      <c r="K30" s="833" t="s">
        <v>1011</v>
      </c>
      <c r="L30" s="833" t="s">
        <v>1012</v>
      </c>
      <c r="M30" s="833" t="s">
        <v>1013</v>
      </c>
      <c r="N30" s="833" t="s">
        <v>1014</v>
      </c>
      <c r="O30" s="833" t="s">
        <v>1015</v>
      </c>
      <c r="P30" s="593" t="s">
        <v>1033</v>
      </c>
      <c r="Q30" s="593" t="s">
        <v>1034</v>
      </c>
      <c r="R30" s="593" t="s">
        <v>1035</v>
      </c>
      <c r="S30" s="833" t="s">
        <v>1017</v>
      </c>
      <c r="T30" s="833" t="s">
        <v>1018</v>
      </c>
      <c r="U30" s="833" t="s">
        <v>1019</v>
      </c>
      <c r="V30" s="833" t="s">
        <v>1020</v>
      </c>
      <c r="W30" s="833" t="s">
        <v>1021</v>
      </c>
      <c r="X30" s="593" t="s">
        <v>1036</v>
      </c>
      <c r="Y30" s="593" t="s">
        <v>1037</v>
      </c>
      <c r="Z30" s="593" t="s">
        <v>1038</v>
      </c>
      <c r="AA30" s="593" t="s">
        <v>1039</v>
      </c>
      <c r="AB30" s="833" t="s">
        <v>1023</v>
      </c>
      <c r="AC30" s="833" t="s">
        <v>1024</v>
      </c>
      <c r="AD30" s="833" t="s">
        <v>1025</v>
      </c>
      <c r="AE30" s="833" t="s">
        <v>1026</v>
      </c>
      <c r="AF30" s="833" t="s">
        <v>1027</v>
      </c>
      <c r="AG30" s="833" t="s">
        <v>1028</v>
      </c>
      <c r="AH30" s="833" t="s">
        <v>1029</v>
      </c>
      <c r="AI30" s="592" t="s">
        <v>1040</v>
      </c>
      <c r="AJ30" s="592" t="s">
        <v>1041</v>
      </c>
      <c r="AK30" s="588"/>
      <c r="AL30" s="588"/>
    </row>
    <row r="31" spans="1:77" s="551" customFormat="1">
      <c r="A31" s="600" t="s">
        <v>1081</v>
      </c>
      <c r="B31" s="601" t="s">
        <v>1082</v>
      </c>
      <c r="C31" s="602">
        <v>0</v>
      </c>
      <c r="D31" s="602">
        <v>150744750</v>
      </c>
      <c r="E31" s="602">
        <v>1504546</v>
      </c>
      <c r="F31" s="602">
        <v>0</v>
      </c>
      <c r="G31" s="602">
        <v>0</v>
      </c>
      <c r="H31" s="602">
        <v>0</v>
      </c>
      <c r="I31" s="602">
        <v>423491526</v>
      </c>
      <c r="J31" s="602">
        <v>282195</v>
      </c>
      <c r="K31" s="602">
        <v>0</v>
      </c>
      <c r="L31" s="602">
        <v>0</v>
      </c>
      <c r="M31" s="602">
        <v>0</v>
      </c>
      <c r="N31" s="602">
        <v>0</v>
      </c>
      <c r="O31" s="602">
        <v>0</v>
      </c>
      <c r="P31" s="602">
        <v>0</v>
      </c>
      <c r="Q31" s="602">
        <v>0</v>
      </c>
      <c r="R31" s="602">
        <v>0</v>
      </c>
      <c r="S31" s="602">
        <v>0</v>
      </c>
      <c r="T31" s="602">
        <v>0</v>
      </c>
      <c r="U31" s="602">
        <v>0</v>
      </c>
      <c r="V31" s="602">
        <v>0</v>
      </c>
      <c r="W31" s="602">
        <v>0</v>
      </c>
      <c r="X31" s="602">
        <v>0</v>
      </c>
      <c r="Y31" s="602">
        <v>0</v>
      </c>
      <c r="Z31" s="602">
        <v>0</v>
      </c>
      <c r="AA31" s="602">
        <v>0</v>
      </c>
      <c r="AB31" s="602">
        <v>0</v>
      </c>
      <c r="AC31" s="602">
        <v>0</v>
      </c>
      <c r="AD31" s="602">
        <v>0</v>
      </c>
      <c r="AE31" s="602">
        <v>0</v>
      </c>
      <c r="AF31" s="602">
        <v>0</v>
      </c>
      <c r="AG31" s="602">
        <v>0</v>
      </c>
      <c r="AH31" s="603">
        <f>SUM(C31:AG31)</f>
        <v>576023017</v>
      </c>
      <c r="AI31" s="602">
        <v>1113636</v>
      </c>
      <c r="AJ31" s="602">
        <v>0</v>
      </c>
      <c r="AK31" s="841">
        <f t="shared" ref="AK31:AK42" si="20">AH31/1000000</f>
        <v>576.02301699999998</v>
      </c>
      <c r="AL31" s="841">
        <f>(C31+G31+I31+D31+H31+E31)/1000000</f>
        <v>575.74082199999998</v>
      </c>
      <c r="AM31" s="606">
        <f t="shared" ref="AM31:AM41" si="21">(R31+S31+T31+AA31+AB31+AE31+AF31+AG31)</f>
        <v>0</v>
      </c>
      <c r="AN31" s="842">
        <f>AM31/1000000</f>
        <v>0</v>
      </c>
      <c r="AO31" s="843">
        <v>0</v>
      </c>
      <c r="AP31" s="844">
        <f t="shared" ref="AP31:AP41" si="22">C31-AO31</f>
        <v>0</v>
      </c>
      <c r="AQ31" s="843">
        <v>53200184</v>
      </c>
      <c r="AR31" s="844">
        <f t="shared" ref="AR31:AR41" si="23">(SUM(R31:AG31)-AG31)</f>
        <v>0</v>
      </c>
      <c r="AS31" s="842">
        <f t="shared" ref="AS31:AS41" si="24">(AH31-L31-M31)/1000000</f>
        <v>576.02301699999998</v>
      </c>
      <c r="AT31" s="606">
        <f t="shared" ref="AT31:AT41" si="25">O31/1000000</f>
        <v>0</v>
      </c>
      <c r="AU31" s="606">
        <f>AQ31/1000000</f>
        <v>53.200184</v>
      </c>
      <c r="AV31" s="606">
        <f>AR31/1000000</f>
        <v>0</v>
      </c>
      <c r="BJ31" s="846">
        <v>0</v>
      </c>
      <c r="BK31" s="846">
        <v>423.49152600000002</v>
      </c>
      <c r="BN31" s="846"/>
      <c r="BO31" s="846"/>
    </row>
    <row r="32" spans="1:77" s="551" customFormat="1">
      <c r="A32" s="600" t="s">
        <v>1083</v>
      </c>
      <c r="B32" s="601" t="s">
        <v>668</v>
      </c>
      <c r="C32" s="602">
        <v>4986287522</v>
      </c>
      <c r="D32" s="602">
        <v>14306665142</v>
      </c>
      <c r="E32" s="602">
        <v>73168138</v>
      </c>
      <c r="F32" s="602">
        <v>0</v>
      </c>
      <c r="G32" s="602">
        <v>9726756133</v>
      </c>
      <c r="H32" s="602">
        <v>0</v>
      </c>
      <c r="I32" s="602">
        <v>1807455610</v>
      </c>
      <c r="J32" s="602">
        <v>95794463</v>
      </c>
      <c r="K32" s="602">
        <v>1211144029</v>
      </c>
      <c r="L32" s="602">
        <v>472656116</v>
      </c>
      <c r="M32" s="602">
        <v>0</v>
      </c>
      <c r="N32" s="602">
        <v>1931668</v>
      </c>
      <c r="O32" s="602">
        <v>27048189</v>
      </c>
      <c r="P32" s="602">
        <v>0</v>
      </c>
      <c r="Q32" s="602">
        <v>0</v>
      </c>
      <c r="R32" s="602">
        <v>0</v>
      </c>
      <c r="S32" s="602">
        <v>0</v>
      </c>
      <c r="T32" s="602">
        <v>0</v>
      </c>
      <c r="U32" s="602">
        <v>289156367</v>
      </c>
      <c r="V32" s="602">
        <v>34715324</v>
      </c>
      <c r="W32" s="602">
        <v>75152365</v>
      </c>
      <c r="X32" s="602">
        <v>79576390</v>
      </c>
      <c r="Y32" s="602">
        <v>27218500</v>
      </c>
      <c r="Z32" s="602">
        <v>4874545</v>
      </c>
      <c r="AA32" s="602">
        <v>7797589</v>
      </c>
      <c r="AB32" s="602">
        <v>0</v>
      </c>
      <c r="AC32" s="602">
        <v>0</v>
      </c>
      <c r="AD32" s="602">
        <v>0</v>
      </c>
      <c r="AE32" s="602">
        <v>0</v>
      </c>
      <c r="AF32" s="602">
        <v>0</v>
      </c>
      <c r="AG32" s="602">
        <v>0</v>
      </c>
      <c r="AH32" s="603">
        <f t="shared" ref="AH32:AH42" si="26">SUM(C32:AG32)</f>
        <v>33227398090</v>
      </c>
      <c r="AI32" s="602">
        <v>150263882</v>
      </c>
      <c r="AJ32" s="602">
        <v>292225320</v>
      </c>
      <c r="AK32" s="841">
        <f t="shared" si="20"/>
        <v>33227.398090000002</v>
      </c>
      <c r="AL32" s="841">
        <f t="shared" ref="AL32:AL42" si="27">(C32+G32+I32+D32+H32+E32)/1000000</f>
        <v>30900.332545000001</v>
      </c>
      <c r="AM32" s="606">
        <f t="shared" si="21"/>
        <v>7797589</v>
      </c>
      <c r="AN32" s="842">
        <f t="shared" ref="AN32:AN41" si="28">AM32/1000000</f>
        <v>7.7975890000000003</v>
      </c>
      <c r="AO32" s="843">
        <v>0</v>
      </c>
      <c r="AP32" s="844">
        <f t="shared" si="22"/>
        <v>4986287522</v>
      </c>
      <c r="AQ32" s="843">
        <v>9173587765</v>
      </c>
      <c r="AR32" s="844">
        <f t="shared" si="23"/>
        <v>518491080</v>
      </c>
      <c r="AS32" s="842">
        <f t="shared" si="24"/>
        <v>32754.741974</v>
      </c>
      <c r="AT32" s="606">
        <f t="shared" si="25"/>
        <v>27.048189000000001</v>
      </c>
      <c r="AU32" s="606">
        <f t="shared" ref="AU32:AV40" si="29">AQ32/1000000</f>
        <v>9173.5877650000002</v>
      </c>
      <c r="AV32" s="606">
        <f t="shared" si="29"/>
        <v>518.49108000000001</v>
      </c>
      <c r="AW32" s="845" t="s">
        <v>668</v>
      </c>
      <c r="AX32" s="846">
        <f t="shared" ref="AX32:AZ39" si="30">AP32/1000000</f>
        <v>4986.2875219999996</v>
      </c>
      <c r="AY32" s="846">
        <f t="shared" si="30"/>
        <v>9173.5877650000002</v>
      </c>
      <c r="AZ32" s="846">
        <f t="shared" si="30"/>
        <v>518.49108000000001</v>
      </c>
      <c r="BA32" s="846">
        <f t="shared" ref="BA32:BA39" si="31">G32/1000000</f>
        <v>9726.7561330000008</v>
      </c>
      <c r="BB32" s="846">
        <f t="shared" ref="BB32:BB39" si="32">AH32/1000000-AX32-AZ32-BA32</f>
        <v>17995.863355000001</v>
      </c>
      <c r="BD32" s="846">
        <v>0</v>
      </c>
      <c r="BE32" s="846">
        <v>0</v>
      </c>
      <c r="BF32" s="846">
        <v>0</v>
      </c>
      <c r="BG32" s="846">
        <v>0</v>
      </c>
      <c r="BH32" s="842">
        <f>BG32/1000000</f>
        <v>0</v>
      </c>
      <c r="BJ32" s="846">
        <v>9726.7561330000008</v>
      </c>
      <c r="BK32" s="846">
        <v>1807.45561</v>
      </c>
      <c r="BN32" s="846"/>
      <c r="BO32" s="846"/>
      <c r="BT32" s="846"/>
      <c r="BU32" s="846"/>
      <c r="BV32" s="846"/>
      <c r="BW32" s="859"/>
    </row>
    <row r="33" spans="1:75" s="551" customFormat="1">
      <c r="A33" s="600" t="s">
        <v>1084</v>
      </c>
      <c r="B33" s="601" t="s">
        <v>653</v>
      </c>
      <c r="C33" s="602">
        <v>1872634523</v>
      </c>
      <c r="D33" s="602">
        <v>7903463844</v>
      </c>
      <c r="E33" s="602">
        <v>65577269</v>
      </c>
      <c r="F33" s="602">
        <v>0</v>
      </c>
      <c r="G33" s="602">
        <v>13157791427</v>
      </c>
      <c r="H33" s="602">
        <v>0</v>
      </c>
      <c r="I33" s="602">
        <v>4083965265</v>
      </c>
      <c r="J33" s="602">
        <v>72068177</v>
      </c>
      <c r="K33" s="602">
        <v>293016567</v>
      </c>
      <c r="L33" s="602">
        <v>20425200</v>
      </c>
      <c r="M33" s="602">
        <v>0</v>
      </c>
      <c r="N33" s="602">
        <v>1942684</v>
      </c>
      <c r="O33" s="602">
        <v>7824229</v>
      </c>
      <c r="P33" s="602">
        <v>0</v>
      </c>
      <c r="Q33" s="602">
        <v>0</v>
      </c>
      <c r="R33" s="602">
        <v>550500</v>
      </c>
      <c r="S33" s="602">
        <v>0</v>
      </c>
      <c r="T33" s="602">
        <v>0</v>
      </c>
      <c r="U33" s="602">
        <v>65459090</v>
      </c>
      <c r="V33" s="602">
        <v>278817281</v>
      </c>
      <c r="W33" s="602">
        <v>247107229</v>
      </c>
      <c r="X33" s="602">
        <v>206489923</v>
      </c>
      <c r="Y33" s="602">
        <v>186502958</v>
      </c>
      <c r="Z33" s="602">
        <v>21529080</v>
      </c>
      <c r="AA33" s="602">
        <v>48179175</v>
      </c>
      <c r="AB33" s="602">
        <v>0</v>
      </c>
      <c r="AC33" s="602">
        <v>0</v>
      </c>
      <c r="AD33" s="602">
        <v>0</v>
      </c>
      <c r="AE33" s="602">
        <v>3000000</v>
      </c>
      <c r="AF33" s="602">
        <v>0</v>
      </c>
      <c r="AG33" s="602">
        <v>0</v>
      </c>
      <c r="AH33" s="603">
        <f t="shared" si="26"/>
        <v>28536344421</v>
      </c>
      <c r="AI33" s="602">
        <v>61886361</v>
      </c>
      <c r="AJ33" s="602">
        <v>338920650</v>
      </c>
      <c r="AK33" s="841">
        <f t="shared" si="20"/>
        <v>28536.344421000002</v>
      </c>
      <c r="AL33" s="841">
        <f t="shared" si="27"/>
        <v>27083.432327999999</v>
      </c>
      <c r="AM33" s="606">
        <f t="shared" si="21"/>
        <v>51729675</v>
      </c>
      <c r="AN33" s="842">
        <f t="shared" si="28"/>
        <v>51.729675</v>
      </c>
      <c r="AO33" s="843">
        <v>0</v>
      </c>
      <c r="AP33" s="844">
        <f t="shared" si="22"/>
        <v>1872634523</v>
      </c>
      <c r="AQ33" s="843">
        <v>4088589730</v>
      </c>
      <c r="AR33" s="844">
        <f t="shared" si="23"/>
        <v>1057635236</v>
      </c>
      <c r="AS33" s="842">
        <f t="shared" si="24"/>
        <v>28515.919221</v>
      </c>
      <c r="AT33" s="606">
        <f t="shared" si="25"/>
        <v>7.8242289999999999</v>
      </c>
      <c r="AU33" s="606">
        <f t="shared" si="29"/>
        <v>4088.5897300000001</v>
      </c>
      <c r="AV33" s="606">
        <f t="shared" si="29"/>
        <v>1057.6352360000001</v>
      </c>
      <c r="AW33" s="845" t="s">
        <v>653</v>
      </c>
      <c r="AX33" s="846">
        <f t="shared" si="30"/>
        <v>1872.6345229999999</v>
      </c>
      <c r="AY33" s="846">
        <f t="shared" si="30"/>
        <v>4088.5897300000001</v>
      </c>
      <c r="AZ33" s="846">
        <f t="shared" si="30"/>
        <v>1057.6352360000001</v>
      </c>
      <c r="BA33" s="846">
        <f t="shared" si="31"/>
        <v>13157.791427</v>
      </c>
      <c r="BB33" s="846">
        <f t="shared" si="32"/>
        <v>12448.283234999999</v>
      </c>
      <c r="BD33" s="846">
        <v>0</v>
      </c>
      <c r="BE33" s="846">
        <v>0</v>
      </c>
      <c r="BF33" s="846">
        <v>0</v>
      </c>
      <c r="BG33" s="846">
        <v>0</v>
      </c>
      <c r="BH33" s="842">
        <f t="shared" ref="BH33:BH42" si="33">BG33/1000000</f>
        <v>0</v>
      </c>
      <c r="BJ33" s="846">
        <v>13157.791427</v>
      </c>
      <c r="BK33" s="846">
        <v>4083.9652649999998</v>
      </c>
      <c r="BN33" s="846"/>
      <c r="BO33" s="846"/>
      <c r="BT33" s="846"/>
      <c r="BU33" s="846"/>
      <c r="BV33" s="846"/>
      <c r="BW33" s="859"/>
    </row>
    <row r="34" spans="1:75">
      <c r="A34" s="600" t="s">
        <v>1085</v>
      </c>
      <c r="B34" s="601" t="s">
        <v>646</v>
      </c>
      <c r="C34" s="602">
        <v>970334421</v>
      </c>
      <c r="D34" s="602">
        <v>6013134162</v>
      </c>
      <c r="E34" s="602">
        <v>29068169</v>
      </c>
      <c r="F34" s="602">
        <v>0</v>
      </c>
      <c r="G34" s="602">
        <v>7412665652</v>
      </c>
      <c r="H34" s="602">
        <v>0</v>
      </c>
      <c r="I34" s="602">
        <v>1739634332</v>
      </c>
      <c r="J34" s="602">
        <v>29341262</v>
      </c>
      <c r="K34" s="602">
        <v>112321018</v>
      </c>
      <c r="L34" s="602">
        <v>17965200</v>
      </c>
      <c r="M34" s="602">
        <v>0</v>
      </c>
      <c r="N34" s="602">
        <v>454550</v>
      </c>
      <c r="O34" s="602">
        <v>4718446</v>
      </c>
      <c r="P34" s="602">
        <v>0</v>
      </c>
      <c r="Q34" s="602">
        <v>0</v>
      </c>
      <c r="R34" s="602">
        <v>0</v>
      </c>
      <c r="S34" s="602">
        <v>0</v>
      </c>
      <c r="T34" s="602">
        <v>0</v>
      </c>
      <c r="U34" s="602">
        <v>153856367</v>
      </c>
      <c r="V34" s="602">
        <v>70980194</v>
      </c>
      <c r="W34" s="602">
        <v>69693409</v>
      </c>
      <c r="X34" s="602">
        <v>128828931</v>
      </c>
      <c r="Y34" s="602">
        <v>19312500</v>
      </c>
      <c r="Z34" s="602">
        <v>5860905</v>
      </c>
      <c r="AA34" s="602">
        <v>98501359</v>
      </c>
      <c r="AB34" s="602">
        <v>0</v>
      </c>
      <c r="AC34" s="602">
        <v>0</v>
      </c>
      <c r="AD34" s="602">
        <v>0</v>
      </c>
      <c r="AE34" s="602">
        <v>1190000</v>
      </c>
      <c r="AF34" s="602">
        <v>0</v>
      </c>
      <c r="AG34" s="602">
        <v>0</v>
      </c>
      <c r="AH34" s="603">
        <f t="shared" si="26"/>
        <v>16877860877</v>
      </c>
      <c r="AI34" s="602">
        <v>25715902</v>
      </c>
      <c r="AJ34" s="602">
        <v>146885310</v>
      </c>
      <c r="AK34" s="841">
        <f t="shared" si="20"/>
        <v>16877.860876999999</v>
      </c>
      <c r="AL34" s="841">
        <f t="shared" si="27"/>
        <v>16164.836735999999</v>
      </c>
      <c r="AM34" s="606">
        <f t="shared" si="21"/>
        <v>99691359</v>
      </c>
      <c r="AN34" s="842">
        <f t="shared" si="28"/>
        <v>99.691359000000006</v>
      </c>
      <c r="AO34" s="843">
        <v>0</v>
      </c>
      <c r="AP34" s="844">
        <f t="shared" si="22"/>
        <v>970334421</v>
      </c>
      <c r="AQ34" s="843">
        <v>2840811352</v>
      </c>
      <c r="AR34" s="844">
        <f t="shared" si="23"/>
        <v>548223665</v>
      </c>
      <c r="AS34" s="842">
        <f t="shared" si="24"/>
        <v>16859.895677</v>
      </c>
      <c r="AT34" s="606">
        <f t="shared" si="25"/>
        <v>4.7184460000000001</v>
      </c>
      <c r="AU34" s="606">
        <f t="shared" si="29"/>
        <v>2840.8113520000002</v>
      </c>
      <c r="AV34" s="606">
        <f t="shared" si="29"/>
        <v>548.22366499999998</v>
      </c>
      <c r="AW34" s="851" t="s">
        <v>646</v>
      </c>
      <c r="AX34" s="846">
        <f t="shared" si="30"/>
        <v>970.33442100000002</v>
      </c>
      <c r="AY34" s="846">
        <f t="shared" si="30"/>
        <v>2840.8113520000002</v>
      </c>
      <c r="AZ34" s="846">
        <f t="shared" si="30"/>
        <v>548.22366499999998</v>
      </c>
      <c r="BA34" s="846">
        <f t="shared" si="31"/>
        <v>7412.6656519999997</v>
      </c>
      <c r="BB34" s="846">
        <f t="shared" si="32"/>
        <v>7946.6371390000004</v>
      </c>
      <c r="BD34" s="846">
        <v>0</v>
      </c>
      <c r="BE34" s="846">
        <v>0</v>
      </c>
      <c r="BF34" s="846">
        <v>0</v>
      </c>
      <c r="BG34" s="846">
        <v>0</v>
      </c>
      <c r="BH34" s="842">
        <f t="shared" si="33"/>
        <v>0</v>
      </c>
      <c r="BJ34" s="846">
        <v>7412.6656519999997</v>
      </c>
      <c r="BK34" s="846">
        <v>1739.6343320000001</v>
      </c>
      <c r="BN34" s="846"/>
      <c r="BO34" s="846"/>
      <c r="BT34" s="846"/>
      <c r="BU34" s="846"/>
      <c r="BV34" s="846"/>
      <c r="BW34" s="859"/>
    </row>
    <row r="35" spans="1:75">
      <c r="A35" s="600" t="s">
        <v>1086</v>
      </c>
      <c r="B35" s="601" t="s">
        <v>674</v>
      </c>
      <c r="C35" s="602">
        <v>793415393</v>
      </c>
      <c r="D35" s="602">
        <v>4708538954</v>
      </c>
      <c r="E35" s="602">
        <v>31145451</v>
      </c>
      <c r="F35" s="602">
        <v>0</v>
      </c>
      <c r="G35" s="602">
        <v>5341177923</v>
      </c>
      <c r="H35" s="602">
        <v>0</v>
      </c>
      <c r="I35" s="602">
        <v>1453063739</v>
      </c>
      <c r="J35" s="602">
        <v>21860100</v>
      </c>
      <c r="K35" s="602">
        <v>134603949</v>
      </c>
      <c r="L35" s="602">
        <v>2460000</v>
      </c>
      <c r="M35" s="602">
        <v>0</v>
      </c>
      <c r="N35" s="602">
        <v>6509633</v>
      </c>
      <c r="O35" s="602">
        <v>2278991</v>
      </c>
      <c r="P35" s="602">
        <v>0</v>
      </c>
      <c r="Q35" s="602">
        <v>0</v>
      </c>
      <c r="R35" s="602">
        <v>550500</v>
      </c>
      <c r="S35" s="602">
        <v>0</v>
      </c>
      <c r="T35" s="602">
        <v>0</v>
      </c>
      <c r="U35" s="602">
        <v>29615455</v>
      </c>
      <c r="V35" s="602">
        <v>192003132</v>
      </c>
      <c r="W35" s="602">
        <v>58541636</v>
      </c>
      <c r="X35" s="602">
        <v>124534812</v>
      </c>
      <c r="Y35" s="602">
        <v>68877005</v>
      </c>
      <c r="Z35" s="602">
        <v>11792721</v>
      </c>
      <c r="AA35" s="602">
        <v>17759090</v>
      </c>
      <c r="AB35" s="602">
        <v>0</v>
      </c>
      <c r="AC35" s="602">
        <v>0</v>
      </c>
      <c r="AD35" s="602">
        <v>0</v>
      </c>
      <c r="AE35" s="602">
        <v>0</v>
      </c>
      <c r="AF35" s="602">
        <v>0</v>
      </c>
      <c r="AG35" s="602">
        <v>0</v>
      </c>
      <c r="AH35" s="603">
        <f t="shared" si="26"/>
        <v>12998728484</v>
      </c>
      <c r="AI35" s="602">
        <v>24039994</v>
      </c>
      <c r="AJ35" s="602">
        <v>118992645</v>
      </c>
      <c r="AK35" s="841">
        <f t="shared" si="20"/>
        <v>12998.728483999999</v>
      </c>
      <c r="AL35" s="841">
        <f t="shared" si="27"/>
        <v>12327.34146</v>
      </c>
      <c r="AM35" s="606">
        <f t="shared" si="21"/>
        <v>18309590</v>
      </c>
      <c r="AN35" s="842">
        <f t="shared" si="28"/>
        <v>18.30959</v>
      </c>
      <c r="AO35" s="843">
        <v>0</v>
      </c>
      <c r="AP35" s="844">
        <f t="shared" si="22"/>
        <v>793415393</v>
      </c>
      <c r="AQ35" s="843">
        <v>2828140817</v>
      </c>
      <c r="AR35" s="844">
        <f t="shared" si="23"/>
        <v>503674351</v>
      </c>
      <c r="AS35" s="842">
        <f t="shared" si="24"/>
        <v>12996.268484</v>
      </c>
      <c r="AT35" s="606">
        <f t="shared" si="25"/>
        <v>2.278991</v>
      </c>
      <c r="AU35" s="606">
        <f>AQ35/1000000</f>
        <v>2828.140817</v>
      </c>
      <c r="AV35" s="606">
        <f t="shared" si="29"/>
        <v>503.674351</v>
      </c>
      <c r="AW35" s="851" t="s">
        <v>674</v>
      </c>
      <c r="AX35" s="846">
        <f t="shared" si="30"/>
        <v>793.41539299999999</v>
      </c>
      <c r="AY35" s="846">
        <f t="shared" si="30"/>
        <v>2828.140817</v>
      </c>
      <c r="AZ35" s="846">
        <f t="shared" si="30"/>
        <v>503.674351</v>
      </c>
      <c r="BA35" s="846">
        <f t="shared" si="31"/>
        <v>5341.1779230000002</v>
      </c>
      <c r="BB35" s="846">
        <f t="shared" si="32"/>
        <v>6360.4608170000001</v>
      </c>
      <c r="BD35" s="846">
        <v>0</v>
      </c>
      <c r="BE35" s="846">
        <v>0</v>
      </c>
      <c r="BF35" s="846">
        <v>0</v>
      </c>
      <c r="BG35" s="846">
        <v>0</v>
      </c>
      <c r="BH35" s="842">
        <f t="shared" si="33"/>
        <v>0</v>
      </c>
      <c r="BJ35" s="846">
        <v>5341.1779230000002</v>
      </c>
      <c r="BK35" s="846">
        <v>1453.0637389999999</v>
      </c>
      <c r="BN35" s="846"/>
      <c r="BO35" s="846"/>
      <c r="BT35" s="846"/>
      <c r="BU35" s="846"/>
      <c r="BV35" s="846"/>
      <c r="BW35" s="859"/>
    </row>
    <row r="36" spans="1:75">
      <c r="A36" s="600" t="s">
        <v>1087</v>
      </c>
      <c r="B36" s="601" t="s">
        <v>649</v>
      </c>
      <c r="C36" s="602">
        <v>1459466027</v>
      </c>
      <c r="D36" s="602">
        <v>8414357181</v>
      </c>
      <c r="E36" s="602">
        <v>56072712</v>
      </c>
      <c r="F36" s="602">
        <v>0</v>
      </c>
      <c r="G36" s="602">
        <v>8852202978</v>
      </c>
      <c r="H36" s="602">
        <v>153241200</v>
      </c>
      <c r="I36" s="602">
        <v>1684608752</v>
      </c>
      <c r="J36" s="602">
        <v>59499732</v>
      </c>
      <c r="K36" s="602">
        <v>251466895</v>
      </c>
      <c r="L36" s="602">
        <v>21750000</v>
      </c>
      <c r="M36" s="602">
        <v>4090909</v>
      </c>
      <c r="N36" s="602">
        <v>0</v>
      </c>
      <c r="O36" s="602">
        <v>6629645</v>
      </c>
      <c r="P36" s="602">
        <v>0</v>
      </c>
      <c r="Q36" s="602">
        <v>0</v>
      </c>
      <c r="R36" s="602">
        <v>0</v>
      </c>
      <c r="S36" s="602">
        <v>0</v>
      </c>
      <c r="T36" s="602">
        <v>0</v>
      </c>
      <c r="U36" s="602">
        <v>160909091</v>
      </c>
      <c r="V36" s="602">
        <v>137798760</v>
      </c>
      <c r="W36" s="602">
        <v>43245819</v>
      </c>
      <c r="X36" s="602">
        <v>114764582</v>
      </c>
      <c r="Y36" s="602">
        <v>55926228</v>
      </c>
      <c r="Z36" s="602">
        <v>9277272</v>
      </c>
      <c r="AA36" s="602">
        <v>75547275</v>
      </c>
      <c r="AB36" s="602">
        <v>0</v>
      </c>
      <c r="AC36" s="602">
        <v>0</v>
      </c>
      <c r="AD36" s="602">
        <v>0</v>
      </c>
      <c r="AE36" s="602">
        <v>0</v>
      </c>
      <c r="AF36" s="602">
        <v>0</v>
      </c>
      <c r="AG36" s="602">
        <v>0</v>
      </c>
      <c r="AH36" s="603">
        <f t="shared" si="26"/>
        <v>21560855058</v>
      </c>
      <c r="AI36" s="602">
        <v>43249732</v>
      </c>
      <c r="AJ36" s="602">
        <v>200929905</v>
      </c>
      <c r="AK36" s="841">
        <f>AH36/1000000</f>
        <v>21560.855058000001</v>
      </c>
      <c r="AL36" s="841">
        <f t="shared" si="27"/>
        <v>20619.948850000001</v>
      </c>
      <c r="AM36" s="606">
        <f t="shared" si="21"/>
        <v>75547275</v>
      </c>
      <c r="AN36" s="842">
        <f t="shared" si="28"/>
        <v>75.547274999999999</v>
      </c>
      <c r="AO36" s="843">
        <v>0</v>
      </c>
      <c r="AP36" s="844">
        <f t="shared" si="22"/>
        <v>1459466027</v>
      </c>
      <c r="AQ36" s="843">
        <v>4755868588</v>
      </c>
      <c r="AR36" s="844">
        <f t="shared" si="23"/>
        <v>597469027</v>
      </c>
      <c r="AS36" s="842">
        <f t="shared" si="24"/>
        <v>21535.014148999999</v>
      </c>
      <c r="AT36" s="606">
        <f t="shared" si="25"/>
        <v>6.629645</v>
      </c>
      <c r="AU36" s="606">
        <f t="shared" ref="AU36:AU41" si="34">AQ36/1000000</f>
        <v>4755.8685880000003</v>
      </c>
      <c r="AV36" s="606">
        <f t="shared" si="29"/>
        <v>597.46902699999998</v>
      </c>
      <c r="AW36" s="851" t="s">
        <v>649</v>
      </c>
      <c r="AX36" s="846">
        <f t="shared" si="30"/>
        <v>1459.4660269999999</v>
      </c>
      <c r="AY36" s="846">
        <f t="shared" si="30"/>
        <v>4755.8685880000003</v>
      </c>
      <c r="AZ36" s="846">
        <f t="shared" si="30"/>
        <v>597.46902699999998</v>
      </c>
      <c r="BA36" s="846">
        <f t="shared" si="31"/>
        <v>8852.2029779999993</v>
      </c>
      <c r="BB36" s="846">
        <f t="shared" si="32"/>
        <v>10651.717026000004</v>
      </c>
      <c r="BD36" s="846">
        <v>0</v>
      </c>
      <c r="BE36" s="846">
        <v>0</v>
      </c>
      <c r="BF36" s="846">
        <v>0</v>
      </c>
      <c r="BG36" s="846">
        <v>0</v>
      </c>
      <c r="BH36" s="842">
        <f t="shared" si="33"/>
        <v>0</v>
      </c>
      <c r="BJ36" s="846">
        <v>9005.4441779999997</v>
      </c>
      <c r="BK36" s="846">
        <v>1684.6087520000001</v>
      </c>
      <c r="BN36" s="846"/>
      <c r="BO36" s="846"/>
      <c r="BT36" s="846"/>
      <c r="BU36" s="846"/>
      <c r="BV36" s="846"/>
      <c r="BW36" s="859"/>
    </row>
    <row r="37" spans="1:75">
      <c r="A37" s="600" t="s">
        <v>1088</v>
      </c>
      <c r="B37" s="601" t="s">
        <v>650</v>
      </c>
      <c r="C37" s="602">
        <v>1063670290</v>
      </c>
      <c r="D37" s="602">
        <v>4693956635</v>
      </c>
      <c r="E37" s="602">
        <v>37104539</v>
      </c>
      <c r="F37" s="602">
        <v>0</v>
      </c>
      <c r="G37" s="602">
        <v>7438921433</v>
      </c>
      <c r="H37" s="602">
        <v>0</v>
      </c>
      <c r="I37" s="602">
        <v>2317016660</v>
      </c>
      <c r="J37" s="602">
        <v>33830710</v>
      </c>
      <c r="K37" s="602">
        <v>195396329</v>
      </c>
      <c r="L37" s="602">
        <v>2460000</v>
      </c>
      <c r="M37" s="602">
        <v>0</v>
      </c>
      <c r="N37" s="602">
        <v>0</v>
      </c>
      <c r="O37" s="602">
        <v>3344295</v>
      </c>
      <c r="P37" s="602">
        <v>0</v>
      </c>
      <c r="Q37" s="602">
        <v>0</v>
      </c>
      <c r="R37" s="602">
        <v>0</v>
      </c>
      <c r="S37" s="602">
        <v>0</v>
      </c>
      <c r="T37" s="602">
        <v>0</v>
      </c>
      <c r="U37" s="602">
        <v>256827279</v>
      </c>
      <c r="V37" s="602">
        <v>122191726</v>
      </c>
      <c r="W37" s="602">
        <v>125982545</v>
      </c>
      <c r="X37" s="602">
        <v>84071741</v>
      </c>
      <c r="Y37" s="602">
        <v>42563591</v>
      </c>
      <c r="Z37" s="602">
        <v>18718171</v>
      </c>
      <c r="AA37" s="602">
        <v>15663184</v>
      </c>
      <c r="AB37" s="602">
        <v>0</v>
      </c>
      <c r="AC37" s="602">
        <v>0</v>
      </c>
      <c r="AD37" s="602">
        <v>0</v>
      </c>
      <c r="AE37" s="602">
        <v>0</v>
      </c>
      <c r="AF37" s="602">
        <v>0</v>
      </c>
      <c r="AG37" s="602">
        <v>0</v>
      </c>
      <c r="AH37" s="603">
        <f t="shared" si="26"/>
        <v>16451719128</v>
      </c>
      <c r="AI37" s="602">
        <v>32943181</v>
      </c>
      <c r="AJ37" s="602">
        <v>146012670</v>
      </c>
      <c r="AK37" s="841">
        <f t="shared" si="20"/>
        <v>16451.719128000001</v>
      </c>
      <c r="AL37" s="841">
        <f t="shared" si="27"/>
        <v>15550.669556999999</v>
      </c>
      <c r="AM37" s="606">
        <f t="shared" si="21"/>
        <v>15663184</v>
      </c>
      <c r="AN37" s="842">
        <f t="shared" si="28"/>
        <v>15.663183999999999</v>
      </c>
      <c r="AO37" s="843">
        <v>0</v>
      </c>
      <c r="AP37" s="844">
        <f t="shared" si="22"/>
        <v>1063670290</v>
      </c>
      <c r="AQ37" s="843">
        <v>2576147773</v>
      </c>
      <c r="AR37" s="844">
        <f t="shared" si="23"/>
        <v>666018237</v>
      </c>
      <c r="AS37" s="842">
        <f t="shared" si="24"/>
        <v>16449.259128000002</v>
      </c>
      <c r="AT37" s="606">
        <f t="shared" si="25"/>
        <v>3.3442949999999998</v>
      </c>
      <c r="AU37" s="606">
        <f t="shared" si="34"/>
        <v>2576.1477730000001</v>
      </c>
      <c r="AV37" s="606">
        <f t="shared" si="29"/>
        <v>666.018237</v>
      </c>
      <c r="AW37" s="851" t="s">
        <v>650</v>
      </c>
      <c r="AX37" s="846">
        <f t="shared" si="30"/>
        <v>1063.67029</v>
      </c>
      <c r="AY37" s="846">
        <f t="shared" si="30"/>
        <v>2576.1477730000001</v>
      </c>
      <c r="AZ37" s="846">
        <f t="shared" si="30"/>
        <v>666.018237</v>
      </c>
      <c r="BA37" s="846">
        <f t="shared" si="31"/>
        <v>7438.9214330000004</v>
      </c>
      <c r="BB37" s="846">
        <f t="shared" si="32"/>
        <v>7283.109168</v>
      </c>
      <c r="BD37" s="846">
        <v>0</v>
      </c>
      <c r="BE37" s="846">
        <v>0</v>
      </c>
      <c r="BF37" s="846">
        <v>0</v>
      </c>
      <c r="BG37" s="846">
        <v>0</v>
      </c>
      <c r="BH37" s="842">
        <f t="shared" si="33"/>
        <v>0</v>
      </c>
      <c r="BJ37" s="846">
        <v>7438.9214330000004</v>
      </c>
      <c r="BK37" s="846">
        <v>2317.0166599999998</v>
      </c>
      <c r="BN37" s="846"/>
      <c r="BO37" s="846"/>
      <c r="BT37" s="846"/>
      <c r="BU37" s="846"/>
      <c r="BV37" s="846"/>
      <c r="BW37" s="859"/>
    </row>
    <row r="38" spans="1:75">
      <c r="A38" s="600" t="s">
        <v>1089</v>
      </c>
      <c r="B38" s="601" t="s">
        <v>642</v>
      </c>
      <c r="C38" s="602">
        <v>1979079943</v>
      </c>
      <c r="D38" s="602">
        <v>6567533248</v>
      </c>
      <c r="E38" s="602">
        <v>29545436</v>
      </c>
      <c r="F38" s="602">
        <v>0</v>
      </c>
      <c r="G38" s="602">
        <v>4993592733</v>
      </c>
      <c r="H38" s="602">
        <v>36000000</v>
      </c>
      <c r="I38" s="602">
        <v>2219671962</v>
      </c>
      <c r="J38" s="602">
        <v>68808730</v>
      </c>
      <c r="K38" s="602">
        <v>162339821</v>
      </c>
      <c r="L38" s="602">
        <v>53930400</v>
      </c>
      <c r="M38" s="602">
        <v>0</v>
      </c>
      <c r="N38" s="602">
        <v>0</v>
      </c>
      <c r="O38" s="602">
        <v>6721386</v>
      </c>
      <c r="P38" s="602">
        <v>0</v>
      </c>
      <c r="Q38" s="602">
        <v>0</v>
      </c>
      <c r="R38" s="602">
        <v>0</v>
      </c>
      <c r="S38" s="602">
        <v>0</v>
      </c>
      <c r="T38" s="602">
        <v>0</v>
      </c>
      <c r="U38" s="602">
        <v>452436364</v>
      </c>
      <c r="V38" s="602">
        <v>243406980</v>
      </c>
      <c r="W38" s="602">
        <v>220143638</v>
      </c>
      <c r="X38" s="602">
        <v>121200397</v>
      </c>
      <c r="Y38" s="602">
        <v>89240870</v>
      </c>
      <c r="Z38" s="602">
        <v>16385447</v>
      </c>
      <c r="AA38" s="602">
        <v>16599396</v>
      </c>
      <c r="AB38" s="602">
        <v>0</v>
      </c>
      <c r="AC38" s="602">
        <v>0</v>
      </c>
      <c r="AD38" s="602">
        <v>0</v>
      </c>
      <c r="AE38" s="602">
        <v>0</v>
      </c>
      <c r="AF38" s="602">
        <v>0</v>
      </c>
      <c r="AG38" s="602">
        <v>0</v>
      </c>
      <c r="AH38" s="603">
        <f t="shared" si="26"/>
        <v>17276636751</v>
      </c>
      <c r="AI38" s="602">
        <v>67128388</v>
      </c>
      <c r="AJ38" s="602">
        <v>232794900</v>
      </c>
      <c r="AK38" s="841">
        <f t="shared" si="20"/>
        <v>17276.636750999998</v>
      </c>
      <c r="AL38" s="841">
        <f t="shared" si="27"/>
        <v>15825.423322000001</v>
      </c>
      <c r="AM38" s="606">
        <f t="shared" si="21"/>
        <v>16599396</v>
      </c>
      <c r="AN38" s="842">
        <f t="shared" si="28"/>
        <v>16.599395999999999</v>
      </c>
      <c r="AO38" s="843">
        <v>0</v>
      </c>
      <c r="AP38" s="844">
        <f t="shared" si="22"/>
        <v>1979079943</v>
      </c>
      <c r="AQ38" s="843">
        <v>3408880678</v>
      </c>
      <c r="AR38" s="844">
        <f t="shared" si="23"/>
        <v>1159413092</v>
      </c>
      <c r="AS38" s="842">
        <f t="shared" si="24"/>
        <v>17222.706351000001</v>
      </c>
      <c r="AT38" s="606">
        <f t="shared" si="25"/>
        <v>6.7213859999999999</v>
      </c>
      <c r="AU38" s="606">
        <f t="shared" si="34"/>
        <v>3408.880678</v>
      </c>
      <c r="AV38" s="606">
        <f t="shared" si="29"/>
        <v>1159.413092</v>
      </c>
      <c r="AW38" s="851" t="s">
        <v>642</v>
      </c>
      <c r="AX38" s="846">
        <f t="shared" si="30"/>
        <v>1979.079943</v>
      </c>
      <c r="AY38" s="846">
        <f t="shared" si="30"/>
        <v>3408.880678</v>
      </c>
      <c r="AZ38" s="846">
        <f t="shared" si="30"/>
        <v>1159.413092</v>
      </c>
      <c r="BA38" s="846">
        <f t="shared" si="31"/>
        <v>4993.5927330000004</v>
      </c>
      <c r="BB38" s="846">
        <f t="shared" si="32"/>
        <v>9144.5509829999974</v>
      </c>
      <c r="BD38" s="846">
        <v>0</v>
      </c>
      <c r="BE38" s="846">
        <v>0</v>
      </c>
      <c r="BF38" s="846">
        <v>0</v>
      </c>
      <c r="BG38" s="846">
        <v>0</v>
      </c>
      <c r="BH38" s="842">
        <f t="shared" si="33"/>
        <v>0</v>
      </c>
      <c r="BJ38" s="846">
        <v>5029.5927330000004</v>
      </c>
      <c r="BK38" s="846">
        <v>2219.6719619999999</v>
      </c>
      <c r="BN38" s="846"/>
      <c r="BO38" s="846"/>
      <c r="BT38" s="846"/>
      <c r="BU38" s="846"/>
      <c r="BV38" s="846"/>
      <c r="BW38" s="859"/>
    </row>
    <row r="39" spans="1:75">
      <c r="A39" s="600" t="s">
        <v>1090</v>
      </c>
      <c r="B39" s="601" t="s">
        <v>636</v>
      </c>
      <c r="C39" s="602">
        <v>2522486592</v>
      </c>
      <c r="D39" s="602">
        <v>9229917718</v>
      </c>
      <c r="E39" s="602">
        <v>66868171</v>
      </c>
      <c r="F39" s="602">
        <v>0</v>
      </c>
      <c r="G39" s="602">
        <v>7554570810</v>
      </c>
      <c r="H39" s="602">
        <v>0</v>
      </c>
      <c r="I39" s="602">
        <v>1993537844</v>
      </c>
      <c r="J39" s="602">
        <v>51218621</v>
      </c>
      <c r="K39" s="602">
        <v>181706766</v>
      </c>
      <c r="L39" s="602">
        <v>2460000</v>
      </c>
      <c r="M39" s="602">
        <v>0</v>
      </c>
      <c r="N39" s="602">
        <v>0</v>
      </c>
      <c r="O39" s="602">
        <v>6147644</v>
      </c>
      <c r="P39" s="602">
        <v>0</v>
      </c>
      <c r="Q39" s="602">
        <v>0</v>
      </c>
      <c r="R39" s="602">
        <v>138726000</v>
      </c>
      <c r="S39" s="602">
        <v>0</v>
      </c>
      <c r="T39" s="602">
        <v>0</v>
      </c>
      <c r="U39" s="602">
        <v>119450000</v>
      </c>
      <c r="V39" s="602">
        <v>128820431</v>
      </c>
      <c r="W39" s="602">
        <v>233321638</v>
      </c>
      <c r="X39" s="602">
        <v>94000493</v>
      </c>
      <c r="Y39" s="602">
        <v>99881636</v>
      </c>
      <c r="Z39" s="602">
        <v>6345454</v>
      </c>
      <c r="AA39" s="602">
        <v>40158185</v>
      </c>
      <c r="AB39" s="602">
        <v>0</v>
      </c>
      <c r="AC39" s="602">
        <v>0</v>
      </c>
      <c r="AD39" s="602">
        <v>0</v>
      </c>
      <c r="AE39" s="602">
        <v>0</v>
      </c>
      <c r="AF39" s="602">
        <v>0</v>
      </c>
      <c r="AG39" s="602">
        <v>0</v>
      </c>
      <c r="AH39" s="603">
        <f t="shared" si="26"/>
        <v>22469618003</v>
      </c>
      <c r="AI39" s="602">
        <v>50609095</v>
      </c>
      <c r="AJ39" s="602">
        <v>193176135</v>
      </c>
      <c r="AK39" s="841">
        <f t="shared" si="20"/>
        <v>22469.618003</v>
      </c>
      <c r="AL39" s="841">
        <f t="shared" si="27"/>
        <v>21367.381135</v>
      </c>
      <c r="AM39" s="606">
        <f t="shared" si="21"/>
        <v>178884185</v>
      </c>
      <c r="AN39" s="842">
        <f t="shared" si="28"/>
        <v>178.884185</v>
      </c>
      <c r="AO39" s="843">
        <v>0</v>
      </c>
      <c r="AP39" s="844">
        <f t="shared" si="22"/>
        <v>2522486592</v>
      </c>
      <c r="AQ39" s="843">
        <v>4840469684</v>
      </c>
      <c r="AR39" s="844">
        <f t="shared" si="23"/>
        <v>860703837</v>
      </c>
      <c r="AS39" s="842">
        <f t="shared" si="24"/>
        <v>22467.158003</v>
      </c>
      <c r="AT39" s="606">
        <f t="shared" si="25"/>
        <v>6.1476439999999997</v>
      </c>
      <c r="AU39" s="606">
        <f t="shared" si="34"/>
        <v>4840.4696839999997</v>
      </c>
      <c r="AV39" s="606">
        <f t="shared" si="29"/>
        <v>860.70383700000002</v>
      </c>
      <c r="AW39" s="851" t="s">
        <v>636</v>
      </c>
      <c r="AX39" s="846">
        <f t="shared" si="30"/>
        <v>2522.4865920000002</v>
      </c>
      <c r="AY39" s="846">
        <f t="shared" si="30"/>
        <v>4840.4696839999997</v>
      </c>
      <c r="AZ39" s="846">
        <f t="shared" si="30"/>
        <v>860.70383700000002</v>
      </c>
      <c r="BA39" s="846">
        <f t="shared" si="31"/>
        <v>7554.5708100000002</v>
      </c>
      <c r="BB39" s="846">
        <f t="shared" si="32"/>
        <v>11531.856763999996</v>
      </c>
      <c r="BD39" s="846">
        <v>0</v>
      </c>
      <c r="BE39" s="846">
        <v>0</v>
      </c>
      <c r="BF39" s="846">
        <v>0</v>
      </c>
      <c r="BG39" s="846">
        <v>0</v>
      </c>
      <c r="BH39" s="842">
        <f t="shared" si="33"/>
        <v>0</v>
      </c>
      <c r="BJ39" s="846">
        <v>7554.5708100000002</v>
      </c>
      <c r="BK39" s="846">
        <v>1993.537844</v>
      </c>
      <c r="BN39" s="846"/>
      <c r="BO39" s="846"/>
      <c r="BT39" s="846"/>
      <c r="BU39" s="846"/>
      <c r="BV39" s="846"/>
      <c r="BW39" s="859"/>
    </row>
    <row r="40" spans="1:75">
      <c r="A40" s="600" t="s">
        <v>1091</v>
      </c>
      <c r="B40" s="601" t="s">
        <v>756</v>
      </c>
      <c r="C40" s="602">
        <v>0</v>
      </c>
      <c r="D40" s="602">
        <v>0</v>
      </c>
      <c r="E40" s="602">
        <v>1713632</v>
      </c>
      <c r="F40" s="602">
        <v>0</v>
      </c>
      <c r="G40" s="602">
        <v>14280918</v>
      </c>
      <c r="H40" s="602">
        <v>37686365</v>
      </c>
      <c r="I40" s="602">
        <v>0</v>
      </c>
      <c r="J40" s="602">
        <v>24194</v>
      </c>
      <c r="K40" s="602">
        <v>545454</v>
      </c>
      <c r="L40" s="602">
        <v>1130114381</v>
      </c>
      <c r="M40" s="602">
        <v>764289532</v>
      </c>
      <c r="N40" s="602">
        <v>35030586</v>
      </c>
      <c r="O40" s="602">
        <v>13009609</v>
      </c>
      <c r="P40" s="602">
        <v>17560107</v>
      </c>
      <c r="Q40" s="602">
        <v>20843603</v>
      </c>
      <c r="R40" s="602">
        <v>71744018</v>
      </c>
      <c r="S40" s="602">
        <v>0</v>
      </c>
      <c r="T40" s="602">
        <v>0</v>
      </c>
      <c r="U40" s="602">
        <v>420440000</v>
      </c>
      <c r="V40" s="602">
        <v>91500000</v>
      </c>
      <c r="W40" s="602">
        <v>0</v>
      </c>
      <c r="X40" s="602">
        <v>289311770</v>
      </c>
      <c r="Y40" s="602">
        <v>906041909</v>
      </c>
      <c r="Z40" s="602">
        <v>63738156</v>
      </c>
      <c r="AA40" s="602">
        <v>287405636</v>
      </c>
      <c r="AB40" s="602">
        <v>0</v>
      </c>
      <c r="AC40" s="602">
        <v>0</v>
      </c>
      <c r="AD40" s="602">
        <v>0</v>
      </c>
      <c r="AE40" s="602">
        <v>0</v>
      </c>
      <c r="AF40" s="602">
        <v>0</v>
      </c>
      <c r="AG40" s="602">
        <v>0</v>
      </c>
      <c r="AH40" s="603">
        <f t="shared" si="26"/>
        <v>4165279870</v>
      </c>
      <c r="AI40" s="602">
        <v>32440003</v>
      </c>
      <c r="AJ40" s="602">
        <v>49995</v>
      </c>
      <c r="AK40" s="841">
        <f t="shared" si="20"/>
        <v>4165.2798700000003</v>
      </c>
      <c r="AL40" s="841">
        <f t="shared" si="27"/>
        <v>53.680914999999999</v>
      </c>
      <c r="AM40" s="606">
        <f t="shared" si="21"/>
        <v>359149654</v>
      </c>
      <c r="AN40" s="842">
        <f t="shared" si="28"/>
        <v>359.149654</v>
      </c>
      <c r="AO40" s="843">
        <v>0</v>
      </c>
      <c r="AP40" s="844">
        <f t="shared" si="22"/>
        <v>0</v>
      </c>
      <c r="AQ40" s="843">
        <v>0</v>
      </c>
      <c r="AR40" s="844">
        <f t="shared" si="23"/>
        <v>2130181489</v>
      </c>
      <c r="AS40" s="842">
        <f t="shared" si="24"/>
        <v>2270.8759570000002</v>
      </c>
      <c r="AT40" s="606">
        <f t="shared" si="25"/>
        <v>13.009608999999999</v>
      </c>
      <c r="AU40" s="606">
        <f t="shared" si="34"/>
        <v>0</v>
      </c>
      <c r="AV40" s="606">
        <f t="shared" si="29"/>
        <v>2130.1814890000001</v>
      </c>
      <c r="AW40" s="851" t="s">
        <v>1356</v>
      </c>
      <c r="AX40" s="846">
        <f>SUM(AX33:AX35)</f>
        <v>3636.3843370000004</v>
      </c>
      <c r="AY40" s="846">
        <f>SUM(AY33:AY35)</f>
        <v>9757.5418989999998</v>
      </c>
      <c r="AZ40" s="846">
        <f>SUM(AZ33:AZ35)</f>
        <v>2109.5332520000002</v>
      </c>
      <c r="BA40" s="846">
        <f>SUM(BA33:BA35)</f>
        <v>25911.635001999999</v>
      </c>
      <c r="BB40" s="846">
        <f>SUM(BB33:BB35)</f>
        <v>26755.381191</v>
      </c>
      <c r="BD40" s="846">
        <v>0</v>
      </c>
      <c r="BE40" s="846">
        <v>0</v>
      </c>
      <c r="BF40" s="846">
        <v>0</v>
      </c>
      <c r="BG40" s="846">
        <v>0</v>
      </c>
      <c r="BH40" s="842">
        <f t="shared" si="33"/>
        <v>0</v>
      </c>
      <c r="BJ40" s="846">
        <v>51.967283000000002</v>
      </c>
      <c r="BK40" s="846">
        <v>0</v>
      </c>
      <c r="BN40" s="846"/>
      <c r="BO40" s="846"/>
      <c r="BT40" s="846"/>
      <c r="BU40" s="846"/>
      <c r="BV40" s="846"/>
      <c r="BW40" s="859"/>
    </row>
    <row r="41" spans="1:75">
      <c r="A41" s="600" t="s">
        <v>1092</v>
      </c>
      <c r="B41" s="601" t="s">
        <v>746</v>
      </c>
      <c r="C41" s="602">
        <v>0</v>
      </c>
      <c r="D41" s="602">
        <v>0</v>
      </c>
      <c r="E41" s="602">
        <v>11577274</v>
      </c>
      <c r="F41" s="602">
        <v>0</v>
      </c>
      <c r="G41" s="602">
        <v>0</v>
      </c>
      <c r="H41" s="602">
        <v>0</v>
      </c>
      <c r="I41" s="602">
        <v>0</v>
      </c>
      <c r="J41" s="602">
        <v>0</v>
      </c>
      <c r="K41" s="602">
        <v>0</v>
      </c>
      <c r="L41" s="602">
        <v>0</v>
      </c>
      <c r="M41" s="602">
        <v>0</v>
      </c>
      <c r="N41" s="602">
        <v>0</v>
      </c>
      <c r="O41" s="602">
        <v>0</v>
      </c>
      <c r="P41" s="602">
        <v>0</v>
      </c>
      <c r="Q41" s="602">
        <v>0</v>
      </c>
      <c r="R41" s="602">
        <v>0</v>
      </c>
      <c r="S41" s="602">
        <v>0</v>
      </c>
      <c r="T41" s="602">
        <v>0</v>
      </c>
      <c r="U41" s="602">
        <v>0</v>
      </c>
      <c r="V41" s="602">
        <v>0</v>
      </c>
      <c r="W41" s="602">
        <v>0</v>
      </c>
      <c r="X41" s="602">
        <v>0</v>
      </c>
      <c r="Y41" s="602">
        <v>0</v>
      </c>
      <c r="Z41" s="602">
        <v>0</v>
      </c>
      <c r="AA41" s="602">
        <v>0</v>
      </c>
      <c r="AB41" s="602">
        <v>0</v>
      </c>
      <c r="AC41" s="602">
        <v>0</v>
      </c>
      <c r="AD41" s="602">
        <v>0</v>
      </c>
      <c r="AE41" s="602">
        <v>0</v>
      </c>
      <c r="AF41" s="602">
        <v>0</v>
      </c>
      <c r="AG41" s="602">
        <v>0</v>
      </c>
      <c r="AH41" s="603">
        <f t="shared" si="26"/>
        <v>11577274</v>
      </c>
      <c r="AI41" s="602">
        <v>6590909</v>
      </c>
      <c r="AJ41" s="602">
        <v>0</v>
      </c>
      <c r="AK41" s="841">
        <f t="shared" si="20"/>
        <v>11.577273999999999</v>
      </c>
      <c r="AL41" s="841">
        <f t="shared" si="27"/>
        <v>11.577273999999999</v>
      </c>
      <c r="AM41" s="606">
        <f t="shared" si="21"/>
        <v>0</v>
      </c>
      <c r="AN41" s="842">
        <f t="shared" si="28"/>
        <v>0</v>
      </c>
      <c r="AO41" s="843">
        <v>0</v>
      </c>
      <c r="AP41" s="844">
        <f t="shared" si="22"/>
        <v>0</v>
      </c>
      <c r="AQ41" s="843">
        <v>0</v>
      </c>
      <c r="AR41" s="844">
        <f t="shared" si="23"/>
        <v>0</v>
      </c>
      <c r="AS41" s="842">
        <f t="shared" si="24"/>
        <v>11.577273999999999</v>
      </c>
      <c r="AT41" s="606">
        <f t="shared" si="25"/>
        <v>0</v>
      </c>
      <c r="AU41" s="606">
        <f t="shared" si="34"/>
        <v>0</v>
      </c>
      <c r="AV41" s="606">
        <f>AR41/1000000</f>
        <v>0</v>
      </c>
      <c r="AW41" s="851" t="s">
        <v>1357</v>
      </c>
      <c r="AX41" s="846">
        <f>AX37+AX38</f>
        <v>3042.7502329999998</v>
      </c>
      <c r="AY41" s="846">
        <f>AY37+AY38</f>
        <v>5985.0284510000001</v>
      </c>
      <c r="AZ41" s="846">
        <f>AZ37+AZ38</f>
        <v>1825.431329</v>
      </c>
      <c r="BA41" s="846">
        <f>BA37+BA38</f>
        <v>12432.514166000001</v>
      </c>
      <c r="BB41" s="846">
        <f>BB37+BB38</f>
        <v>16427.660150999996</v>
      </c>
      <c r="BD41" s="846">
        <v>0</v>
      </c>
      <c r="BE41" s="846">
        <v>0</v>
      </c>
      <c r="BF41" s="846">
        <v>0</v>
      </c>
      <c r="BG41" s="846">
        <v>0</v>
      </c>
      <c r="BH41" s="842">
        <f t="shared" si="33"/>
        <v>0</v>
      </c>
      <c r="BJ41" s="846">
        <v>0</v>
      </c>
      <c r="BK41" s="846">
        <v>0</v>
      </c>
      <c r="BN41" s="846"/>
      <c r="BO41" s="846"/>
      <c r="BT41" s="846"/>
      <c r="BU41" s="846"/>
      <c r="BV41" s="846"/>
      <c r="BW41" s="859"/>
    </row>
    <row r="42" spans="1:75">
      <c r="A42" s="601" t="s">
        <v>1093</v>
      </c>
      <c r="B42" s="604" t="s">
        <v>1094</v>
      </c>
      <c r="C42" s="603">
        <f>SUM(C31:C41)</f>
        <v>15647374711</v>
      </c>
      <c r="D42" s="603">
        <f t="shared" ref="D42:AG42" si="35">SUM(D31:D41)</f>
        <v>61988311634</v>
      </c>
      <c r="E42" s="603">
        <f t="shared" si="35"/>
        <v>403345337</v>
      </c>
      <c r="F42" s="603">
        <f t="shared" si="35"/>
        <v>0</v>
      </c>
      <c r="G42" s="603">
        <f t="shared" si="35"/>
        <v>64491960007</v>
      </c>
      <c r="H42" s="603">
        <f t="shared" si="35"/>
        <v>226927565</v>
      </c>
      <c r="I42" s="603">
        <f t="shared" si="35"/>
        <v>17722445690</v>
      </c>
      <c r="J42" s="603">
        <f t="shared" si="35"/>
        <v>432728184</v>
      </c>
      <c r="K42" s="603">
        <f>SUM(K31:K41)</f>
        <v>2542540828</v>
      </c>
      <c r="L42" s="603">
        <f t="shared" si="35"/>
        <v>1724221297</v>
      </c>
      <c r="M42" s="603">
        <f t="shared" si="35"/>
        <v>768380441</v>
      </c>
      <c r="N42" s="603">
        <f t="shared" si="35"/>
        <v>45869121</v>
      </c>
      <c r="O42" s="603">
        <f t="shared" si="35"/>
        <v>77722434</v>
      </c>
      <c r="P42" s="603">
        <f t="shared" si="35"/>
        <v>17560107</v>
      </c>
      <c r="Q42" s="603">
        <f t="shared" si="35"/>
        <v>20843603</v>
      </c>
      <c r="R42" s="603">
        <f t="shared" si="35"/>
        <v>211571018</v>
      </c>
      <c r="S42" s="603">
        <f t="shared" si="35"/>
        <v>0</v>
      </c>
      <c r="T42" s="603">
        <f t="shared" si="35"/>
        <v>0</v>
      </c>
      <c r="U42" s="603">
        <f t="shared" si="35"/>
        <v>1948150013</v>
      </c>
      <c r="V42" s="603">
        <f t="shared" si="35"/>
        <v>1300233828</v>
      </c>
      <c r="W42" s="603">
        <f t="shared" si="35"/>
        <v>1073188279</v>
      </c>
      <c r="X42" s="603">
        <f t="shared" si="35"/>
        <v>1242779039</v>
      </c>
      <c r="Y42" s="603">
        <f t="shared" si="35"/>
        <v>1495565197</v>
      </c>
      <c r="Z42" s="603">
        <f t="shared" si="35"/>
        <v>158521751</v>
      </c>
      <c r="AA42" s="603">
        <f t="shared" si="35"/>
        <v>607610889</v>
      </c>
      <c r="AB42" s="603">
        <f t="shared" si="35"/>
        <v>0</v>
      </c>
      <c r="AC42" s="603">
        <f t="shared" si="35"/>
        <v>0</v>
      </c>
      <c r="AD42" s="603">
        <f t="shared" si="35"/>
        <v>0</v>
      </c>
      <c r="AE42" s="603">
        <f t="shared" si="35"/>
        <v>4190000</v>
      </c>
      <c r="AF42" s="603">
        <f t="shared" si="35"/>
        <v>0</v>
      </c>
      <c r="AG42" s="603">
        <f t="shared" si="35"/>
        <v>0</v>
      </c>
      <c r="AH42" s="603">
        <f t="shared" si="26"/>
        <v>174152040973</v>
      </c>
      <c r="AI42" s="603">
        <f>SUM(AI31:AI41)</f>
        <v>495981083</v>
      </c>
      <c r="AJ42" s="603">
        <f>SUM(AJ31:AJ41)</f>
        <v>1669987530</v>
      </c>
      <c r="AK42" s="841">
        <f t="shared" si="20"/>
        <v>174152.040973</v>
      </c>
      <c r="AL42" s="841">
        <f t="shared" si="27"/>
        <v>160480.364944</v>
      </c>
      <c r="AM42" s="852">
        <f t="shared" ref="AM42:AU42" si="36">SUM(AM31:AM41)</f>
        <v>823371907</v>
      </c>
      <c r="AN42" s="852">
        <f t="shared" si="36"/>
        <v>823.37190699999996</v>
      </c>
      <c r="AO42" s="852">
        <f t="shared" si="36"/>
        <v>0</v>
      </c>
      <c r="AP42" s="852">
        <f t="shared" si="36"/>
        <v>15647374711</v>
      </c>
      <c r="AQ42" s="852">
        <f t="shared" si="36"/>
        <v>34565696571</v>
      </c>
      <c r="AR42" s="852">
        <f t="shared" si="36"/>
        <v>8041810014</v>
      </c>
      <c r="AS42" s="852">
        <f t="shared" si="36"/>
        <v>171659.43923500003</v>
      </c>
      <c r="AT42" s="852">
        <f t="shared" si="36"/>
        <v>77.722434000000007</v>
      </c>
      <c r="AU42" s="852">
        <f t="shared" si="36"/>
        <v>34565.696571000008</v>
      </c>
      <c r="AV42" s="606">
        <f>AR42/1000000</f>
        <v>8041.8100139999997</v>
      </c>
      <c r="AW42" s="851" t="s">
        <v>1358</v>
      </c>
      <c r="AX42" s="846">
        <f>AX36+AX39</f>
        <v>3981.9526190000001</v>
      </c>
      <c r="AY42" s="846">
        <f>AY36+AY39</f>
        <v>9596.3382720000009</v>
      </c>
      <c r="AZ42" s="846">
        <f>AZ36+AZ39</f>
        <v>1458.1728640000001</v>
      </c>
      <c r="BA42" s="846">
        <f>BA36+BA39</f>
        <v>16406.773787999999</v>
      </c>
      <c r="BB42" s="846">
        <f>BB36+BB39</f>
        <v>22183.573790000002</v>
      </c>
      <c r="BD42" s="846">
        <v>0</v>
      </c>
      <c r="BE42" s="846">
        <v>0</v>
      </c>
      <c r="BF42" s="846">
        <v>1067579728</v>
      </c>
      <c r="BG42" s="846">
        <v>262225453</v>
      </c>
      <c r="BH42" s="842">
        <f t="shared" si="33"/>
        <v>262.22545300000002</v>
      </c>
      <c r="BJ42" s="846">
        <v>64718.887572</v>
      </c>
      <c r="BK42" s="846">
        <v>17722.44569</v>
      </c>
      <c r="BN42" s="846"/>
      <c r="BO42" s="846"/>
      <c r="BT42" s="846"/>
      <c r="BU42" s="846"/>
      <c r="BV42" s="846"/>
      <c r="BW42" s="859"/>
    </row>
    <row r="43" spans="1:75">
      <c r="A43" s="1516" t="s">
        <v>1095</v>
      </c>
      <c r="B43" s="1516"/>
      <c r="C43" s="605">
        <f>C42/$AH42</f>
        <v>8.984893098913449E-2</v>
      </c>
      <c r="D43" s="605">
        <f t="shared" ref="D43:AH43" si="37">D42/$AH42</f>
        <v>0.35594364147366198</v>
      </c>
      <c r="E43" s="605">
        <f t="shared" si="37"/>
        <v>2.3160528854355112E-3</v>
      </c>
      <c r="F43" s="605">
        <f t="shared" si="37"/>
        <v>0</v>
      </c>
      <c r="G43" s="605">
        <f t="shared" si="37"/>
        <v>0.37031986330265654</v>
      </c>
      <c r="H43" s="605">
        <f t="shared" si="37"/>
        <v>1.3030428109377262E-3</v>
      </c>
      <c r="I43" s="605">
        <f t="shared" si="37"/>
        <v>0.10176421471137186</v>
      </c>
      <c r="J43" s="605">
        <f t="shared" si="37"/>
        <v>2.4847723953294858E-3</v>
      </c>
      <c r="K43" s="605">
        <f t="shared" si="37"/>
        <v>1.4599546544471377E-2</v>
      </c>
      <c r="L43" s="605">
        <f t="shared" si="37"/>
        <v>9.9006666092837699E-3</v>
      </c>
      <c r="M43" s="605">
        <f t="shared" si="37"/>
        <v>4.4121242375742666E-3</v>
      </c>
      <c r="N43" s="605">
        <f t="shared" si="37"/>
        <v>2.6338549203170931E-4</v>
      </c>
      <c r="O43" s="605">
        <f t="shared" si="37"/>
        <v>4.4629068695238458E-4</v>
      </c>
      <c r="P43" s="605">
        <f t="shared" si="37"/>
        <v>1.008320482601893E-4</v>
      </c>
      <c r="Q43" s="605">
        <f t="shared" si="37"/>
        <v>1.1968624015857229E-4</v>
      </c>
      <c r="R43" s="605">
        <f t="shared" si="37"/>
        <v>1.2148638443623026E-3</v>
      </c>
      <c r="S43" s="605">
        <f t="shared" si="37"/>
        <v>0</v>
      </c>
      <c r="T43" s="605">
        <f t="shared" si="37"/>
        <v>0</v>
      </c>
      <c r="U43" s="605">
        <f t="shared" si="37"/>
        <v>1.1186489702420629E-2</v>
      </c>
      <c r="V43" s="605">
        <f t="shared" si="37"/>
        <v>7.4660843521298969E-3</v>
      </c>
      <c r="W43" s="605">
        <f t="shared" si="37"/>
        <v>6.1623640642051612E-3</v>
      </c>
      <c r="X43" s="605">
        <f t="shared" si="37"/>
        <v>7.1361726917267458E-3</v>
      </c>
      <c r="Y43" s="605">
        <f t="shared" si="37"/>
        <v>8.5876983619839857E-3</v>
      </c>
      <c r="Z43" s="605">
        <f t="shared" si="37"/>
        <v>9.1024917143851748E-4</v>
      </c>
      <c r="AA43" s="605">
        <f t="shared" si="37"/>
        <v>3.4889679478071816E-3</v>
      </c>
      <c r="AB43" s="605">
        <f t="shared" si="37"/>
        <v>0</v>
      </c>
      <c r="AC43" s="605">
        <f t="shared" si="37"/>
        <v>0</v>
      </c>
      <c r="AD43" s="605">
        <f t="shared" si="37"/>
        <v>0</v>
      </c>
      <c r="AE43" s="605">
        <f t="shared" si="37"/>
        <v>2.4059436665744302E-5</v>
      </c>
      <c r="AF43" s="605">
        <f t="shared" si="37"/>
        <v>0</v>
      </c>
      <c r="AG43" s="605">
        <f t="shared" si="37"/>
        <v>0</v>
      </c>
      <c r="AH43" s="605">
        <f t="shared" si="37"/>
        <v>1</v>
      </c>
      <c r="AI43" s="609"/>
      <c r="AJ43" s="609"/>
      <c r="AK43" s="855"/>
      <c r="AL43" s="855"/>
      <c r="AM43" s="543">
        <f>(AH42-L42-M42)</f>
        <v>171659439235</v>
      </c>
      <c r="AW43" s="851" t="s">
        <v>1094</v>
      </c>
      <c r="AX43" s="846">
        <f>AP42/1000000</f>
        <v>15647.374711</v>
      </c>
      <c r="AY43" s="846">
        <f>AQ42/1000000</f>
        <v>34565.696571</v>
      </c>
      <c r="AZ43" s="846">
        <f>AR42/1000000</f>
        <v>8041.8100139999997</v>
      </c>
      <c r="BA43" s="846">
        <f>G42/1000000</f>
        <v>64491.960007000001</v>
      </c>
      <c r="BB43" s="846">
        <f>AH42/1000000-AX43-AZ43-BA43</f>
        <v>85970.896240999995</v>
      </c>
      <c r="BD43" s="846">
        <f>SUM(BD32:BD42)</f>
        <v>0</v>
      </c>
      <c r="BE43" s="846">
        <f>SUM(BE32:BE42)</f>
        <v>0</v>
      </c>
      <c r="BF43" s="846">
        <f>SUM(BF32:BF42)</f>
        <v>1067579728</v>
      </c>
      <c r="BG43" s="842">
        <f>SUM(BD43:BF43)</f>
        <v>1067579728</v>
      </c>
      <c r="BH43" s="842">
        <f>BG43/1000000</f>
        <v>1067.5797279999999</v>
      </c>
      <c r="BJ43" s="846">
        <f>SUM(BJ32:BJ42)</f>
        <v>129437.77514399998</v>
      </c>
      <c r="BK43" s="846">
        <f>SUM(BK32:BK42)</f>
        <v>35021.399854000003</v>
      </c>
      <c r="BN43" s="846"/>
      <c r="BO43" s="846"/>
      <c r="BT43" s="846"/>
      <c r="BU43" s="846"/>
      <c r="BV43" s="846"/>
      <c r="BW43" s="846"/>
    </row>
    <row r="44" spans="1:75">
      <c r="A44" s="610" t="s">
        <v>1096</v>
      </c>
    </row>
    <row r="45" spans="1:75">
      <c r="A45" s="1507" t="s">
        <v>0</v>
      </c>
      <c r="B45" s="1511" t="s">
        <v>632</v>
      </c>
      <c r="C45" s="1518" t="s">
        <v>1005</v>
      </c>
      <c r="D45" s="1518"/>
      <c r="E45" s="1518"/>
      <c r="F45" s="1507" t="s">
        <v>1006</v>
      </c>
      <c r="G45" s="1507" t="s">
        <v>1007</v>
      </c>
      <c r="H45" s="1507" t="s">
        <v>1008</v>
      </c>
      <c r="I45" s="1507" t="s">
        <v>1009</v>
      </c>
      <c r="J45" s="1507" t="s">
        <v>1010</v>
      </c>
      <c r="K45" s="1507" t="s">
        <v>1011</v>
      </c>
      <c r="L45" s="1507" t="s">
        <v>1012</v>
      </c>
      <c r="M45" s="1507" t="s">
        <v>1013</v>
      </c>
      <c r="N45" s="1507" t="s">
        <v>1014</v>
      </c>
      <c r="O45" s="1507" t="s">
        <v>1015</v>
      </c>
      <c r="P45" s="1517" t="s">
        <v>1016</v>
      </c>
      <c r="Q45" s="1517"/>
      <c r="R45" s="1517"/>
      <c r="S45" s="1507" t="s">
        <v>1017</v>
      </c>
      <c r="T45" s="1507" t="s">
        <v>1018</v>
      </c>
      <c r="U45" s="1507" t="s">
        <v>1019</v>
      </c>
      <c r="V45" s="1507" t="s">
        <v>1020</v>
      </c>
      <c r="W45" s="1507" t="s">
        <v>1021</v>
      </c>
      <c r="X45" s="1517" t="s">
        <v>1022</v>
      </c>
      <c r="Y45" s="1517"/>
      <c r="Z45" s="1517"/>
      <c r="AA45" s="1517"/>
      <c r="AB45" s="1507" t="s">
        <v>1023</v>
      </c>
      <c r="AC45" s="1507" t="s">
        <v>1024</v>
      </c>
      <c r="AD45" s="1507" t="s">
        <v>1025</v>
      </c>
      <c r="AE45" s="1507" t="s">
        <v>1026</v>
      </c>
      <c r="AF45" s="1507" t="s">
        <v>1027</v>
      </c>
      <c r="AG45" s="1507" t="s">
        <v>1028</v>
      </c>
      <c r="AH45" s="1507" t="s">
        <v>1029</v>
      </c>
      <c r="AI45" s="552"/>
      <c r="AJ45" s="552"/>
    </row>
    <row r="46" spans="1:75" ht="49.5">
      <c r="A46" s="1508"/>
      <c r="B46" s="1512"/>
      <c r="C46" s="592" t="s">
        <v>1030</v>
      </c>
      <c r="D46" s="592" t="s">
        <v>1031</v>
      </c>
      <c r="E46" s="592" t="s">
        <v>1032</v>
      </c>
      <c r="F46" s="1508"/>
      <c r="G46" s="1508"/>
      <c r="H46" s="1508"/>
      <c r="I46" s="1508"/>
      <c r="J46" s="1508"/>
      <c r="K46" s="1508"/>
      <c r="L46" s="1508"/>
      <c r="M46" s="1508"/>
      <c r="N46" s="1508"/>
      <c r="O46" s="1508"/>
      <c r="P46" s="593" t="s">
        <v>1033</v>
      </c>
      <c r="Q46" s="593" t="s">
        <v>1034</v>
      </c>
      <c r="R46" s="593" t="s">
        <v>1035</v>
      </c>
      <c r="S46" s="1508"/>
      <c r="T46" s="1508"/>
      <c r="U46" s="1508"/>
      <c r="V46" s="1508"/>
      <c r="W46" s="1508"/>
      <c r="X46" s="593" t="s">
        <v>1036</v>
      </c>
      <c r="Y46" s="593" t="s">
        <v>1037</v>
      </c>
      <c r="Z46" s="593" t="s">
        <v>1038</v>
      </c>
      <c r="AA46" s="593" t="s">
        <v>1039</v>
      </c>
      <c r="AB46" s="1508"/>
      <c r="AC46" s="1508"/>
      <c r="AD46" s="1508"/>
      <c r="AE46" s="1508"/>
      <c r="AF46" s="1508"/>
      <c r="AG46" s="1508"/>
      <c r="AH46" s="1508"/>
      <c r="AI46" s="588"/>
      <c r="AJ46" s="588"/>
    </row>
    <row r="47" spans="1:75">
      <c r="A47" s="612">
        <v>1</v>
      </c>
      <c r="B47" s="601" t="s">
        <v>1082</v>
      </c>
      <c r="C47" s="613">
        <f t="shared" ref="C47:AH54" si="38">C14/$AH14</f>
        <v>0</v>
      </c>
      <c r="D47" s="613">
        <f t="shared" si="38"/>
        <v>0.22130615543746232</v>
      </c>
      <c r="E47" s="613">
        <f t="shared" si="38"/>
        <v>1.0389739384296772E-3</v>
      </c>
      <c r="F47" s="613">
        <f t="shared" si="38"/>
        <v>0</v>
      </c>
      <c r="G47" s="613">
        <f t="shared" si="38"/>
        <v>0</v>
      </c>
      <c r="H47" s="613">
        <f t="shared" si="38"/>
        <v>0</v>
      </c>
      <c r="I47" s="613">
        <f t="shared" si="38"/>
        <v>0.77576387571772965</v>
      </c>
      <c r="J47" s="613">
        <f t="shared" si="38"/>
        <v>1.8909949063783181E-3</v>
      </c>
      <c r="K47" s="613">
        <f t="shared" si="38"/>
        <v>0</v>
      </c>
      <c r="L47" s="613">
        <f t="shared" si="38"/>
        <v>0</v>
      </c>
      <c r="M47" s="613">
        <f t="shared" si="38"/>
        <v>0</v>
      </c>
      <c r="N47" s="613">
        <f t="shared" si="38"/>
        <v>0</v>
      </c>
      <c r="O47" s="613">
        <f t="shared" si="38"/>
        <v>0</v>
      </c>
      <c r="P47" s="613">
        <f t="shared" si="38"/>
        <v>0</v>
      </c>
      <c r="Q47" s="613">
        <f t="shared" si="38"/>
        <v>0</v>
      </c>
      <c r="R47" s="613">
        <f t="shared" si="38"/>
        <v>0</v>
      </c>
      <c r="S47" s="613">
        <f t="shared" si="38"/>
        <v>0</v>
      </c>
      <c r="T47" s="613">
        <f t="shared" si="38"/>
        <v>0</v>
      </c>
      <c r="U47" s="613">
        <f t="shared" si="38"/>
        <v>0</v>
      </c>
      <c r="V47" s="613">
        <f t="shared" si="38"/>
        <v>0</v>
      </c>
      <c r="W47" s="613">
        <f t="shared" si="38"/>
        <v>0</v>
      </c>
      <c r="X47" s="613">
        <f t="shared" si="38"/>
        <v>0</v>
      </c>
      <c r="Y47" s="613">
        <f t="shared" si="38"/>
        <v>0</v>
      </c>
      <c r="Z47" s="613">
        <f t="shared" si="38"/>
        <v>0</v>
      </c>
      <c r="AA47" s="613">
        <f t="shared" si="38"/>
        <v>0</v>
      </c>
      <c r="AB47" s="613">
        <f t="shared" si="38"/>
        <v>0</v>
      </c>
      <c r="AC47" s="613">
        <f t="shared" si="38"/>
        <v>0</v>
      </c>
      <c r="AD47" s="613">
        <f t="shared" si="38"/>
        <v>0</v>
      </c>
      <c r="AE47" s="613">
        <f t="shared" si="38"/>
        <v>0</v>
      </c>
      <c r="AF47" s="613">
        <f t="shared" si="38"/>
        <v>0</v>
      </c>
      <c r="AG47" s="613">
        <f t="shared" si="38"/>
        <v>0</v>
      </c>
      <c r="AH47" s="613">
        <f t="shared" si="38"/>
        <v>1</v>
      </c>
      <c r="AI47" s="614"/>
      <c r="AJ47" s="614"/>
    </row>
    <row r="48" spans="1:75">
      <c r="A48" s="612">
        <v>2</v>
      </c>
      <c r="B48" s="601" t="s">
        <v>668</v>
      </c>
      <c r="C48" s="613">
        <f t="shared" si="38"/>
        <v>0.14917721053882863</v>
      </c>
      <c r="D48" s="613">
        <f t="shared" si="38"/>
        <v>0.42763976180355068</v>
      </c>
      <c r="E48" s="613">
        <f t="shared" si="38"/>
        <v>2.1563060483118981E-3</v>
      </c>
      <c r="F48" s="613">
        <f t="shared" si="38"/>
        <v>0</v>
      </c>
      <c r="G48" s="613">
        <f t="shared" si="38"/>
        <v>0.29648064641813648</v>
      </c>
      <c r="H48" s="613">
        <f t="shared" si="38"/>
        <v>0</v>
      </c>
      <c r="I48" s="613">
        <f t="shared" si="38"/>
        <v>5.5148183165947051E-2</v>
      </c>
      <c r="J48" s="613">
        <f t="shared" si="38"/>
        <v>3.4919737412013223E-3</v>
      </c>
      <c r="K48" s="613">
        <f t="shared" si="38"/>
        <v>3.6244578620116701E-2</v>
      </c>
      <c r="L48" s="613">
        <f t="shared" si="38"/>
        <v>1.4222355155588251E-2</v>
      </c>
      <c r="M48" s="613">
        <f t="shared" si="38"/>
        <v>0</v>
      </c>
      <c r="N48" s="613">
        <f t="shared" si="38"/>
        <v>5.4434361346777716E-5</v>
      </c>
      <c r="O48" s="613">
        <f t="shared" si="38"/>
        <v>1.0086326449377384E-3</v>
      </c>
      <c r="P48" s="613">
        <f t="shared" si="38"/>
        <v>0</v>
      </c>
      <c r="Q48" s="613">
        <f t="shared" si="38"/>
        <v>0</v>
      </c>
      <c r="R48" s="613">
        <f t="shared" si="38"/>
        <v>0</v>
      </c>
      <c r="S48" s="613">
        <f t="shared" si="38"/>
        <v>0</v>
      </c>
      <c r="T48" s="613">
        <f t="shared" si="38"/>
        <v>0</v>
      </c>
      <c r="U48" s="613">
        <f t="shared" si="38"/>
        <v>3.2334398652769797E-3</v>
      </c>
      <c r="V48" s="613">
        <f t="shared" si="38"/>
        <v>3.5000818910560841E-4</v>
      </c>
      <c r="W48" s="613">
        <f t="shared" si="38"/>
        <v>8.2312816399725333E-3</v>
      </c>
      <c r="X48" s="613">
        <f t="shared" si="38"/>
        <v>2.445309256811164E-3</v>
      </c>
      <c r="Y48" s="613">
        <f t="shared" si="38"/>
        <v>0</v>
      </c>
      <c r="Z48" s="613">
        <f t="shared" si="38"/>
        <v>0</v>
      </c>
      <c r="AA48" s="613">
        <f t="shared" si="38"/>
        <v>1.1587855086815382E-4</v>
      </c>
      <c r="AB48" s="613">
        <f t="shared" si="38"/>
        <v>0</v>
      </c>
      <c r="AC48" s="613">
        <f t="shared" si="38"/>
        <v>0</v>
      </c>
      <c r="AD48" s="613">
        <f t="shared" si="38"/>
        <v>0</v>
      </c>
      <c r="AE48" s="613">
        <f t="shared" si="38"/>
        <v>0</v>
      </c>
      <c r="AF48" s="613">
        <f t="shared" si="38"/>
        <v>0</v>
      </c>
      <c r="AG48" s="613">
        <f t="shared" si="38"/>
        <v>0</v>
      </c>
      <c r="AH48" s="613">
        <f t="shared" si="38"/>
        <v>1</v>
      </c>
      <c r="AI48" s="614"/>
      <c r="AJ48" s="614"/>
    </row>
    <row r="49" spans="1:36">
      <c r="A49" s="612">
        <v>3</v>
      </c>
      <c r="B49" s="601" t="s">
        <v>653</v>
      </c>
      <c r="C49" s="613">
        <f t="shared" si="38"/>
        <v>6.1277699009360483E-2</v>
      </c>
      <c r="D49" s="613">
        <f t="shared" si="38"/>
        <v>0.27688179208947789</v>
      </c>
      <c r="E49" s="613">
        <f t="shared" si="38"/>
        <v>2.1637413338375187E-3</v>
      </c>
      <c r="F49" s="613">
        <f t="shared" si="38"/>
        <v>0</v>
      </c>
      <c r="G49" s="613">
        <f t="shared" si="38"/>
        <v>0.48006433279171867</v>
      </c>
      <c r="H49" s="613">
        <f t="shared" si="38"/>
        <v>0</v>
      </c>
      <c r="I49" s="613">
        <f t="shared" si="38"/>
        <v>0.147118124172187</v>
      </c>
      <c r="J49" s="613">
        <f t="shared" si="38"/>
        <v>3.2369394125044419E-3</v>
      </c>
      <c r="K49" s="613">
        <f t="shared" si="38"/>
        <v>1.0662398382104091E-2</v>
      </c>
      <c r="L49" s="613">
        <f t="shared" si="38"/>
        <v>7.3435529993224854E-4</v>
      </c>
      <c r="M49" s="613">
        <f t="shared" si="38"/>
        <v>0</v>
      </c>
      <c r="N49" s="613">
        <f t="shared" si="38"/>
        <v>5.6057635899372515E-5</v>
      </c>
      <c r="O49" s="613">
        <f t="shared" si="38"/>
        <v>2.8352740069163157E-4</v>
      </c>
      <c r="P49" s="613">
        <f t="shared" si="38"/>
        <v>0</v>
      </c>
      <c r="Q49" s="613">
        <f t="shared" si="38"/>
        <v>0</v>
      </c>
      <c r="R49" s="613">
        <f t="shared" si="38"/>
        <v>0</v>
      </c>
      <c r="S49" s="613">
        <f t="shared" si="38"/>
        <v>0</v>
      </c>
      <c r="T49" s="613">
        <f t="shared" si="38"/>
        <v>0</v>
      </c>
      <c r="U49" s="613">
        <f t="shared" si="38"/>
        <v>4.2980487011339248E-5</v>
      </c>
      <c r="V49" s="613">
        <f t="shared" si="38"/>
        <v>1.3727653678276407E-3</v>
      </c>
      <c r="W49" s="613">
        <f t="shared" si="38"/>
        <v>3.8721807278608368E-4</v>
      </c>
      <c r="X49" s="613">
        <f t="shared" si="38"/>
        <v>8.3062204521106298E-3</v>
      </c>
      <c r="Y49" s="613">
        <f t="shared" si="38"/>
        <v>5.0301497231493965E-3</v>
      </c>
      <c r="Z49" s="613">
        <f t="shared" si="38"/>
        <v>8.1189257308552905E-4</v>
      </c>
      <c r="AA49" s="613">
        <f t="shared" si="38"/>
        <v>1.5698057963160123E-3</v>
      </c>
      <c r="AB49" s="613">
        <f t="shared" si="38"/>
        <v>0</v>
      </c>
      <c r="AC49" s="613">
        <f t="shared" si="38"/>
        <v>0</v>
      </c>
      <c r="AD49" s="613">
        <f t="shared" si="38"/>
        <v>0</v>
      </c>
      <c r="AE49" s="613">
        <f t="shared" si="38"/>
        <v>0</v>
      </c>
      <c r="AF49" s="613">
        <f t="shared" si="38"/>
        <v>0</v>
      </c>
      <c r="AG49" s="613">
        <f t="shared" si="38"/>
        <v>0</v>
      </c>
      <c r="AH49" s="613">
        <f t="shared" si="38"/>
        <v>1</v>
      </c>
      <c r="AI49" s="614"/>
      <c r="AJ49" s="614"/>
    </row>
    <row r="50" spans="1:36">
      <c r="A50" s="612">
        <v>4</v>
      </c>
      <c r="B50" s="601" t="s">
        <v>646</v>
      </c>
      <c r="C50" s="613">
        <f t="shared" si="38"/>
        <v>5.3684645466753347E-2</v>
      </c>
      <c r="D50" s="613">
        <f t="shared" si="38"/>
        <v>0.35486516686928965</v>
      </c>
      <c r="E50" s="613">
        <f t="shared" si="38"/>
        <v>3.2554813350792067E-3</v>
      </c>
      <c r="F50" s="613">
        <f t="shared" si="38"/>
        <v>0</v>
      </c>
      <c r="G50" s="613">
        <f t="shared" si="38"/>
        <v>0.45531936891722835</v>
      </c>
      <c r="H50" s="613">
        <f t="shared" si="38"/>
        <v>0</v>
      </c>
      <c r="I50" s="613">
        <f t="shared" si="38"/>
        <v>0.10603230574016662</v>
      </c>
      <c r="J50" s="613">
        <f t="shared" si="38"/>
        <v>2.2619495503865927E-3</v>
      </c>
      <c r="K50" s="613">
        <f t="shared" si="38"/>
        <v>6.8232751926913682E-3</v>
      </c>
      <c r="L50" s="613">
        <f t="shared" si="38"/>
        <v>1.0881003728925101E-3</v>
      </c>
      <c r="M50" s="613">
        <f t="shared" si="38"/>
        <v>0</v>
      </c>
      <c r="N50" s="613">
        <f t="shared" si="38"/>
        <v>2.7530783097226332E-5</v>
      </c>
      <c r="O50" s="613">
        <f t="shared" si="38"/>
        <v>2.5960126331922578E-4</v>
      </c>
      <c r="P50" s="613">
        <f t="shared" si="38"/>
        <v>0</v>
      </c>
      <c r="Q50" s="613">
        <f t="shared" si="38"/>
        <v>0</v>
      </c>
      <c r="R50" s="613">
        <f t="shared" si="38"/>
        <v>0</v>
      </c>
      <c r="S50" s="613">
        <f t="shared" si="38"/>
        <v>0</v>
      </c>
      <c r="T50" s="613">
        <f t="shared" si="38"/>
        <v>0</v>
      </c>
      <c r="U50" s="613">
        <f t="shared" si="38"/>
        <v>1.0186288901723701E-2</v>
      </c>
      <c r="V50" s="613">
        <f t="shared" si="38"/>
        <v>9.250246213280619E-4</v>
      </c>
      <c r="W50" s="613">
        <f t="shared" si="38"/>
        <v>7.653481992132492E-4</v>
      </c>
      <c r="X50" s="613">
        <f t="shared" si="38"/>
        <v>2.7579324613260371E-3</v>
      </c>
      <c r="Y50" s="613">
        <f t="shared" si="38"/>
        <v>2.7785164989225781E-4</v>
      </c>
      <c r="Z50" s="613">
        <f t="shared" si="38"/>
        <v>8.2591471068480427E-4</v>
      </c>
      <c r="AA50" s="613">
        <f t="shared" si="38"/>
        <v>6.4421396492779623E-4</v>
      </c>
      <c r="AB50" s="613">
        <f t="shared" si="38"/>
        <v>0</v>
      </c>
      <c r="AC50" s="613">
        <f t="shared" si="38"/>
        <v>0</v>
      </c>
      <c r="AD50" s="613">
        <f t="shared" si="38"/>
        <v>0</v>
      </c>
      <c r="AE50" s="613">
        <f t="shared" si="38"/>
        <v>0</v>
      </c>
      <c r="AF50" s="613">
        <f t="shared" si="38"/>
        <v>0</v>
      </c>
      <c r="AG50" s="613">
        <f t="shared" si="38"/>
        <v>0</v>
      </c>
      <c r="AH50" s="613">
        <f t="shared" si="38"/>
        <v>1</v>
      </c>
      <c r="AI50" s="614"/>
      <c r="AJ50" s="614"/>
    </row>
    <row r="51" spans="1:36">
      <c r="A51" s="612">
        <v>5</v>
      </c>
      <c r="B51" s="601" t="s">
        <v>674</v>
      </c>
      <c r="C51" s="613">
        <f t="shared" si="38"/>
        <v>5.8082531673352235E-2</v>
      </c>
      <c r="D51" s="613">
        <f t="shared" si="38"/>
        <v>0.36377859724754658</v>
      </c>
      <c r="E51" s="613">
        <f t="shared" si="38"/>
        <v>1.6100998867549549E-3</v>
      </c>
      <c r="F51" s="613">
        <f t="shared" si="38"/>
        <v>0</v>
      </c>
      <c r="G51" s="613">
        <f t="shared" si="38"/>
        <v>0.41530461436469224</v>
      </c>
      <c r="H51" s="613">
        <f t="shared" si="38"/>
        <v>0</v>
      </c>
      <c r="I51" s="613">
        <f t="shared" si="38"/>
        <v>0.10987307050448308</v>
      </c>
      <c r="J51" s="613">
        <f t="shared" si="38"/>
        <v>2.2253721936297262E-3</v>
      </c>
      <c r="K51" s="613">
        <f t="shared" si="38"/>
        <v>1.0519945844410543E-2</v>
      </c>
      <c r="L51" s="613">
        <f t="shared" si="38"/>
        <v>1.8861165611232898E-4</v>
      </c>
      <c r="M51" s="613">
        <f t="shared" si="38"/>
        <v>0</v>
      </c>
      <c r="N51" s="613">
        <f t="shared" si="38"/>
        <v>4.3297952459922978E-4</v>
      </c>
      <c r="O51" s="613">
        <f t="shared" si="38"/>
        <v>1.2144865547023203E-4</v>
      </c>
      <c r="P51" s="613">
        <f t="shared" si="38"/>
        <v>0</v>
      </c>
      <c r="Q51" s="613">
        <f t="shared" si="38"/>
        <v>0</v>
      </c>
      <c r="R51" s="613">
        <f t="shared" si="38"/>
        <v>0</v>
      </c>
      <c r="S51" s="613">
        <f t="shared" si="38"/>
        <v>0</v>
      </c>
      <c r="T51" s="613">
        <f t="shared" si="38"/>
        <v>0</v>
      </c>
      <c r="U51" s="613">
        <f t="shared" si="38"/>
        <v>5.7503553692783227E-4</v>
      </c>
      <c r="V51" s="613">
        <f t="shared" si="38"/>
        <v>6.216900868239103E-4</v>
      </c>
      <c r="W51" s="613">
        <f t="shared" si="38"/>
        <v>1.5452354948324707E-2</v>
      </c>
      <c r="X51" s="613">
        <f t="shared" si="38"/>
        <v>1.1000215908209694E-2</v>
      </c>
      <c r="Y51" s="613">
        <f t="shared" si="38"/>
        <v>2.4891371608482763E-3</v>
      </c>
      <c r="Z51" s="613">
        <f t="shared" si="38"/>
        <v>1.2211657841422494E-3</v>
      </c>
      <c r="AA51" s="613">
        <f t="shared" si="38"/>
        <v>6.5031290236722029E-3</v>
      </c>
      <c r="AB51" s="613">
        <f t="shared" si="38"/>
        <v>0</v>
      </c>
      <c r="AC51" s="613">
        <f t="shared" si="38"/>
        <v>0</v>
      </c>
      <c r="AD51" s="613">
        <f t="shared" si="38"/>
        <v>0</v>
      </c>
      <c r="AE51" s="613">
        <f t="shared" si="38"/>
        <v>0</v>
      </c>
      <c r="AF51" s="613">
        <f t="shared" si="38"/>
        <v>0</v>
      </c>
      <c r="AG51" s="613">
        <f t="shared" si="38"/>
        <v>0</v>
      </c>
      <c r="AH51" s="613">
        <f t="shared" si="38"/>
        <v>1</v>
      </c>
      <c r="AI51" s="614"/>
      <c r="AJ51" s="614"/>
    </row>
    <row r="52" spans="1:36" s="866" customFormat="1">
      <c r="A52" s="862">
        <v>6</v>
      </c>
      <c r="B52" s="863" t="s">
        <v>649</v>
      </c>
      <c r="C52" s="864">
        <f t="shared" si="38"/>
        <v>6.5914855028918348E-2</v>
      </c>
      <c r="D52" s="864">
        <f t="shared" si="38"/>
        <v>0.39605526115495648</v>
      </c>
      <c r="E52" s="864">
        <f t="shared" si="38"/>
        <v>2.0061562801805609E-3</v>
      </c>
      <c r="F52" s="864">
        <f t="shared" si="38"/>
        <v>0</v>
      </c>
      <c r="G52" s="864">
        <f t="shared" si="38"/>
        <v>0.4113354667613589</v>
      </c>
      <c r="H52" s="864">
        <f t="shared" si="38"/>
        <v>7.0305296001259938E-3</v>
      </c>
      <c r="I52" s="864">
        <f t="shared" si="38"/>
        <v>7.8157529518460042E-2</v>
      </c>
      <c r="J52" s="864">
        <f t="shared" si="38"/>
        <v>3.3746236527482393E-3</v>
      </c>
      <c r="K52" s="864">
        <f t="shared" si="38"/>
        <v>1.2214804236836574E-2</v>
      </c>
      <c r="L52" s="864">
        <f t="shared" si="38"/>
        <v>9.9786492668251328E-4</v>
      </c>
      <c r="M52" s="864">
        <f t="shared" si="38"/>
        <v>0</v>
      </c>
      <c r="N52" s="864">
        <f t="shared" si="38"/>
        <v>0</v>
      </c>
      <c r="O52" s="864">
        <f t="shared" si="38"/>
        <v>3.8160534041581492E-4</v>
      </c>
      <c r="P52" s="864">
        <f t="shared" si="38"/>
        <v>0</v>
      </c>
      <c r="Q52" s="864">
        <f t="shared" si="38"/>
        <v>0</v>
      </c>
      <c r="R52" s="864">
        <f t="shared" si="38"/>
        <v>0</v>
      </c>
      <c r="S52" s="864">
        <f t="shared" si="38"/>
        <v>0</v>
      </c>
      <c r="T52" s="864">
        <f t="shared" si="38"/>
        <v>0</v>
      </c>
      <c r="U52" s="864">
        <f t="shared" si="38"/>
        <v>-5.0466731924173091E-4</v>
      </c>
      <c r="V52" s="864">
        <f t="shared" si="38"/>
        <v>4.707794822402387E-3</v>
      </c>
      <c r="W52" s="864">
        <f t="shared" si="38"/>
        <v>4.9746434023073532E-3</v>
      </c>
      <c r="X52" s="864">
        <f t="shared" si="38"/>
        <v>5.5784338060867683E-3</v>
      </c>
      <c r="Y52" s="864">
        <f t="shared" si="38"/>
        <v>9.2663801639862359E-4</v>
      </c>
      <c r="Z52" s="864">
        <f t="shared" si="38"/>
        <v>2.7172779530508913E-4</v>
      </c>
      <c r="AA52" s="864">
        <f t="shared" si="38"/>
        <v>6.5767329760580652E-3</v>
      </c>
      <c r="AB52" s="864">
        <f t="shared" si="38"/>
        <v>0</v>
      </c>
      <c r="AC52" s="864">
        <f t="shared" si="38"/>
        <v>0</v>
      </c>
      <c r="AD52" s="864">
        <f t="shared" si="38"/>
        <v>0</v>
      </c>
      <c r="AE52" s="864">
        <f t="shared" si="38"/>
        <v>0</v>
      </c>
      <c r="AF52" s="864">
        <f t="shared" si="38"/>
        <v>0</v>
      </c>
      <c r="AG52" s="864">
        <f t="shared" si="38"/>
        <v>0</v>
      </c>
      <c r="AH52" s="864">
        <f t="shared" si="38"/>
        <v>1</v>
      </c>
      <c r="AI52" s="865"/>
      <c r="AJ52" s="865"/>
    </row>
    <row r="53" spans="1:36">
      <c r="A53" s="612">
        <v>7</v>
      </c>
      <c r="B53" s="601" t="s">
        <v>650</v>
      </c>
      <c r="C53" s="613">
        <f t="shared" si="38"/>
        <v>6.1361191682745585E-2</v>
      </c>
      <c r="D53" s="613">
        <f t="shared" si="38"/>
        <v>0.28497986707630357</v>
      </c>
      <c r="E53" s="613">
        <f t="shared" si="38"/>
        <v>1.8444608703951902E-3</v>
      </c>
      <c r="F53" s="613">
        <f t="shared" si="38"/>
        <v>0</v>
      </c>
      <c r="G53" s="613">
        <f t="shared" si="38"/>
        <v>0.46233791529223034</v>
      </c>
      <c r="H53" s="613">
        <f t="shared" si="38"/>
        <v>0</v>
      </c>
      <c r="I53" s="613">
        <f t="shared" si="38"/>
        <v>0.14369249085049543</v>
      </c>
      <c r="J53" s="613">
        <f t="shared" si="38"/>
        <v>3.1829065915593797E-3</v>
      </c>
      <c r="K53" s="613">
        <f t="shared" si="38"/>
        <v>1.2159547235807734E-2</v>
      </c>
      <c r="L53" s="613">
        <f t="shared" si="38"/>
        <v>1.5240029984387287E-4</v>
      </c>
      <c r="M53" s="613">
        <f t="shared" si="38"/>
        <v>0</v>
      </c>
      <c r="N53" s="613">
        <f t="shared" si="38"/>
        <v>0</v>
      </c>
      <c r="O53" s="613">
        <f t="shared" si="38"/>
        <v>2.4623644787883958E-4</v>
      </c>
      <c r="P53" s="613">
        <f t="shared" si="38"/>
        <v>0</v>
      </c>
      <c r="Q53" s="613">
        <f t="shared" si="38"/>
        <v>0</v>
      </c>
      <c r="R53" s="613">
        <f t="shared" si="38"/>
        <v>0</v>
      </c>
      <c r="S53" s="613">
        <f t="shared" si="38"/>
        <v>0</v>
      </c>
      <c r="T53" s="613">
        <f t="shared" si="38"/>
        <v>0</v>
      </c>
      <c r="U53" s="613">
        <f t="shared" si="38"/>
        <v>4.4604965807962787E-3</v>
      </c>
      <c r="V53" s="613">
        <f t="shared" si="38"/>
        <v>7.293357959259996E-4</v>
      </c>
      <c r="W53" s="613">
        <f t="shared" si="38"/>
        <v>1.7596659011241321E-2</v>
      </c>
      <c r="X53" s="613">
        <f t="shared" si="38"/>
        <v>5.5574761073694245E-3</v>
      </c>
      <c r="Y53" s="613">
        <f t="shared" si="38"/>
        <v>0</v>
      </c>
      <c r="Z53" s="613">
        <f t="shared" si="38"/>
        <v>9.9966852779905609E-5</v>
      </c>
      <c r="AA53" s="613">
        <f t="shared" si="38"/>
        <v>1.5990493046270911E-3</v>
      </c>
      <c r="AB53" s="613">
        <f t="shared" si="38"/>
        <v>0</v>
      </c>
      <c r="AC53" s="613">
        <f t="shared" si="38"/>
        <v>0</v>
      </c>
      <c r="AD53" s="613">
        <f t="shared" si="38"/>
        <v>0</v>
      </c>
      <c r="AE53" s="613">
        <f t="shared" si="38"/>
        <v>0</v>
      </c>
      <c r="AF53" s="613">
        <f t="shared" si="38"/>
        <v>0</v>
      </c>
      <c r="AG53" s="613">
        <f t="shared" si="38"/>
        <v>0</v>
      </c>
      <c r="AH53" s="613">
        <f t="shared" si="38"/>
        <v>1</v>
      </c>
      <c r="AI53" s="614"/>
      <c r="AJ53" s="614"/>
    </row>
    <row r="54" spans="1:36">
      <c r="A54" s="612">
        <v>8</v>
      </c>
      <c r="B54" s="601" t="s">
        <v>642</v>
      </c>
      <c r="C54" s="613">
        <f t="shared" si="38"/>
        <v>0.10166954200736752</v>
      </c>
      <c r="D54" s="613">
        <f t="shared" si="38"/>
        <v>0.35804970316311707</v>
      </c>
      <c r="E54" s="613">
        <f t="shared" si="38"/>
        <v>1.3513790578123953E-3</v>
      </c>
      <c r="F54" s="613">
        <f t="shared" si="38"/>
        <v>0</v>
      </c>
      <c r="G54" s="613">
        <f t="shared" si="38"/>
        <v>0.28178460863594085</v>
      </c>
      <c r="H54" s="613">
        <f t="shared" si="38"/>
        <v>2.5147872676736416E-3</v>
      </c>
      <c r="I54" s="613">
        <f t="shared" si="38"/>
        <v>0.12442159809017264</v>
      </c>
      <c r="J54" s="613">
        <f t="shared" si="38"/>
        <v>4.7931163535089262E-3</v>
      </c>
      <c r="K54" s="613">
        <f t="shared" si="38"/>
        <v>9.0005935188549342E-3</v>
      </c>
      <c r="L54" s="613">
        <f t="shared" si="38"/>
        <v>2.0079402764982446E-3</v>
      </c>
      <c r="M54" s="613">
        <f t="shared" si="38"/>
        <v>0</v>
      </c>
      <c r="N54" s="613">
        <f t="shared" si="38"/>
        <v>0</v>
      </c>
      <c r="O54" s="613">
        <f t="shared" si="38"/>
        <v>3.8048731359902196E-4</v>
      </c>
      <c r="P54" s="613">
        <f t="shared" si="38"/>
        <v>0</v>
      </c>
      <c r="Q54" s="613">
        <f t="shared" si="38"/>
        <v>0</v>
      </c>
      <c r="R54" s="613">
        <f t="shared" si="38"/>
        <v>0</v>
      </c>
      <c r="S54" s="613">
        <f t="shared" si="38"/>
        <v>0</v>
      </c>
      <c r="T54" s="613">
        <f t="shared" si="38"/>
        <v>0</v>
      </c>
      <c r="U54" s="613">
        <f t="shared" si="38"/>
        <v>9.9087698775463792E-2</v>
      </c>
      <c r="V54" s="613">
        <f t="shared" si="38"/>
        <v>3.0744464679950301E-3</v>
      </c>
      <c r="W54" s="613">
        <f t="shared" si="38"/>
        <v>1.2037448387931164E-3</v>
      </c>
      <c r="X54" s="613">
        <f t="shared" si="38"/>
        <v>7.1436016715739556E-3</v>
      </c>
      <c r="Y54" s="613">
        <f t="shared" si="38"/>
        <v>3.8266679589767246E-4</v>
      </c>
      <c r="Z54" s="613">
        <f t="shared" si="38"/>
        <v>9.2666054806629932E-4</v>
      </c>
      <c r="AA54" s="613">
        <f t="shared" si="38"/>
        <v>2.2074252176648413E-3</v>
      </c>
      <c r="AB54" s="613">
        <f t="shared" si="38"/>
        <v>0</v>
      </c>
      <c r="AC54" s="613">
        <f t="shared" si="38"/>
        <v>0</v>
      </c>
      <c r="AD54" s="613">
        <f t="shared" si="38"/>
        <v>0</v>
      </c>
      <c r="AE54" s="613">
        <f t="shared" si="38"/>
        <v>0</v>
      </c>
      <c r="AF54" s="613">
        <f t="shared" si="38"/>
        <v>0</v>
      </c>
      <c r="AG54" s="613">
        <f t="shared" si="38"/>
        <v>0</v>
      </c>
      <c r="AH54" s="613">
        <f t="shared" ref="AH54" si="39">AH21/$AH21</f>
        <v>1</v>
      </c>
      <c r="AI54" s="614"/>
      <c r="AJ54" s="614"/>
    </row>
    <row r="55" spans="1:36">
      <c r="A55" s="612">
        <v>9</v>
      </c>
      <c r="B55" s="601" t="s">
        <v>636</v>
      </c>
      <c r="C55" s="613">
        <f t="shared" ref="C55:AH58" si="40">C22/$AH22</f>
        <v>0.10533077079680728</v>
      </c>
      <c r="D55" s="613">
        <f t="shared" si="40"/>
        <v>0.39631937268662509</v>
      </c>
      <c r="E55" s="613">
        <f t="shared" si="40"/>
        <v>1.6773834034659871E-3</v>
      </c>
      <c r="F55" s="613">
        <f t="shared" si="40"/>
        <v>0</v>
      </c>
      <c r="G55" s="613">
        <f t="shared" si="40"/>
        <v>0.3316580861890347</v>
      </c>
      <c r="H55" s="613">
        <f t="shared" si="40"/>
        <v>0</v>
      </c>
      <c r="I55" s="613">
        <f t="shared" si="40"/>
        <v>8.6723137729583219E-2</v>
      </c>
      <c r="J55" s="613">
        <f t="shared" si="40"/>
        <v>2.6840185560696767E-3</v>
      </c>
      <c r="K55" s="613">
        <f t="shared" si="40"/>
        <v>8.0207568048975292E-3</v>
      </c>
      <c r="L55" s="613">
        <f t="shared" si="40"/>
        <v>1.0724163427808195E-4</v>
      </c>
      <c r="M55" s="613">
        <f t="shared" si="40"/>
        <v>0</v>
      </c>
      <c r="N55" s="613">
        <f t="shared" si="40"/>
        <v>0</v>
      </c>
      <c r="O55" s="613">
        <f t="shared" si="40"/>
        <v>1.8021019365985745E-4</v>
      </c>
      <c r="P55" s="613">
        <f t="shared" si="40"/>
        <v>0</v>
      </c>
      <c r="Q55" s="613">
        <f t="shared" si="40"/>
        <v>0</v>
      </c>
      <c r="R55" s="613">
        <f t="shared" si="40"/>
        <v>0</v>
      </c>
      <c r="S55" s="613">
        <f t="shared" si="40"/>
        <v>0</v>
      </c>
      <c r="T55" s="613">
        <f t="shared" si="40"/>
        <v>0</v>
      </c>
      <c r="U55" s="613">
        <f t="shared" si="40"/>
        <v>2.1276129922527601E-2</v>
      </c>
      <c r="V55" s="613">
        <f t="shared" si="40"/>
        <v>7.2657778792878458E-3</v>
      </c>
      <c r="W55" s="613">
        <f t="shared" si="40"/>
        <v>2.7715225201384384E-2</v>
      </c>
      <c r="X55" s="613">
        <f t="shared" si="40"/>
        <v>4.4864167149873237E-3</v>
      </c>
      <c r="Y55" s="613">
        <f t="shared" si="40"/>
        <v>0</v>
      </c>
      <c r="Z55" s="613">
        <f t="shared" si="40"/>
        <v>0</v>
      </c>
      <c r="AA55" s="613">
        <f t="shared" si="40"/>
        <v>6.5554722873914289E-3</v>
      </c>
      <c r="AB55" s="613">
        <f t="shared" si="40"/>
        <v>0</v>
      </c>
      <c r="AC55" s="613">
        <f t="shared" si="40"/>
        <v>0</v>
      </c>
      <c r="AD55" s="613">
        <f t="shared" si="40"/>
        <v>0</v>
      </c>
      <c r="AE55" s="613">
        <f t="shared" si="40"/>
        <v>0</v>
      </c>
      <c r="AF55" s="613">
        <f t="shared" si="40"/>
        <v>0</v>
      </c>
      <c r="AG55" s="613">
        <f t="shared" si="40"/>
        <v>0</v>
      </c>
      <c r="AH55" s="613">
        <f t="shared" si="40"/>
        <v>1</v>
      </c>
      <c r="AI55" s="614"/>
      <c r="AJ55" s="614"/>
    </row>
    <row r="56" spans="1:36">
      <c r="A56" s="612">
        <v>10</v>
      </c>
      <c r="B56" s="601" t="s">
        <v>756</v>
      </c>
      <c r="C56" s="613">
        <f t="shared" si="40"/>
        <v>0</v>
      </c>
      <c r="D56" s="613">
        <f t="shared" si="40"/>
        <v>0</v>
      </c>
      <c r="E56" s="613">
        <f t="shared" si="40"/>
        <v>6.7381812637350201E-4</v>
      </c>
      <c r="F56" s="613">
        <f t="shared" si="40"/>
        <v>0</v>
      </c>
      <c r="G56" s="613">
        <f t="shared" si="40"/>
        <v>6.156198869696E-3</v>
      </c>
      <c r="H56" s="613">
        <f t="shared" si="40"/>
        <v>1.7735299027900102E-2</v>
      </c>
      <c r="I56" s="613">
        <f t="shared" si="40"/>
        <v>0</v>
      </c>
      <c r="J56" s="613">
        <f t="shared" si="40"/>
        <v>4.4923718305104345E-5</v>
      </c>
      <c r="K56" s="613">
        <f t="shared" si="40"/>
        <v>0</v>
      </c>
      <c r="L56" s="613">
        <f t="shared" si="40"/>
        <v>0.23058104803622936</v>
      </c>
      <c r="M56" s="613">
        <f t="shared" si="40"/>
        <v>1.2349220035000451E-2</v>
      </c>
      <c r="N56" s="613">
        <f t="shared" si="40"/>
        <v>1.9344917360700112E-2</v>
      </c>
      <c r="O56" s="613">
        <f t="shared" si="40"/>
        <v>6.2498558338536609E-3</v>
      </c>
      <c r="P56" s="613">
        <f t="shared" si="40"/>
        <v>5.082507413525319E-3</v>
      </c>
      <c r="Q56" s="613">
        <f t="shared" si="40"/>
        <v>9.2379278266205567E-3</v>
      </c>
      <c r="R56" s="613">
        <f t="shared" si="40"/>
        <v>2.5618766864968459E-2</v>
      </c>
      <c r="S56" s="613">
        <f t="shared" si="40"/>
        <v>0</v>
      </c>
      <c r="T56" s="613">
        <f t="shared" si="40"/>
        <v>0</v>
      </c>
      <c r="U56" s="613">
        <f t="shared" si="40"/>
        <v>8.8567397706061576E-2</v>
      </c>
      <c r="V56" s="613">
        <f t="shared" si="40"/>
        <v>0.10376785969280859</v>
      </c>
      <c r="W56" s="613">
        <f t="shared" si="40"/>
        <v>0</v>
      </c>
      <c r="X56" s="613">
        <f t="shared" si="40"/>
        <v>0.14497083903135946</v>
      </c>
      <c r="Y56" s="613">
        <f t="shared" si="40"/>
        <v>0.20682596604941991</v>
      </c>
      <c r="Z56" s="613">
        <f t="shared" si="40"/>
        <v>2.209905753770874E-2</v>
      </c>
      <c r="AA56" s="613">
        <f t="shared" si="40"/>
        <v>0.10069439686946909</v>
      </c>
      <c r="AB56" s="613">
        <f t="shared" si="40"/>
        <v>0</v>
      </c>
      <c r="AC56" s="613">
        <f t="shared" si="40"/>
        <v>0</v>
      </c>
      <c r="AD56" s="613">
        <f t="shared" si="40"/>
        <v>0</v>
      </c>
      <c r="AE56" s="613">
        <f t="shared" si="40"/>
        <v>0</v>
      </c>
      <c r="AF56" s="613">
        <f t="shared" si="40"/>
        <v>0</v>
      </c>
      <c r="AG56" s="613">
        <f t="shared" si="40"/>
        <v>0</v>
      </c>
      <c r="AH56" s="613">
        <f t="shared" si="40"/>
        <v>1</v>
      </c>
      <c r="AI56" s="614"/>
      <c r="AJ56" s="614"/>
    </row>
    <row r="57" spans="1:36">
      <c r="A57" s="612">
        <v>11</v>
      </c>
      <c r="B57" s="601" t="s">
        <v>746</v>
      </c>
      <c r="C57" s="613">
        <f t="shared" si="40"/>
        <v>0</v>
      </c>
      <c r="D57" s="613">
        <f t="shared" si="40"/>
        <v>0</v>
      </c>
      <c r="E57" s="613">
        <f t="shared" si="40"/>
        <v>1</v>
      </c>
      <c r="F57" s="613">
        <f t="shared" si="40"/>
        <v>0</v>
      </c>
      <c r="G57" s="613">
        <f t="shared" si="40"/>
        <v>0</v>
      </c>
      <c r="H57" s="613">
        <f t="shared" si="40"/>
        <v>0</v>
      </c>
      <c r="I57" s="613">
        <f t="shared" si="40"/>
        <v>0</v>
      </c>
      <c r="J57" s="613">
        <f t="shared" si="40"/>
        <v>0</v>
      </c>
      <c r="K57" s="613">
        <f t="shared" si="40"/>
        <v>0</v>
      </c>
      <c r="L57" s="613">
        <f t="shared" si="40"/>
        <v>0</v>
      </c>
      <c r="M57" s="613">
        <f t="shared" si="40"/>
        <v>0</v>
      </c>
      <c r="N57" s="613">
        <f t="shared" si="40"/>
        <v>0</v>
      </c>
      <c r="O57" s="613">
        <f t="shared" si="40"/>
        <v>0</v>
      </c>
      <c r="P57" s="613">
        <f t="shared" si="40"/>
        <v>0</v>
      </c>
      <c r="Q57" s="613">
        <f t="shared" si="40"/>
        <v>0</v>
      </c>
      <c r="R57" s="613">
        <f t="shared" si="40"/>
        <v>0</v>
      </c>
      <c r="S57" s="613">
        <f t="shared" si="40"/>
        <v>0</v>
      </c>
      <c r="T57" s="613">
        <f t="shared" si="40"/>
        <v>0</v>
      </c>
      <c r="U57" s="613">
        <f t="shared" si="40"/>
        <v>0</v>
      </c>
      <c r="V57" s="613">
        <f t="shared" si="40"/>
        <v>0</v>
      </c>
      <c r="W57" s="613">
        <f t="shared" si="40"/>
        <v>0</v>
      </c>
      <c r="X57" s="613">
        <f t="shared" si="40"/>
        <v>0</v>
      </c>
      <c r="Y57" s="613">
        <f t="shared" si="40"/>
        <v>0</v>
      </c>
      <c r="Z57" s="613">
        <f t="shared" si="40"/>
        <v>0</v>
      </c>
      <c r="AA57" s="613">
        <f t="shared" si="40"/>
        <v>0</v>
      </c>
      <c r="AB57" s="613">
        <f t="shared" si="40"/>
        <v>0</v>
      </c>
      <c r="AC57" s="613">
        <f t="shared" si="40"/>
        <v>0</v>
      </c>
      <c r="AD57" s="613">
        <f t="shared" si="40"/>
        <v>0</v>
      </c>
      <c r="AE57" s="613">
        <f t="shared" si="40"/>
        <v>0</v>
      </c>
      <c r="AF57" s="613">
        <f t="shared" si="40"/>
        <v>0</v>
      </c>
      <c r="AG57" s="613">
        <f t="shared" si="40"/>
        <v>0</v>
      </c>
      <c r="AH57" s="613">
        <f t="shared" si="40"/>
        <v>1</v>
      </c>
      <c r="AI57" s="614"/>
      <c r="AJ57" s="614"/>
    </row>
    <row r="58" spans="1:36" s="610" customFormat="1">
      <c r="A58" s="615">
        <v>12</v>
      </c>
      <c r="B58" s="616" t="s">
        <v>1094</v>
      </c>
      <c r="C58" s="617">
        <f t="shared" si="40"/>
        <v>8.7095745532259433E-2</v>
      </c>
      <c r="D58" s="617">
        <f t="shared" si="40"/>
        <v>0.35681357004347303</v>
      </c>
      <c r="E58" s="617">
        <f t="shared" si="40"/>
        <v>2.0346863394766937E-3</v>
      </c>
      <c r="F58" s="617">
        <f t="shared" si="40"/>
        <v>0</v>
      </c>
      <c r="G58" s="617">
        <f t="shared" si="40"/>
        <v>0.37921006496978577</v>
      </c>
      <c r="H58" s="617">
        <f t="shared" si="40"/>
        <v>1.3704712809184858E-3</v>
      </c>
      <c r="I58" s="617">
        <f t="shared" si="40"/>
        <v>0.10298940262382933</v>
      </c>
      <c r="J58" s="617">
        <f t="shared" si="40"/>
        <v>3.1734581891171044E-3</v>
      </c>
      <c r="K58" s="617">
        <f t="shared" si="40"/>
        <v>1.4897363359267482E-2</v>
      </c>
      <c r="L58" s="617">
        <f t="shared" si="40"/>
        <v>6.2065451070429517E-3</v>
      </c>
      <c r="M58" s="617">
        <f t="shared" si="40"/>
        <v>1.5243212963101559E-4</v>
      </c>
      <c r="N58" s="617">
        <f t="shared" si="40"/>
        <v>2.9384603392965098E-4</v>
      </c>
      <c r="O58" s="617">
        <f t="shared" si="40"/>
        <v>4.8771613486248578E-4</v>
      </c>
      <c r="P58" s="617">
        <f t="shared" si="40"/>
        <v>6.2735737699491149E-5</v>
      </c>
      <c r="Q58" s="617">
        <f t="shared" si="40"/>
        <v>1.1402801213342695E-4</v>
      </c>
      <c r="R58" s="617">
        <f t="shared" si="40"/>
        <v>3.1622427818758163E-4</v>
      </c>
      <c r="S58" s="617">
        <f t="shared" si="40"/>
        <v>0</v>
      </c>
      <c r="T58" s="617">
        <f t="shared" si="40"/>
        <v>0</v>
      </c>
      <c r="U58" s="617">
        <f t="shared" si="40"/>
        <v>1.6237044027256026E-2</v>
      </c>
      <c r="V58" s="617">
        <f t="shared" si="40"/>
        <v>3.6585577499640303E-3</v>
      </c>
      <c r="W58" s="617">
        <f t="shared" si="40"/>
        <v>9.0016753137859822E-3</v>
      </c>
      <c r="X58" s="617">
        <f t="shared" si="40"/>
        <v>7.2715586079587164E-3</v>
      </c>
      <c r="Y58" s="617">
        <f t="shared" si="40"/>
        <v>3.7379858990719138E-3</v>
      </c>
      <c r="Z58" s="617">
        <f t="shared" si="40"/>
        <v>7.1578377685854332E-4</v>
      </c>
      <c r="AA58" s="617">
        <f t="shared" si="40"/>
        <v>4.1591048534908581E-3</v>
      </c>
      <c r="AB58" s="617">
        <f t="shared" si="40"/>
        <v>0</v>
      </c>
      <c r="AC58" s="617">
        <f t="shared" si="40"/>
        <v>0</v>
      </c>
      <c r="AD58" s="617">
        <f t="shared" si="40"/>
        <v>0</v>
      </c>
      <c r="AE58" s="617">
        <f t="shared" si="40"/>
        <v>0</v>
      </c>
      <c r="AF58" s="617">
        <f t="shared" si="40"/>
        <v>0</v>
      </c>
      <c r="AG58" s="617">
        <f t="shared" si="40"/>
        <v>0</v>
      </c>
      <c r="AH58" s="617">
        <f t="shared" si="40"/>
        <v>1</v>
      </c>
      <c r="AI58" s="618"/>
      <c r="AJ58" s="618"/>
    </row>
    <row r="59" spans="1:36" s="610" customFormat="1">
      <c r="A59" s="588"/>
      <c r="C59" s="860"/>
      <c r="D59" s="860">
        <f>C58+D58+E58</f>
        <v>0.44594400191520911</v>
      </c>
      <c r="E59" s="860"/>
      <c r="F59" s="860"/>
      <c r="G59" s="860"/>
      <c r="H59" s="860">
        <f>G58+H58</f>
        <v>0.38058053625070426</v>
      </c>
      <c r="I59" s="860"/>
      <c r="J59" s="860"/>
      <c r="K59" s="860"/>
      <c r="L59" s="860"/>
      <c r="M59" s="860"/>
      <c r="N59" s="860"/>
      <c r="O59" s="860"/>
      <c r="P59" s="860"/>
      <c r="Q59" s="860"/>
      <c r="R59" s="860"/>
      <c r="S59" s="860"/>
      <c r="T59" s="860"/>
      <c r="U59" s="860"/>
      <c r="V59" s="860"/>
      <c r="W59" s="860"/>
      <c r="X59" s="860"/>
      <c r="Y59" s="860"/>
      <c r="Z59" s="860"/>
      <c r="AA59" s="860"/>
      <c r="AB59" s="860"/>
      <c r="AC59" s="860"/>
      <c r="AD59" s="860"/>
      <c r="AE59" s="860"/>
      <c r="AF59" s="860"/>
      <c r="AG59" s="860"/>
      <c r="AH59" s="860"/>
      <c r="AI59" s="618"/>
      <c r="AJ59" s="618"/>
    </row>
    <row r="60" spans="1:36">
      <c r="A60" s="610" t="s">
        <v>1097</v>
      </c>
    </row>
    <row r="61" spans="1:36">
      <c r="A61" s="1507" t="s">
        <v>0</v>
      </c>
      <c r="B61" s="1511" t="s">
        <v>632</v>
      </c>
      <c r="C61" s="1518" t="s">
        <v>1005</v>
      </c>
      <c r="D61" s="1518"/>
      <c r="E61" s="1518"/>
      <c r="F61" s="1507" t="s">
        <v>1006</v>
      </c>
      <c r="G61" s="1507" t="s">
        <v>1007</v>
      </c>
      <c r="H61" s="1507" t="s">
        <v>1008</v>
      </c>
      <c r="I61" s="1507" t="s">
        <v>1009</v>
      </c>
      <c r="J61" s="1507" t="s">
        <v>1010</v>
      </c>
      <c r="K61" s="1507" t="s">
        <v>1011</v>
      </c>
      <c r="L61" s="1507" t="s">
        <v>1012</v>
      </c>
      <c r="M61" s="1507" t="s">
        <v>1013</v>
      </c>
      <c r="N61" s="1507" t="s">
        <v>1014</v>
      </c>
      <c r="O61" s="1507" t="s">
        <v>1015</v>
      </c>
      <c r="P61" s="1517" t="s">
        <v>1016</v>
      </c>
      <c r="Q61" s="1517"/>
      <c r="R61" s="1517"/>
      <c r="S61" s="1507" t="s">
        <v>1017</v>
      </c>
      <c r="T61" s="1507" t="s">
        <v>1018</v>
      </c>
      <c r="U61" s="1507" t="s">
        <v>1019</v>
      </c>
      <c r="V61" s="1507" t="s">
        <v>1020</v>
      </c>
      <c r="W61" s="1507" t="s">
        <v>1021</v>
      </c>
      <c r="X61" s="1517" t="s">
        <v>1022</v>
      </c>
      <c r="Y61" s="1517"/>
      <c r="Z61" s="1517"/>
      <c r="AA61" s="1517"/>
      <c r="AB61" s="1507" t="s">
        <v>1023</v>
      </c>
      <c r="AC61" s="1507" t="s">
        <v>1024</v>
      </c>
      <c r="AD61" s="1507" t="s">
        <v>1025</v>
      </c>
      <c r="AE61" s="1507" t="s">
        <v>1026</v>
      </c>
      <c r="AF61" s="1507" t="s">
        <v>1027</v>
      </c>
      <c r="AG61" s="1507" t="s">
        <v>1028</v>
      </c>
      <c r="AH61" s="1507" t="s">
        <v>1029</v>
      </c>
      <c r="AI61" s="552"/>
      <c r="AJ61" s="552"/>
    </row>
    <row r="62" spans="1:36" ht="49.5">
      <c r="A62" s="1508"/>
      <c r="B62" s="1512"/>
      <c r="C62" s="592" t="s">
        <v>1030</v>
      </c>
      <c r="D62" s="592" t="s">
        <v>1031</v>
      </c>
      <c r="E62" s="592" t="s">
        <v>1032</v>
      </c>
      <c r="F62" s="1508"/>
      <c r="G62" s="1508"/>
      <c r="H62" s="1508"/>
      <c r="I62" s="1508"/>
      <c r="J62" s="1508"/>
      <c r="K62" s="1508"/>
      <c r="L62" s="1508"/>
      <c r="M62" s="1508"/>
      <c r="N62" s="1508"/>
      <c r="O62" s="1508"/>
      <c r="P62" s="593" t="s">
        <v>1033</v>
      </c>
      <c r="Q62" s="593" t="s">
        <v>1034</v>
      </c>
      <c r="R62" s="593" t="s">
        <v>1035</v>
      </c>
      <c r="S62" s="1508"/>
      <c r="T62" s="1508"/>
      <c r="U62" s="1508"/>
      <c r="V62" s="1508"/>
      <c r="W62" s="1508"/>
      <c r="X62" s="593" t="s">
        <v>1036</v>
      </c>
      <c r="Y62" s="593" t="s">
        <v>1037</v>
      </c>
      <c r="Z62" s="593" t="s">
        <v>1038</v>
      </c>
      <c r="AA62" s="593" t="s">
        <v>1039</v>
      </c>
      <c r="AB62" s="1508"/>
      <c r="AC62" s="1508"/>
      <c r="AD62" s="1508"/>
      <c r="AE62" s="1508"/>
      <c r="AF62" s="1508"/>
      <c r="AG62" s="1508"/>
      <c r="AH62" s="1508"/>
      <c r="AI62" s="588"/>
      <c r="AJ62" s="588"/>
    </row>
    <row r="63" spans="1:36">
      <c r="A63" s="612">
        <v>1</v>
      </c>
      <c r="B63" s="601" t="s">
        <v>1082</v>
      </c>
      <c r="C63" s="613">
        <f t="shared" ref="C63:AH70" si="41">C31/$AH31</f>
        <v>0</v>
      </c>
      <c r="D63" s="613">
        <f t="shared" si="41"/>
        <v>0.26169917789934427</v>
      </c>
      <c r="E63" s="613">
        <f t="shared" si="41"/>
        <v>2.6119546538884227E-3</v>
      </c>
      <c r="F63" s="613">
        <f t="shared" si="41"/>
        <v>0</v>
      </c>
      <c r="G63" s="613">
        <f t="shared" si="41"/>
        <v>0</v>
      </c>
      <c r="H63" s="613">
        <f t="shared" si="41"/>
        <v>0</v>
      </c>
      <c r="I63" s="613">
        <f t="shared" si="41"/>
        <v>0.73519896514829719</v>
      </c>
      <c r="J63" s="613">
        <f t="shared" si="41"/>
        <v>4.8990229847013214E-4</v>
      </c>
      <c r="K63" s="613">
        <f t="shared" si="41"/>
        <v>0</v>
      </c>
      <c r="L63" s="613">
        <f t="shared" si="41"/>
        <v>0</v>
      </c>
      <c r="M63" s="613">
        <f t="shared" si="41"/>
        <v>0</v>
      </c>
      <c r="N63" s="613">
        <f t="shared" si="41"/>
        <v>0</v>
      </c>
      <c r="O63" s="613">
        <f t="shared" si="41"/>
        <v>0</v>
      </c>
      <c r="P63" s="613">
        <f t="shared" si="41"/>
        <v>0</v>
      </c>
      <c r="Q63" s="613">
        <f t="shared" si="41"/>
        <v>0</v>
      </c>
      <c r="R63" s="613">
        <f t="shared" si="41"/>
        <v>0</v>
      </c>
      <c r="S63" s="613">
        <f t="shared" si="41"/>
        <v>0</v>
      </c>
      <c r="T63" s="613">
        <f t="shared" si="41"/>
        <v>0</v>
      </c>
      <c r="U63" s="613">
        <f t="shared" si="41"/>
        <v>0</v>
      </c>
      <c r="V63" s="613">
        <f t="shared" si="41"/>
        <v>0</v>
      </c>
      <c r="W63" s="613">
        <f t="shared" si="41"/>
        <v>0</v>
      </c>
      <c r="X63" s="613">
        <f t="shared" si="41"/>
        <v>0</v>
      </c>
      <c r="Y63" s="613">
        <f t="shared" si="41"/>
        <v>0</v>
      </c>
      <c r="Z63" s="613">
        <f t="shared" si="41"/>
        <v>0</v>
      </c>
      <c r="AA63" s="613">
        <f t="shared" si="41"/>
        <v>0</v>
      </c>
      <c r="AB63" s="613">
        <f t="shared" si="41"/>
        <v>0</v>
      </c>
      <c r="AC63" s="613">
        <f t="shared" si="41"/>
        <v>0</v>
      </c>
      <c r="AD63" s="613">
        <f t="shared" si="41"/>
        <v>0</v>
      </c>
      <c r="AE63" s="613">
        <f t="shared" si="41"/>
        <v>0</v>
      </c>
      <c r="AF63" s="613">
        <f t="shared" si="41"/>
        <v>0</v>
      </c>
      <c r="AG63" s="613">
        <f t="shared" si="41"/>
        <v>0</v>
      </c>
      <c r="AH63" s="613">
        <f t="shared" si="41"/>
        <v>1</v>
      </c>
    </row>
    <row r="64" spans="1:36">
      <c r="A64" s="612">
        <v>2</v>
      </c>
      <c r="B64" s="601" t="s">
        <v>668</v>
      </c>
      <c r="C64" s="613">
        <f t="shared" si="41"/>
        <v>0.15006554255298898</v>
      </c>
      <c r="D64" s="613">
        <f t="shared" si="41"/>
        <v>0.43056832506863313</v>
      </c>
      <c r="E64" s="613">
        <f t="shared" si="41"/>
        <v>2.202042356786896E-3</v>
      </c>
      <c r="F64" s="613">
        <f t="shared" si="41"/>
        <v>0</v>
      </c>
      <c r="G64" s="613">
        <f t="shared" si="41"/>
        <v>0.29273300625748755</v>
      </c>
      <c r="H64" s="613">
        <f t="shared" si="41"/>
        <v>0</v>
      </c>
      <c r="I64" s="613">
        <f t="shared" si="41"/>
        <v>5.4396543632586308E-2</v>
      </c>
      <c r="J64" s="613">
        <f t="shared" si="41"/>
        <v>2.8829962171738619E-3</v>
      </c>
      <c r="K64" s="613">
        <f t="shared" si="41"/>
        <v>3.6450161572070296E-2</v>
      </c>
      <c r="L64" s="613">
        <f t="shared" si="41"/>
        <v>1.4224890998680059E-2</v>
      </c>
      <c r="M64" s="613">
        <f t="shared" si="41"/>
        <v>0</v>
      </c>
      <c r="N64" s="613">
        <f t="shared" si="41"/>
        <v>5.8134795711896204E-5</v>
      </c>
      <c r="O64" s="613">
        <f t="shared" si="41"/>
        <v>8.1403271260473229E-4</v>
      </c>
      <c r="P64" s="613">
        <f t="shared" si="41"/>
        <v>0</v>
      </c>
      <c r="Q64" s="613">
        <f t="shared" si="41"/>
        <v>0</v>
      </c>
      <c r="R64" s="613">
        <f t="shared" si="41"/>
        <v>0</v>
      </c>
      <c r="S64" s="613">
        <f t="shared" si="41"/>
        <v>0</v>
      </c>
      <c r="T64" s="613">
        <f t="shared" si="41"/>
        <v>0</v>
      </c>
      <c r="U64" s="613">
        <f t="shared" si="41"/>
        <v>8.7023475692194954E-3</v>
      </c>
      <c r="V64" s="613">
        <f t="shared" si="41"/>
        <v>1.0447800909950816E-3</v>
      </c>
      <c r="W64" s="613">
        <f t="shared" si="41"/>
        <v>2.2617589495404272E-3</v>
      </c>
      <c r="X64" s="613">
        <f t="shared" si="41"/>
        <v>2.394902838448522E-3</v>
      </c>
      <c r="Y64" s="613">
        <f t="shared" si="41"/>
        <v>8.19158332117241E-4</v>
      </c>
      <c r="Z64" s="613">
        <f t="shared" si="41"/>
        <v>1.4670257920276417E-4</v>
      </c>
      <c r="AA64" s="613">
        <f t="shared" si="41"/>
        <v>2.3467347575273234E-4</v>
      </c>
      <c r="AB64" s="613">
        <f t="shared" si="41"/>
        <v>0</v>
      </c>
      <c r="AC64" s="613">
        <f t="shared" si="41"/>
        <v>0</v>
      </c>
      <c r="AD64" s="613">
        <f t="shared" si="41"/>
        <v>0</v>
      </c>
      <c r="AE64" s="613">
        <f t="shared" si="41"/>
        <v>0</v>
      </c>
      <c r="AF64" s="613">
        <f t="shared" si="41"/>
        <v>0</v>
      </c>
      <c r="AG64" s="613">
        <f t="shared" si="41"/>
        <v>0</v>
      </c>
      <c r="AH64" s="613">
        <f t="shared" si="41"/>
        <v>1</v>
      </c>
    </row>
    <row r="65" spans="1:34">
      <c r="A65" s="612">
        <v>3</v>
      </c>
      <c r="B65" s="601" t="s">
        <v>653</v>
      </c>
      <c r="C65" s="613">
        <f t="shared" si="41"/>
        <v>6.5622789498640949E-2</v>
      </c>
      <c r="D65" s="613">
        <f t="shared" si="41"/>
        <v>0.27696132789117206</v>
      </c>
      <c r="E65" s="613">
        <f t="shared" si="41"/>
        <v>2.2980262654715314E-3</v>
      </c>
      <c r="F65" s="613">
        <f t="shared" si="41"/>
        <v>0</v>
      </c>
      <c r="G65" s="613">
        <f t="shared" si="41"/>
        <v>0.46108889186651159</v>
      </c>
      <c r="H65" s="613">
        <f t="shared" si="41"/>
        <v>0</v>
      </c>
      <c r="I65" s="613">
        <f t="shared" si="41"/>
        <v>0.14311452107350495</v>
      </c>
      <c r="J65" s="613">
        <f t="shared" si="41"/>
        <v>2.5254873552396839E-3</v>
      </c>
      <c r="K65" s="613">
        <f t="shared" si="41"/>
        <v>1.026818861859433E-2</v>
      </c>
      <c r="L65" s="613">
        <f t="shared" si="41"/>
        <v>7.1576091522672477E-4</v>
      </c>
      <c r="M65" s="613">
        <f t="shared" si="41"/>
        <v>0</v>
      </c>
      <c r="N65" s="613">
        <f t="shared" si="41"/>
        <v>6.8077535487354564E-5</v>
      </c>
      <c r="O65" s="613">
        <f t="shared" si="41"/>
        <v>2.7418469880263014E-4</v>
      </c>
      <c r="P65" s="613">
        <f t="shared" si="41"/>
        <v>0</v>
      </c>
      <c r="Q65" s="613">
        <f t="shared" si="41"/>
        <v>0</v>
      </c>
      <c r="R65" s="613">
        <f t="shared" si="41"/>
        <v>1.929118852360378E-5</v>
      </c>
      <c r="S65" s="613">
        <f t="shared" si="41"/>
        <v>0</v>
      </c>
      <c r="T65" s="613">
        <f t="shared" si="41"/>
        <v>0</v>
      </c>
      <c r="U65" s="613">
        <f t="shared" si="41"/>
        <v>2.2938849151199767E-3</v>
      </c>
      <c r="V65" s="613">
        <f t="shared" si="41"/>
        <v>9.7706026001991107E-3</v>
      </c>
      <c r="W65" s="613">
        <f t="shared" si="41"/>
        <v>8.6593862673648159E-3</v>
      </c>
      <c r="X65" s="613">
        <f t="shared" si="41"/>
        <v>7.2360327571615417E-3</v>
      </c>
      <c r="Y65" s="613">
        <f t="shared" si="41"/>
        <v>6.5356289245917494E-3</v>
      </c>
      <c r="Z65" s="613">
        <f t="shared" si="41"/>
        <v>7.5444421620299307E-4</v>
      </c>
      <c r="AA65" s="613">
        <f t="shared" si="41"/>
        <v>1.6883443194127125E-3</v>
      </c>
      <c r="AB65" s="613">
        <f t="shared" si="41"/>
        <v>0</v>
      </c>
      <c r="AC65" s="613">
        <f t="shared" si="41"/>
        <v>0</v>
      </c>
      <c r="AD65" s="613">
        <f t="shared" si="41"/>
        <v>0</v>
      </c>
      <c r="AE65" s="613">
        <f t="shared" si="41"/>
        <v>1.0512909277168273E-4</v>
      </c>
      <c r="AF65" s="613">
        <f t="shared" si="41"/>
        <v>0</v>
      </c>
      <c r="AG65" s="613">
        <f t="shared" si="41"/>
        <v>0</v>
      </c>
      <c r="AH65" s="613">
        <f t="shared" si="41"/>
        <v>1</v>
      </c>
    </row>
    <row r="66" spans="1:34">
      <c r="A66" s="612">
        <v>4</v>
      </c>
      <c r="B66" s="601" t="s">
        <v>646</v>
      </c>
      <c r="C66" s="613">
        <f t="shared" si="41"/>
        <v>5.7491552280911719E-2</v>
      </c>
      <c r="D66" s="613">
        <f t="shared" si="41"/>
        <v>0.35627347599447806</v>
      </c>
      <c r="E66" s="613">
        <f t="shared" si="41"/>
        <v>1.7222661812322509E-3</v>
      </c>
      <c r="F66" s="613">
        <f t="shared" si="41"/>
        <v>0</v>
      </c>
      <c r="G66" s="613">
        <f t="shared" si="41"/>
        <v>0.43919461749453548</v>
      </c>
      <c r="H66" s="613">
        <f t="shared" si="41"/>
        <v>0</v>
      </c>
      <c r="I66" s="613">
        <f t="shared" si="41"/>
        <v>0.1030719677498145</v>
      </c>
      <c r="J66" s="613">
        <f t="shared" si="41"/>
        <v>1.7384467269773668E-3</v>
      </c>
      <c r="K66" s="613">
        <f t="shared" si="41"/>
        <v>6.6549320923164762E-3</v>
      </c>
      <c r="L66" s="613">
        <f t="shared" si="41"/>
        <v>1.0644239889713602E-3</v>
      </c>
      <c r="M66" s="613">
        <f t="shared" si="41"/>
        <v>0</v>
      </c>
      <c r="N66" s="613">
        <f t="shared" si="41"/>
        <v>2.693173046706587E-5</v>
      </c>
      <c r="O66" s="613">
        <f t="shared" si="41"/>
        <v>2.7956421932769793E-4</v>
      </c>
      <c r="P66" s="613">
        <f t="shared" si="41"/>
        <v>0</v>
      </c>
      <c r="Q66" s="613">
        <f t="shared" si="41"/>
        <v>0</v>
      </c>
      <c r="R66" s="613">
        <f t="shared" si="41"/>
        <v>0</v>
      </c>
      <c r="S66" s="613">
        <f t="shared" si="41"/>
        <v>0</v>
      </c>
      <c r="T66" s="613">
        <f t="shared" si="41"/>
        <v>0</v>
      </c>
      <c r="U66" s="613">
        <f t="shared" si="41"/>
        <v>9.1158688960201687E-3</v>
      </c>
      <c r="V66" s="613">
        <f t="shared" si="41"/>
        <v>4.205520742070281E-3</v>
      </c>
      <c r="W66" s="613">
        <f t="shared" si="41"/>
        <v>4.1292797415443463E-3</v>
      </c>
      <c r="X66" s="613">
        <f t="shared" si="41"/>
        <v>7.6330129711851876E-3</v>
      </c>
      <c r="Y66" s="613">
        <f t="shared" si="41"/>
        <v>1.144250455714904E-3</v>
      </c>
      <c r="Z66" s="613">
        <f t="shared" si="41"/>
        <v>3.4725401771659595E-4</v>
      </c>
      <c r="AA66" s="613">
        <f t="shared" si="41"/>
        <v>5.8361281514194103E-3</v>
      </c>
      <c r="AB66" s="613">
        <f t="shared" si="41"/>
        <v>0</v>
      </c>
      <c r="AC66" s="613">
        <f t="shared" si="41"/>
        <v>0</v>
      </c>
      <c r="AD66" s="613">
        <f t="shared" si="41"/>
        <v>0</v>
      </c>
      <c r="AE66" s="613">
        <f t="shared" si="41"/>
        <v>7.0506565297125481E-5</v>
      </c>
      <c r="AF66" s="613">
        <f t="shared" si="41"/>
        <v>0</v>
      </c>
      <c r="AG66" s="613">
        <f t="shared" si="41"/>
        <v>0</v>
      </c>
      <c r="AH66" s="613">
        <f t="shared" si="41"/>
        <v>1</v>
      </c>
    </row>
    <row r="67" spans="1:34">
      <c r="A67" s="612">
        <v>5</v>
      </c>
      <c r="B67" s="601" t="s">
        <v>674</v>
      </c>
      <c r="C67" s="613">
        <f t="shared" si="41"/>
        <v>6.103792336124312E-2</v>
      </c>
      <c r="D67" s="613">
        <f t="shared" si="41"/>
        <v>0.36223073355180024</v>
      </c>
      <c r="E67" s="613">
        <f t="shared" si="41"/>
        <v>2.3960382770004474E-3</v>
      </c>
      <c r="F67" s="613">
        <f t="shared" si="41"/>
        <v>0</v>
      </c>
      <c r="G67" s="613">
        <f t="shared" si="41"/>
        <v>0.41090002992018798</v>
      </c>
      <c r="H67" s="613">
        <f t="shared" si="41"/>
        <v>0</v>
      </c>
      <c r="I67" s="613">
        <f t="shared" si="41"/>
        <v>0.11178506734628399</v>
      </c>
      <c r="J67" s="613">
        <f t="shared" si="41"/>
        <v>1.6817106401527942E-3</v>
      </c>
      <c r="K67" s="613">
        <f t="shared" si="41"/>
        <v>1.0355162750393825E-2</v>
      </c>
      <c r="L67" s="613">
        <f t="shared" si="41"/>
        <v>1.8924927949899012E-4</v>
      </c>
      <c r="M67" s="613">
        <f t="shared" si="41"/>
        <v>0</v>
      </c>
      <c r="N67" s="613">
        <f t="shared" si="41"/>
        <v>5.0078998172880065E-4</v>
      </c>
      <c r="O67" s="613">
        <f t="shared" si="41"/>
        <v>1.7532414826613128E-4</v>
      </c>
      <c r="P67" s="613">
        <f t="shared" si="41"/>
        <v>0</v>
      </c>
      <c r="Q67" s="613">
        <f t="shared" si="41"/>
        <v>0</v>
      </c>
      <c r="R67" s="613">
        <f t="shared" si="41"/>
        <v>4.2350296083005714E-5</v>
      </c>
      <c r="S67" s="613">
        <f t="shared" si="41"/>
        <v>0</v>
      </c>
      <c r="T67" s="613">
        <f t="shared" si="41"/>
        <v>0</v>
      </c>
      <c r="U67" s="613">
        <f t="shared" si="41"/>
        <v>2.278334764546652E-3</v>
      </c>
      <c r="V67" s="613">
        <f t="shared" si="41"/>
        <v>1.4770916419735566E-2</v>
      </c>
      <c r="W67" s="613">
        <f t="shared" si="41"/>
        <v>4.5036432657285129E-3</v>
      </c>
      <c r="X67" s="613">
        <f t="shared" si="41"/>
        <v>9.5805379851797504E-3</v>
      </c>
      <c r="Y67" s="613">
        <f t="shared" si="41"/>
        <v>5.2987494188204629E-3</v>
      </c>
      <c r="Z67" s="613">
        <f t="shared" si="41"/>
        <v>9.0722111893602037E-4</v>
      </c>
      <c r="AA67" s="613">
        <f t="shared" si="41"/>
        <v>1.3662174744137074E-3</v>
      </c>
      <c r="AB67" s="613">
        <f t="shared" si="41"/>
        <v>0</v>
      </c>
      <c r="AC67" s="613">
        <f t="shared" si="41"/>
        <v>0</v>
      </c>
      <c r="AD67" s="613">
        <f t="shared" si="41"/>
        <v>0</v>
      </c>
      <c r="AE67" s="613">
        <f t="shared" si="41"/>
        <v>0</v>
      </c>
      <c r="AF67" s="613">
        <f t="shared" si="41"/>
        <v>0</v>
      </c>
      <c r="AG67" s="613">
        <f t="shared" si="41"/>
        <v>0</v>
      </c>
      <c r="AH67" s="613">
        <f t="shared" si="41"/>
        <v>1</v>
      </c>
    </row>
    <row r="68" spans="1:34">
      <c r="A68" s="612">
        <v>6</v>
      </c>
      <c r="B68" s="601" t="s">
        <v>649</v>
      </c>
      <c r="C68" s="613">
        <f t="shared" si="41"/>
        <v>6.7690544882099912E-2</v>
      </c>
      <c r="D68" s="613">
        <f t="shared" si="41"/>
        <v>0.39026082956194791</v>
      </c>
      <c r="E68" s="613">
        <f t="shared" si="41"/>
        <v>2.6006719978943797E-3</v>
      </c>
      <c r="F68" s="613">
        <f t="shared" si="41"/>
        <v>0</v>
      </c>
      <c r="G68" s="613">
        <f t="shared" si="41"/>
        <v>0.41056827079385488</v>
      </c>
      <c r="H68" s="613">
        <f t="shared" si="41"/>
        <v>7.1073804627771924E-3</v>
      </c>
      <c r="I68" s="613">
        <f t="shared" si="41"/>
        <v>7.8132743226940721E-2</v>
      </c>
      <c r="J68" s="613">
        <f t="shared" si="41"/>
        <v>2.7596183843331878E-3</v>
      </c>
      <c r="K68" s="613">
        <f t="shared" si="41"/>
        <v>1.1663122558151747E-2</v>
      </c>
      <c r="L68" s="613">
        <f t="shared" si="41"/>
        <v>1.0087726085765702E-3</v>
      </c>
      <c r="M68" s="613">
        <f t="shared" si="41"/>
        <v>1.8973779050020085E-4</v>
      </c>
      <c r="N68" s="613">
        <f t="shared" si="41"/>
        <v>0</v>
      </c>
      <c r="O68" s="613">
        <f t="shared" si="41"/>
        <v>3.0748525427984444E-4</v>
      </c>
      <c r="P68" s="613">
        <f t="shared" si="41"/>
        <v>0</v>
      </c>
      <c r="Q68" s="613">
        <f t="shared" si="41"/>
        <v>0</v>
      </c>
      <c r="R68" s="613">
        <f t="shared" si="41"/>
        <v>0</v>
      </c>
      <c r="S68" s="613">
        <f t="shared" si="41"/>
        <v>0</v>
      </c>
      <c r="T68" s="613">
        <f t="shared" si="41"/>
        <v>0</v>
      </c>
      <c r="U68" s="613">
        <f t="shared" si="41"/>
        <v>7.4630199297358495E-3</v>
      </c>
      <c r="V68" s="613">
        <f t="shared" si="41"/>
        <v>6.3911546935088159E-3</v>
      </c>
      <c r="W68" s="613">
        <f t="shared" si="41"/>
        <v>2.0057562134556416E-3</v>
      </c>
      <c r="X68" s="613">
        <f t="shared" si="41"/>
        <v>5.3228214600615957E-3</v>
      </c>
      <c r="Y68" s="613">
        <f t="shared" si="41"/>
        <v>2.5938780187314036E-3</v>
      </c>
      <c r="Z68" s="613">
        <f t="shared" si="41"/>
        <v>4.3028312073169542E-4</v>
      </c>
      <c r="AA68" s="613">
        <f t="shared" si="41"/>
        <v>3.5039090424184606E-3</v>
      </c>
      <c r="AB68" s="613">
        <f t="shared" si="41"/>
        <v>0</v>
      </c>
      <c r="AC68" s="613">
        <f t="shared" si="41"/>
        <v>0</v>
      </c>
      <c r="AD68" s="613">
        <f t="shared" si="41"/>
        <v>0</v>
      </c>
      <c r="AE68" s="613">
        <f t="shared" si="41"/>
        <v>0</v>
      </c>
      <c r="AF68" s="613">
        <f t="shared" si="41"/>
        <v>0</v>
      </c>
      <c r="AG68" s="613">
        <f t="shared" si="41"/>
        <v>0</v>
      </c>
      <c r="AH68" s="613">
        <f t="shared" si="41"/>
        <v>1</v>
      </c>
    </row>
    <row r="69" spans="1:34">
      <c r="A69" s="612">
        <v>7</v>
      </c>
      <c r="B69" s="601" t="s">
        <v>650</v>
      </c>
      <c r="C69" s="613">
        <f t="shared" si="41"/>
        <v>6.4654051149565669E-2</v>
      </c>
      <c r="D69" s="613">
        <f t="shared" si="41"/>
        <v>0.28531709048029646</v>
      </c>
      <c r="E69" s="613">
        <f t="shared" si="41"/>
        <v>2.2553593768112621E-3</v>
      </c>
      <c r="F69" s="613">
        <f t="shared" si="41"/>
        <v>0</v>
      </c>
      <c r="G69" s="613">
        <f t="shared" si="41"/>
        <v>0.45216681461205649</v>
      </c>
      <c r="H69" s="613">
        <f t="shared" si="41"/>
        <v>0</v>
      </c>
      <c r="I69" s="613">
        <f t="shared" si="41"/>
        <v>0.14083735820997295</v>
      </c>
      <c r="J69" s="613">
        <f t="shared" si="41"/>
        <v>2.0563632126700867E-3</v>
      </c>
      <c r="K69" s="613">
        <f t="shared" si="41"/>
        <v>1.1876955075621566E-2</v>
      </c>
      <c r="L69" s="613">
        <f t="shared" si="41"/>
        <v>1.4952844628943388E-4</v>
      </c>
      <c r="M69" s="613">
        <f t="shared" si="41"/>
        <v>0</v>
      </c>
      <c r="N69" s="613">
        <f t="shared" si="41"/>
        <v>0</v>
      </c>
      <c r="O69" s="613">
        <f t="shared" si="41"/>
        <v>2.0327936393639117E-4</v>
      </c>
      <c r="P69" s="613">
        <f t="shared" si="41"/>
        <v>0</v>
      </c>
      <c r="Q69" s="613">
        <f t="shared" si="41"/>
        <v>0</v>
      </c>
      <c r="R69" s="613">
        <f t="shared" si="41"/>
        <v>0</v>
      </c>
      <c r="S69" s="613">
        <f t="shared" si="41"/>
        <v>0</v>
      </c>
      <c r="T69" s="613">
        <f t="shared" si="41"/>
        <v>0</v>
      </c>
      <c r="U69" s="613">
        <f t="shared" si="41"/>
        <v>1.5610969103094695E-2</v>
      </c>
      <c r="V69" s="613">
        <f t="shared" si="41"/>
        <v>7.4272922513025294E-3</v>
      </c>
      <c r="W69" s="613">
        <f t="shared" si="41"/>
        <v>7.6577130948937751E-3</v>
      </c>
      <c r="X69" s="613">
        <f t="shared" si="41"/>
        <v>5.1102100847876817E-3</v>
      </c>
      <c r="Y69" s="613">
        <f t="shared" si="41"/>
        <v>2.5871819637109479E-3</v>
      </c>
      <c r="Z69" s="613">
        <f t="shared" si="41"/>
        <v>1.1377638321178613E-3</v>
      </c>
      <c r="AA69" s="613">
        <f t="shared" si="41"/>
        <v>9.5206974287216271E-4</v>
      </c>
      <c r="AB69" s="613">
        <f t="shared" si="41"/>
        <v>0</v>
      </c>
      <c r="AC69" s="613">
        <f t="shared" si="41"/>
        <v>0</v>
      </c>
      <c r="AD69" s="613">
        <f t="shared" si="41"/>
        <v>0</v>
      </c>
      <c r="AE69" s="613">
        <f t="shared" si="41"/>
        <v>0</v>
      </c>
      <c r="AF69" s="613">
        <f t="shared" si="41"/>
        <v>0</v>
      </c>
      <c r="AG69" s="613">
        <f t="shared" si="41"/>
        <v>0</v>
      </c>
      <c r="AH69" s="613">
        <f t="shared" si="41"/>
        <v>1</v>
      </c>
    </row>
    <row r="70" spans="1:34">
      <c r="A70" s="612">
        <v>8</v>
      </c>
      <c r="B70" s="601" t="s">
        <v>642</v>
      </c>
      <c r="C70" s="613">
        <f t="shared" si="41"/>
        <v>0.11455238490705939</v>
      </c>
      <c r="D70" s="613">
        <f t="shared" si="41"/>
        <v>0.38013956898294227</v>
      </c>
      <c r="E70" s="613">
        <f t="shared" si="41"/>
        <v>1.7101381724825499E-3</v>
      </c>
      <c r="F70" s="613">
        <f t="shared" si="41"/>
        <v>0</v>
      </c>
      <c r="G70" s="613">
        <f t="shared" si="41"/>
        <v>0.28903731698306168</v>
      </c>
      <c r="H70" s="613">
        <f t="shared" si="41"/>
        <v>2.0837388965717681E-3</v>
      </c>
      <c r="I70" s="613">
        <f t="shared" si="41"/>
        <v>0.12847824457914367</v>
      </c>
      <c r="J70" s="613">
        <f t="shared" si="41"/>
        <v>3.9827618645751316E-3</v>
      </c>
      <c r="K70" s="613">
        <f t="shared" si="41"/>
        <v>9.3964944300055104E-3</v>
      </c>
      <c r="L70" s="613">
        <f t="shared" si="41"/>
        <v>3.121579782990947E-3</v>
      </c>
      <c r="M70" s="613">
        <f t="shared" si="41"/>
        <v>0</v>
      </c>
      <c r="N70" s="613">
        <f t="shared" si="41"/>
        <v>0</v>
      </c>
      <c r="O70" s="613">
        <f t="shared" si="41"/>
        <v>3.8904481797424808E-4</v>
      </c>
      <c r="P70" s="613">
        <f t="shared" si="41"/>
        <v>0</v>
      </c>
      <c r="Q70" s="613">
        <f t="shared" si="41"/>
        <v>0</v>
      </c>
      <c r="R70" s="613">
        <f t="shared" si="41"/>
        <v>0</v>
      </c>
      <c r="S70" s="613">
        <f t="shared" si="41"/>
        <v>0</v>
      </c>
      <c r="T70" s="613">
        <f t="shared" si="41"/>
        <v>0</v>
      </c>
      <c r="U70" s="613">
        <f t="shared" si="41"/>
        <v>2.6187756941397303E-2</v>
      </c>
      <c r="V70" s="613">
        <f t="shared" si="41"/>
        <v>1.4088794220085179E-2</v>
      </c>
      <c r="W70" s="613">
        <f t="shared" si="41"/>
        <v>1.2742273925928188E-2</v>
      </c>
      <c r="X70" s="613">
        <f t="shared" si="41"/>
        <v>7.0152772641344516E-3</v>
      </c>
      <c r="Y70" s="613">
        <f t="shared" si="41"/>
        <v>5.165407555080684E-3</v>
      </c>
      <c r="Z70" s="613">
        <f t="shared" si="41"/>
        <v>9.4841647921153308E-4</v>
      </c>
      <c r="AA70" s="613">
        <f t="shared" si="41"/>
        <v>9.6080019735549516E-4</v>
      </c>
      <c r="AB70" s="613">
        <f t="shared" si="41"/>
        <v>0</v>
      </c>
      <c r="AC70" s="613">
        <f t="shared" si="41"/>
        <v>0</v>
      </c>
      <c r="AD70" s="613">
        <f t="shared" si="41"/>
        <v>0</v>
      </c>
      <c r="AE70" s="613">
        <f t="shared" si="41"/>
        <v>0</v>
      </c>
      <c r="AF70" s="613">
        <f t="shared" si="41"/>
        <v>0</v>
      </c>
      <c r="AG70" s="613">
        <f t="shared" si="41"/>
        <v>0</v>
      </c>
      <c r="AH70" s="613">
        <f t="shared" ref="D70:AH74" si="42">AH38/$AH38</f>
        <v>1</v>
      </c>
    </row>
    <row r="71" spans="1:34">
      <c r="A71" s="612">
        <v>9</v>
      </c>
      <c r="B71" s="601" t="s">
        <v>636</v>
      </c>
      <c r="C71" s="613">
        <f t="shared" ref="C71:C74" si="43">C39/$AH39</f>
        <v>0.11226210395135394</v>
      </c>
      <c r="D71" s="613">
        <f t="shared" si="42"/>
        <v>0.41077323685554779</v>
      </c>
      <c r="E71" s="613">
        <f t="shared" si="42"/>
        <v>2.9759371517162504E-3</v>
      </c>
      <c r="F71" s="613">
        <f t="shared" si="42"/>
        <v>0</v>
      </c>
      <c r="G71" s="613">
        <f t="shared" si="42"/>
        <v>0.33621269435872753</v>
      </c>
      <c r="H71" s="613">
        <f t="shared" si="42"/>
        <v>0</v>
      </c>
      <c r="I71" s="613">
        <f t="shared" si="42"/>
        <v>8.8721483548756169E-2</v>
      </c>
      <c r="J71" s="613">
        <f t="shared" si="42"/>
        <v>2.2794611369522E-3</v>
      </c>
      <c r="K71" s="613">
        <f t="shared" si="42"/>
        <v>8.0867759289783951E-3</v>
      </c>
      <c r="L71" s="613">
        <f t="shared" si="42"/>
        <v>1.094811669549325E-4</v>
      </c>
      <c r="M71" s="613">
        <f t="shared" si="42"/>
        <v>0</v>
      </c>
      <c r="N71" s="613">
        <f t="shared" si="42"/>
        <v>0</v>
      </c>
      <c r="O71" s="613">
        <f t="shared" si="42"/>
        <v>2.7359806469247523E-4</v>
      </c>
      <c r="P71" s="613">
        <f t="shared" si="42"/>
        <v>0</v>
      </c>
      <c r="Q71" s="613">
        <f t="shared" si="42"/>
        <v>0</v>
      </c>
      <c r="R71" s="613">
        <f t="shared" si="42"/>
        <v>6.173936734548767E-3</v>
      </c>
      <c r="S71" s="613">
        <f t="shared" si="42"/>
        <v>0</v>
      </c>
      <c r="T71" s="613">
        <f t="shared" si="42"/>
        <v>0</v>
      </c>
      <c r="U71" s="613">
        <f t="shared" si="42"/>
        <v>5.316067232831987E-3</v>
      </c>
      <c r="V71" s="613">
        <f t="shared" si="42"/>
        <v>5.7330939485842934E-3</v>
      </c>
      <c r="W71" s="613">
        <f t="shared" si="42"/>
        <v>1.0383872034177366E-2</v>
      </c>
      <c r="X71" s="613">
        <f t="shared" si="42"/>
        <v>4.1834486455199042E-3</v>
      </c>
      <c r="Y71" s="613">
        <f t="shared" si="42"/>
        <v>4.4451862059543884E-3</v>
      </c>
      <c r="Z71" s="613">
        <f t="shared" si="42"/>
        <v>2.8240150763367652E-4</v>
      </c>
      <c r="AA71" s="613">
        <f t="shared" si="42"/>
        <v>1.7872215270699455E-3</v>
      </c>
      <c r="AB71" s="613">
        <f t="shared" si="42"/>
        <v>0</v>
      </c>
      <c r="AC71" s="613">
        <f t="shared" si="42"/>
        <v>0</v>
      </c>
      <c r="AD71" s="613">
        <f t="shared" si="42"/>
        <v>0</v>
      </c>
      <c r="AE71" s="613">
        <f t="shared" si="42"/>
        <v>0</v>
      </c>
      <c r="AF71" s="613">
        <f t="shared" si="42"/>
        <v>0</v>
      </c>
      <c r="AG71" s="613">
        <f t="shared" si="42"/>
        <v>0</v>
      </c>
      <c r="AH71" s="613">
        <f t="shared" si="42"/>
        <v>1</v>
      </c>
    </row>
    <row r="72" spans="1:34">
      <c r="A72" s="612">
        <v>10</v>
      </c>
      <c r="B72" s="601" t="s">
        <v>756</v>
      </c>
      <c r="C72" s="613">
        <f t="shared" si="43"/>
        <v>0</v>
      </c>
      <c r="D72" s="613">
        <f t="shared" si="42"/>
        <v>0</v>
      </c>
      <c r="E72" s="613">
        <f t="shared" si="42"/>
        <v>4.1140860962123055E-4</v>
      </c>
      <c r="F72" s="613">
        <f t="shared" si="42"/>
        <v>0</v>
      </c>
      <c r="G72" s="613">
        <f t="shared" si="42"/>
        <v>3.4285614522224167E-3</v>
      </c>
      <c r="H72" s="613">
        <f t="shared" si="42"/>
        <v>9.0477389698186122E-3</v>
      </c>
      <c r="I72" s="613">
        <f t="shared" si="42"/>
        <v>0</v>
      </c>
      <c r="J72" s="613">
        <f t="shared" si="42"/>
        <v>5.80849324777785E-6</v>
      </c>
      <c r="K72" s="613">
        <f t="shared" si="42"/>
        <v>1.3095254509272626E-4</v>
      </c>
      <c r="L72" s="613">
        <f t="shared" si="42"/>
        <v>0.27131775445379619</v>
      </c>
      <c r="M72" s="613">
        <f t="shared" si="42"/>
        <v>0.18349055906296161</v>
      </c>
      <c r="N72" s="613">
        <f t="shared" si="42"/>
        <v>8.4101397969207764E-3</v>
      </c>
      <c r="O72" s="613">
        <f t="shared" si="42"/>
        <v>3.1233457068996421E-3</v>
      </c>
      <c r="P72" s="613">
        <f t="shared" si="42"/>
        <v>4.2158288393716031E-3</v>
      </c>
      <c r="Q72" s="613">
        <f t="shared" si="42"/>
        <v>5.0041302506762886E-3</v>
      </c>
      <c r="R72" s="613">
        <f t="shared" si="42"/>
        <v>1.7224297103474107E-2</v>
      </c>
      <c r="S72" s="613">
        <f t="shared" si="42"/>
        <v>0</v>
      </c>
      <c r="T72" s="613">
        <f t="shared" si="42"/>
        <v>0</v>
      </c>
      <c r="U72" s="613">
        <f t="shared" si="42"/>
        <v>0.10093919571363641</v>
      </c>
      <c r="V72" s="613">
        <f t="shared" si="42"/>
        <v>2.1967311406616237E-2</v>
      </c>
      <c r="W72" s="613">
        <f t="shared" si="42"/>
        <v>0</v>
      </c>
      <c r="X72" s="613">
        <f t="shared" si="42"/>
        <v>6.9457942570375228E-2</v>
      </c>
      <c r="Y72" s="613">
        <f t="shared" si="42"/>
        <v>0.21752245642019727</v>
      </c>
      <c r="Z72" s="613">
        <f t="shared" si="42"/>
        <v>1.5302250506398746E-2</v>
      </c>
      <c r="AA72" s="613">
        <f t="shared" si="42"/>
        <v>6.9000318098673158E-2</v>
      </c>
      <c r="AB72" s="613">
        <f t="shared" si="42"/>
        <v>0</v>
      </c>
      <c r="AC72" s="613">
        <f t="shared" si="42"/>
        <v>0</v>
      </c>
      <c r="AD72" s="613">
        <f t="shared" si="42"/>
        <v>0</v>
      </c>
      <c r="AE72" s="613">
        <f t="shared" si="42"/>
        <v>0</v>
      </c>
      <c r="AF72" s="613">
        <f t="shared" si="42"/>
        <v>0</v>
      </c>
      <c r="AG72" s="613">
        <f t="shared" si="42"/>
        <v>0</v>
      </c>
      <c r="AH72" s="613">
        <f t="shared" si="42"/>
        <v>1</v>
      </c>
    </row>
    <row r="73" spans="1:34">
      <c r="A73" s="612">
        <v>11</v>
      </c>
      <c r="B73" s="601" t="s">
        <v>746</v>
      </c>
      <c r="C73" s="613">
        <f t="shared" si="43"/>
        <v>0</v>
      </c>
      <c r="D73" s="613">
        <f t="shared" si="42"/>
        <v>0</v>
      </c>
      <c r="E73" s="613">
        <f t="shared" si="42"/>
        <v>1</v>
      </c>
      <c r="F73" s="613">
        <f t="shared" si="42"/>
        <v>0</v>
      </c>
      <c r="G73" s="613">
        <f t="shared" si="42"/>
        <v>0</v>
      </c>
      <c r="H73" s="613">
        <f t="shared" si="42"/>
        <v>0</v>
      </c>
      <c r="I73" s="613">
        <f t="shared" si="42"/>
        <v>0</v>
      </c>
      <c r="J73" s="613">
        <f t="shared" si="42"/>
        <v>0</v>
      </c>
      <c r="K73" s="613">
        <f t="shared" si="42"/>
        <v>0</v>
      </c>
      <c r="L73" s="613">
        <f t="shared" si="42"/>
        <v>0</v>
      </c>
      <c r="M73" s="613">
        <f t="shared" si="42"/>
        <v>0</v>
      </c>
      <c r="N73" s="613">
        <f t="shared" si="42"/>
        <v>0</v>
      </c>
      <c r="O73" s="613">
        <f t="shared" si="42"/>
        <v>0</v>
      </c>
      <c r="P73" s="613">
        <f t="shared" si="42"/>
        <v>0</v>
      </c>
      <c r="Q73" s="613">
        <f t="shared" si="42"/>
        <v>0</v>
      </c>
      <c r="R73" s="613">
        <f t="shared" si="42"/>
        <v>0</v>
      </c>
      <c r="S73" s="613">
        <f t="shared" si="42"/>
        <v>0</v>
      </c>
      <c r="T73" s="613">
        <f t="shared" si="42"/>
        <v>0</v>
      </c>
      <c r="U73" s="613">
        <f t="shared" si="42"/>
        <v>0</v>
      </c>
      <c r="V73" s="613">
        <f t="shared" si="42"/>
        <v>0</v>
      </c>
      <c r="W73" s="613">
        <f t="shared" si="42"/>
        <v>0</v>
      </c>
      <c r="X73" s="613">
        <f t="shared" si="42"/>
        <v>0</v>
      </c>
      <c r="Y73" s="613">
        <f t="shared" si="42"/>
        <v>0</v>
      </c>
      <c r="Z73" s="613">
        <f t="shared" si="42"/>
        <v>0</v>
      </c>
      <c r="AA73" s="613">
        <f t="shared" si="42"/>
        <v>0</v>
      </c>
      <c r="AB73" s="613">
        <f t="shared" si="42"/>
        <v>0</v>
      </c>
      <c r="AC73" s="613">
        <f t="shared" si="42"/>
        <v>0</v>
      </c>
      <c r="AD73" s="613">
        <f t="shared" si="42"/>
        <v>0</v>
      </c>
      <c r="AE73" s="613">
        <f t="shared" si="42"/>
        <v>0</v>
      </c>
      <c r="AF73" s="613">
        <f t="shared" si="42"/>
        <v>0</v>
      </c>
      <c r="AG73" s="613">
        <f t="shared" si="42"/>
        <v>0</v>
      </c>
      <c r="AH73" s="613">
        <f t="shared" si="42"/>
        <v>1</v>
      </c>
    </row>
    <row r="74" spans="1:34">
      <c r="A74" s="615">
        <v>12</v>
      </c>
      <c r="B74" s="616" t="s">
        <v>1094</v>
      </c>
      <c r="C74" s="617">
        <f t="shared" si="43"/>
        <v>8.984893098913449E-2</v>
      </c>
      <c r="D74" s="617">
        <f t="shared" si="42"/>
        <v>0.35594364147366198</v>
      </c>
      <c r="E74" s="617">
        <f t="shared" si="42"/>
        <v>2.3160528854355112E-3</v>
      </c>
      <c r="F74" s="617">
        <f t="shared" si="42"/>
        <v>0</v>
      </c>
      <c r="G74" s="617">
        <f t="shared" si="42"/>
        <v>0.37031986330265654</v>
      </c>
      <c r="H74" s="617">
        <f t="shared" si="42"/>
        <v>1.3030428109377262E-3</v>
      </c>
      <c r="I74" s="617">
        <f t="shared" si="42"/>
        <v>0.10176421471137186</v>
      </c>
      <c r="J74" s="617">
        <f t="shared" si="42"/>
        <v>2.4847723953294858E-3</v>
      </c>
      <c r="K74" s="617">
        <f t="shared" si="42"/>
        <v>1.4599546544471377E-2</v>
      </c>
      <c r="L74" s="617">
        <f t="shared" si="42"/>
        <v>9.9006666092837699E-3</v>
      </c>
      <c r="M74" s="617">
        <f t="shared" si="42"/>
        <v>4.4121242375742666E-3</v>
      </c>
      <c r="N74" s="617">
        <f t="shared" si="42"/>
        <v>2.6338549203170931E-4</v>
      </c>
      <c r="O74" s="617">
        <f t="shared" si="42"/>
        <v>4.4629068695238458E-4</v>
      </c>
      <c r="P74" s="617">
        <f t="shared" si="42"/>
        <v>1.008320482601893E-4</v>
      </c>
      <c r="Q74" s="617">
        <f t="shared" si="42"/>
        <v>1.1968624015857229E-4</v>
      </c>
      <c r="R74" s="617">
        <f t="shared" si="42"/>
        <v>1.2148638443623026E-3</v>
      </c>
      <c r="S74" s="617">
        <f t="shared" si="42"/>
        <v>0</v>
      </c>
      <c r="T74" s="617">
        <f t="shared" si="42"/>
        <v>0</v>
      </c>
      <c r="U74" s="617">
        <f t="shared" si="42"/>
        <v>1.1186489702420629E-2</v>
      </c>
      <c r="V74" s="617">
        <f t="shared" si="42"/>
        <v>7.4660843521298969E-3</v>
      </c>
      <c r="W74" s="617">
        <f t="shared" si="42"/>
        <v>6.1623640642051612E-3</v>
      </c>
      <c r="X74" s="617">
        <f t="shared" si="42"/>
        <v>7.1361726917267458E-3</v>
      </c>
      <c r="Y74" s="617">
        <f t="shared" si="42"/>
        <v>8.5876983619839857E-3</v>
      </c>
      <c r="Z74" s="617">
        <f t="shared" si="42"/>
        <v>9.1024917143851748E-4</v>
      </c>
      <c r="AA74" s="617">
        <f t="shared" si="42"/>
        <v>3.4889679478071816E-3</v>
      </c>
      <c r="AB74" s="617">
        <f t="shared" si="42"/>
        <v>0</v>
      </c>
      <c r="AC74" s="617">
        <f t="shared" si="42"/>
        <v>0</v>
      </c>
      <c r="AD74" s="617">
        <f t="shared" si="42"/>
        <v>0</v>
      </c>
      <c r="AE74" s="617">
        <f t="shared" si="42"/>
        <v>2.4059436665744302E-5</v>
      </c>
      <c r="AF74" s="617">
        <f t="shared" si="42"/>
        <v>0</v>
      </c>
      <c r="AG74" s="617">
        <f t="shared" si="42"/>
        <v>0</v>
      </c>
      <c r="AH74" s="617">
        <f t="shared" si="42"/>
        <v>1</v>
      </c>
    </row>
  </sheetData>
  <mergeCells count="74">
    <mergeCell ref="AH61:AH62"/>
    <mergeCell ref="T61:T62"/>
    <mergeCell ref="U61:U62"/>
    <mergeCell ref="V61:V62"/>
    <mergeCell ref="W61:W62"/>
    <mergeCell ref="X61:AA61"/>
    <mergeCell ref="AB61:AB62"/>
    <mergeCell ref="AC61:AC62"/>
    <mergeCell ref="AD61:AD62"/>
    <mergeCell ref="AE61:AE62"/>
    <mergeCell ref="AF61:AF62"/>
    <mergeCell ref="AG61:AG62"/>
    <mergeCell ref="L61:L62"/>
    <mergeCell ref="M61:M62"/>
    <mergeCell ref="N61:N62"/>
    <mergeCell ref="O61:O62"/>
    <mergeCell ref="P61:R61"/>
    <mergeCell ref="P45:R45"/>
    <mergeCell ref="S61:S62"/>
    <mergeCell ref="AH45:AH46"/>
    <mergeCell ref="A61:A62"/>
    <mergeCell ref="B61:B62"/>
    <mergeCell ref="C61:E61"/>
    <mergeCell ref="F61:F62"/>
    <mergeCell ref="G61:G62"/>
    <mergeCell ref="H61:H62"/>
    <mergeCell ref="I61:I62"/>
    <mergeCell ref="J61:J62"/>
    <mergeCell ref="K61:K62"/>
    <mergeCell ref="AB45:AB46"/>
    <mergeCell ref="AC45:AC46"/>
    <mergeCell ref="AD45:AD46"/>
    <mergeCell ref="AE45:AE46"/>
    <mergeCell ref="AG45:AG46"/>
    <mergeCell ref="S45:S46"/>
    <mergeCell ref="T45:T46"/>
    <mergeCell ref="U45:U46"/>
    <mergeCell ref="V45:V46"/>
    <mergeCell ref="W45:W46"/>
    <mergeCell ref="X45:AA45"/>
    <mergeCell ref="AF45:AF46"/>
    <mergeCell ref="AI29:AJ29"/>
    <mergeCell ref="A43:B43"/>
    <mergeCell ref="A45:A46"/>
    <mergeCell ref="B45:B46"/>
    <mergeCell ref="C45:E45"/>
    <mergeCell ref="F45:F46"/>
    <mergeCell ref="G45:G46"/>
    <mergeCell ref="H45:H46"/>
    <mergeCell ref="I45:I46"/>
    <mergeCell ref="J45:J46"/>
    <mergeCell ref="X29:AA29"/>
    <mergeCell ref="K45:K46"/>
    <mergeCell ref="L45:L46"/>
    <mergeCell ref="M45:M46"/>
    <mergeCell ref="N45:N46"/>
    <mergeCell ref="O45:O46"/>
    <mergeCell ref="A26:B26"/>
    <mergeCell ref="A29:A30"/>
    <mergeCell ref="B29:B30"/>
    <mergeCell ref="C29:E29"/>
    <mergeCell ref="P29:R29"/>
    <mergeCell ref="AI9:AJ9"/>
    <mergeCell ref="A1:G1"/>
    <mergeCell ref="V1:AG1"/>
    <mergeCell ref="A2:G2"/>
    <mergeCell ref="V2:AG2"/>
    <mergeCell ref="A3:G3"/>
    <mergeCell ref="A4:G4"/>
    <mergeCell ref="A9:A10"/>
    <mergeCell ref="B9:B10"/>
    <mergeCell ref="C9:E9"/>
    <mergeCell ref="P9:R9"/>
    <mergeCell ref="X9:AA9"/>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H32"/>
  <sheetViews>
    <sheetView topLeftCell="A10" workbookViewId="0">
      <selection activeCell="E21" sqref="E21:E31"/>
    </sheetView>
  </sheetViews>
  <sheetFormatPr defaultRowHeight="15"/>
  <cols>
    <col min="3" max="3" width="13.42578125" customWidth="1"/>
    <col min="4" max="4" width="17.5703125" style="561" customWidth="1"/>
    <col min="5" max="5" width="22" customWidth="1"/>
    <col min="6" max="6" width="13.42578125" customWidth="1"/>
    <col min="7" max="7" width="17.140625" customWidth="1"/>
    <col min="8" max="33" width="13.42578125" customWidth="1"/>
    <col min="34" max="34" width="16.42578125" customWidth="1"/>
  </cols>
  <sheetData>
    <row r="2" spans="1:34" ht="16.5">
      <c r="A2" s="623" t="s">
        <v>1359</v>
      </c>
    </row>
    <row r="3" spans="1:34">
      <c r="U3" t="s">
        <v>1099</v>
      </c>
      <c r="V3" t="s">
        <v>1099</v>
      </c>
      <c r="W3" t="s">
        <v>1099</v>
      </c>
    </row>
    <row r="4" spans="1:34" ht="31.5">
      <c r="A4" s="564" t="s">
        <v>1100</v>
      </c>
      <c r="B4" s="564"/>
      <c r="C4" s="564" t="s">
        <v>976</v>
      </c>
      <c r="D4" s="891" t="s">
        <v>976</v>
      </c>
      <c r="E4" s="564" t="s">
        <v>976</v>
      </c>
      <c r="F4" s="564"/>
      <c r="G4" s="564" t="s">
        <v>977</v>
      </c>
      <c r="H4" s="564" t="s">
        <v>978</v>
      </c>
      <c r="I4" s="564" t="s">
        <v>979</v>
      </c>
      <c r="J4" s="564" t="s">
        <v>980</v>
      </c>
      <c r="K4" s="564" t="s">
        <v>981</v>
      </c>
      <c r="L4" s="564" t="s">
        <v>982</v>
      </c>
      <c r="M4" s="564" t="s">
        <v>983</v>
      </c>
      <c r="N4" s="564" t="s">
        <v>984</v>
      </c>
      <c r="O4" s="564" t="s">
        <v>985</v>
      </c>
      <c r="P4" s="564" t="s">
        <v>986</v>
      </c>
      <c r="Q4" s="564" t="s">
        <v>987</v>
      </c>
      <c r="R4" s="564" t="s">
        <v>988</v>
      </c>
      <c r="S4" s="564"/>
      <c r="T4" s="564"/>
      <c r="U4" s="564" t="s">
        <v>509</v>
      </c>
      <c r="V4" s="564" t="s">
        <v>1360</v>
      </c>
      <c r="W4" s="564" t="s">
        <v>990</v>
      </c>
      <c r="X4" s="564" t="s">
        <v>991</v>
      </c>
      <c r="Y4" s="564" t="s">
        <v>506</v>
      </c>
      <c r="Z4" s="565" t="s">
        <v>507</v>
      </c>
      <c r="AA4" s="564" t="s">
        <v>992</v>
      </c>
      <c r="AB4" s="564"/>
      <c r="AC4" s="564"/>
      <c r="AD4" s="564"/>
      <c r="AE4" s="564"/>
      <c r="AF4" s="564"/>
      <c r="AG4" s="564"/>
      <c r="AH4" s="564"/>
    </row>
    <row r="5" spans="1:34" ht="66">
      <c r="A5" s="624" t="s">
        <v>0</v>
      </c>
      <c r="B5" s="624" t="s">
        <v>632</v>
      </c>
      <c r="C5" s="625" t="s">
        <v>1030</v>
      </c>
      <c r="D5" s="892" t="s">
        <v>1031</v>
      </c>
      <c r="E5" s="625" t="s">
        <v>1032</v>
      </c>
      <c r="F5" s="626" t="s">
        <v>1006</v>
      </c>
      <c r="G5" s="626" t="s">
        <v>1007</v>
      </c>
      <c r="H5" s="626" t="s">
        <v>1008</v>
      </c>
      <c r="I5" s="626" t="s">
        <v>1009</v>
      </c>
      <c r="J5" s="626" t="s">
        <v>1010</v>
      </c>
      <c r="K5" s="626" t="s">
        <v>1011</v>
      </c>
      <c r="L5" s="626" t="s">
        <v>1012</v>
      </c>
      <c r="M5" s="626" t="s">
        <v>1013</v>
      </c>
      <c r="N5" s="626" t="s">
        <v>1014</v>
      </c>
      <c r="O5" s="626" t="s">
        <v>1015</v>
      </c>
      <c r="P5" s="625" t="s">
        <v>1033</v>
      </c>
      <c r="Q5" s="625" t="s">
        <v>1034</v>
      </c>
      <c r="R5" s="625" t="s">
        <v>1035</v>
      </c>
      <c r="S5" s="626" t="s">
        <v>1017</v>
      </c>
      <c r="T5" s="626" t="s">
        <v>1018</v>
      </c>
      <c r="U5" s="626" t="s">
        <v>1019</v>
      </c>
      <c r="V5" s="626" t="s">
        <v>1020</v>
      </c>
      <c r="W5" s="626" t="s">
        <v>1021</v>
      </c>
      <c r="X5" s="625" t="s">
        <v>1036</v>
      </c>
      <c r="Y5" s="625" t="s">
        <v>1037</v>
      </c>
      <c r="Z5" s="625" t="s">
        <v>1038</v>
      </c>
      <c r="AA5" s="625" t="s">
        <v>1039</v>
      </c>
      <c r="AB5" s="626" t="s">
        <v>1023</v>
      </c>
      <c r="AC5" s="626" t="s">
        <v>1024</v>
      </c>
      <c r="AD5" s="626" t="s">
        <v>1025</v>
      </c>
      <c r="AE5" s="626" t="s">
        <v>1026</v>
      </c>
      <c r="AF5" s="626" t="s">
        <v>1027</v>
      </c>
      <c r="AG5" s="626" t="s">
        <v>1028</v>
      </c>
      <c r="AH5" s="627" t="s">
        <v>676</v>
      </c>
    </row>
    <row r="6" spans="1:34" ht="16.5">
      <c r="A6" s="628">
        <v>1</v>
      </c>
      <c r="B6" s="629" t="s">
        <v>15</v>
      </c>
      <c r="C6" s="619">
        <v>4883478.0485365307</v>
      </c>
      <c r="D6" s="619">
        <v>20006617.155390792</v>
      </c>
      <c r="E6" s="619">
        <v>114085.3208588846</v>
      </c>
      <c r="F6" s="619">
        <v>0</v>
      </c>
      <c r="G6" s="619">
        <v>21262393.665120509</v>
      </c>
      <c r="H6" s="619">
        <v>76842.633077137711</v>
      </c>
      <c r="I6" s="619">
        <v>5774638.9777337015</v>
      </c>
      <c r="J6" s="619">
        <v>177936.51469188859</v>
      </c>
      <c r="K6" s="619">
        <v>835298.5154608835</v>
      </c>
      <c r="L6" s="619">
        <v>348002.38062454743</v>
      </c>
      <c r="M6" s="619">
        <v>8546.9038056402096</v>
      </c>
      <c r="N6" s="619">
        <v>16476.013237793162</v>
      </c>
      <c r="O6" s="619">
        <v>27346.353417869919</v>
      </c>
      <c r="P6" s="619">
        <v>3517.6069283514507</v>
      </c>
      <c r="Q6" s="619">
        <v>6393.5762966239781</v>
      </c>
      <c r="R6" s="619">
        <v>17730.766428440293</v>
      </c>
      <c r="S6" s="619">
        <v>0</v>
      </c>
      <c r="T6" s="619">
        <v>0</v>
      </c>
      <c r="U6" s="619">
        <v>910414.71194315155</v>
      </c>
      <c r="V6" s="619">
        <v>205136.15621597692</v>
      </c>
      <c r="W6" s="619">
        <v>504725.96022092557</v>
      </c>
      <c r="X6" s="619">
        <v>407717.92724893201</v>
      </c>
      <c r="Y6" s="619">
        <v>209589.71040778951</v>
      </c>
      <c r="Z6" s="619">
        <v>40134.157419808311</v>
      </c>
      <c r="AA6" s="619">
        <v>233201.94493382447</v>
      </c>
      <c r="AB6" s="619">
        <v>0</v>
      </c>
      <c r="AC6" s="619">
        <v>0</v>
      </c>
      <c r="AD6" s="619">
        <v>0</v>
      </c>
      <c r="AE6" s="619">
        <v>0</v>
      </c>
      <c r="AF6" s="619">
        <v>0</v>
      </c>
      <c r="AG6" s="619">
        <v>0</v>
      </c>
      <c r="AH6" s="630">
        <f>SUM(C6:AG6)</f>
        <v>56070225.000000007</v>
      </c>
    </row>
    <row r="7" spans="1:34" ht="16.5">
      <c r="A7" s="628">
        <v>2</v>
      </c>
      <c r="B7" s="629" t="s">
        <v>23</v>
      </c>
      <c r="C7" s="619">
        <v>11965069.205750722</v>
      </c>
      <c r="D7" s="619">
        <v>34299738.724357136</v>
      </c>
      <c r="E7" s="619">
        <v>172951.02250296652</v>
      </c>
      <c r="F7" s="619">
        <v>0</v>
      </c>
      <c r="G7" s="619">
        <v>23779848.408114415</v>
      </c>
      <c r="H7" s="619">
        <v>0</v>
      </c>
      <c r="I7" s="619">
        <v>4423275.014786684</v>
      </c>
      <c r="J7" s="619">
        <v>280081.03467830253</v>
      </c>
      <c r="K7" s="619">
        <v>2907071.9981728829</v>
      </c>
      <c r="L7" s="619">
        <v>1140733.6488644551</v>
      </c>
      <c r="M7" s="619">
        <v>0</v>
      </c>
      <c r="N7" s="619">
        <v>4366.0214474617151</v>
      </c>
      <c r="O7" s="619">
        <v>80899.484286295992</v>
      </c>
      <c r="P7" s="619">
        <v>0</v>
      </c>
      <c r="Q7" s="619">
        <v>0</v>
      </c>
      <c r="R7" s="619">
        <v>0</v>
      </c>
      <c r="S7" s="619">
        <v>0</v>
      </c>
      <c r="T7" s="619">
        <v>0</v>
      </c>
      <c r="U7" s="619">
        <v>259344.78611665926</v>
      </c>
      <c r="V7" s="619">
        <v>28073.136574289609</v>
      </c>
      <c r="W7" s="619">
        <v>660207.10615621635</v>
      </c>
      <c r="X7" s="619">
        <v>196131.12741233991</v>
      </c>
      <c r="Y7" s="619">
        <v>0</v>
      </c>
      <c r="Z7" s="619">
        <v>0</v>
      </c>
      <c r="AA7" s="619">
        <v>9294.2807791588366</v>
      </c>
      <c r="AB7" s="619">
        <v>0</v>
      </c>
      <c r="AC7" s="619">
        <v>0</v>
      </c>
      <c r="AD7" s="619">
        <v>0</v>
      </c>
      <c r="AE7" s="619">
        <v>0</v>
      </c>
      <c r="AF7" s="619">
        <v>0</v>
      </c>
      <c r="AG7" s="619">
        <v>0</v>
      </c>
      <c r="AH7" s="630">
        <f t="shared" ref="AH7:AH16" si="0">SUM(C7:AG7)</f>
        <v>80207084.999999955</v>
      </c>
    </row>
    <row r="8" spans="1:34" ht="16.5">
      <c r="A8" s="628">
        <v>3</v>
      </c>
      <c r="B8" s="629" t="s">
        <v>42</v>
      </c>
      <c r="C8" s="619">
        <v>4915747.4460771829</v>
      </c>
      <c r="D8" s="619">
        <v>22211685.235132806</v>
      </c>
      <c r="E8" s="619">
        <v>173577.1105595635</v>
      </c>
      <c r="F8" s="619">
        <v>0</v>
      </c>
      <c r="G8" s="619">
        <v>38511155.869497553</v>
      </c>
      <c r="H8" s="619">
        <v>0</v>
      </c>
      <c r="I8" s="619">
        <v>11801936.999309035</v>
      </c>
      <c r="J8" s="619">
        <v>259669.94367224284</v>
      </c>
      <c r="K8" s="619">
        <v>855346.37336625857</v>
      </c>
      <c r="L8" s="619">
        <v>58910.586534976806</v>
      </c>
      <c r="M8" s="619">
        <v>0</v>
      </c>
      <c r="N8" s="619">
        <v>4496.9896872820082</v>
      </c>
      <c r="O8" s="619">
        <v>22744.801426533453</v>
      </c>
      <c r="P8" s="619">
        <v>0</v>
      </c>
      <c r="Q8" s="619">
        <v>0</v>
      </c>
      <c r="R8" s="619">
        <v>0</v>
      </c>
      <c r="S8" s="619">
        <v>0</v>
      </c>
      <c r="T8" s="619">
        <v>0</v>
      </c>
      <c r="U8" s="619">
        <v>3447.9300409904454</v>
      </c>
      <c r="V8" s="619">
        <v>110124.36759303104</v>
      </c>
      <c r="W8" s="619">
        <v>31062.952479373533</v>
      </c>
      <c r="X8" s="619">
        <v>666331.84068774688</v>
      </c>
      <c r="Y8" s="619">
        <v>403522.75060426677</v>
      </c>
      <c r="Z8" s="619">
        <v>65130.690400508793</v>
      </c>
      <c r="AA8" s="619">
        <v>125931.11293064087</v>
      </c>
      <c r="AB8" s="619">
        <v>0</v>
      </c>
      <c r="AC8" s="619">
        <v>0</v>
      </c>
      <c r="AD8" s="619">
        <v>0</v>
      </c>
      <c r="AE8" s="619">
        <v>0</v>
      </c>
      <c r="AF8" s="619">
        <v>0</v>
      </c>
      <c r="AG8" s="619">
        <v>0</v>
      </c>
      <c r="AH8" s="630">
        <f t="shared" si="0"/>
        <v>80220822.999999985</v>
      </c>
    </row>
    <row r="9" spans="1:34" ht="16.5">
      <c r="A9" s="628">
        <v>4</v>
      </c>
      <c r="B9" s="629" t="s">
        <v>63</v>
      </c>
      <c r="C9" s="619">
        <v>1574881.7540603555</v>
      </c>
      <c r="D9" s="619">
        <v>10410251.787918273</v>
      </c>
      <c r="E9" s="619">
        <v>95502.133072209923</v>
      </c>
      <c r="F9" s="619">
        <v>0</v>
      </c>
      <c r="G9" s="619">
        <v>13357155.666085182</v>
      </c>
      <c r="H9" s="619">
        <v>0</v>
      </c>
      <c r="I9" s="619">
        <v>3110541.9845708511</v>
      </c>
      <c r="J9" s="619">
        <v>66356.088310483261</v>
      </c>
      <c r="K9" s="619">
        <v>200166.20228137949</v>
      </c>
      <c r="L9" s="619">
        <v>31920.289478598235</v>
      </c>
      <c r="M9" s="619">
        <v>0</v>
      </c>
      <c r="N9" s="619">
        <v>807.63740912969672</v>
      </c>
      <c r="O9" s="619">
        <v>7615.6094424738267</v>
      </c>
      <c r="P9" s="619">
        <v>0</v>
      </c>
      <c r="Q9" s="619">
        <v>0</v>
      </c>
      <c r="R9" s="619">
        <v>0</v>
      </c>
      <c r="S9" s="619">
        <v>0</v>
      </c>
      <c r="T9" s="619">
        <v>0</v>
      </c>
      <c r="U9" s="619">
        <v>298822.88303174166</v>
      </c>
      <c r="V9" s="619">
        <v>27136.332661232653</v>
      </c>
      <c r="W9" s="619">
        <v>22452.09787573904</v>
      </c>
      <c r="X9" s="619">
        <v>80906.14130930604</v>
      </c>
      <c r="Y9" s="619">
        <v>8150.9990416510482</v>
      </c>
      <c r="Z9" s="619">
        <v>24228.864640133728</v>
      </c>
      <c r="AA9" s="619">
        <v>18898.528811259021</v>
      </c>
      <c r="AB9" s="619">
        <v>0</v>
      </c>
      <c r="AC9" s="619">
        <v>0</v>
      </c>
      <c r="AD9" s="619">
        <v>0</v>
      </c>
      <c r="AE9" s="619">
        <v>0</v>
      </c>
      <c r="AF9" s="619">
        <v>0</v>
      </c>
      <c r="AG9" s="619">
        <v>0</v>
      </c>
      <c r="AH9" s="630">
        <f t="shared" si="0"/>
        <v>29335795</v>
      </c>
    </row>
    <row r="10" spans="1:34" ht="16.5">
      <c r="A10" s="628">
        <v>5</v>
      </c>
      <c r="B10" s="629" t="s">
        <v>70</v>
      </c>
      <c r="C10" s="619">
        <v>1195092.8708111425</v>
      </c>
      <c r="D10" s="619">
        <v>7485025.1116667483</v>
      </c>
      <c r="E10" s="619">
        <v>33129.046556995891</v>
      </c>
      <c r="F10" s="619">
        <v>0</v>
      </c>
      <c r="G10" s="619">
        <v>8545212.6404112186</v>
      </c>
      <c r="H10" s="619">
        <v>0</v>
      </c>
      <c r="I10" s="619">
        <v>2260723.1377670984</v>
      </c>
      <c r="J10" s="619">
        <v>45788.748645892905</v>
      </c>
      <c r="K10" s="619">
        <v>216455.99662699294</v>
      </c>
      <c r="L10" s="619">
        <v>3880.830244098031</v>
      </c>
      <c r="M10" s="619">
        <v>0</v>
      </c>
      <c r="N10" s="619">
        <v>8908.8875458426191</v>
      </c>
      <c r="O10" s="619">
        <v>2498.8997232133916</v>
      </c>
      <c r="P10" s="619">
        <v>0</v>
      </c>
      <c r="Q10" s="619">
        <v>0</v>
      </c>
      <c r="R10" s="619">
        <v>0</v>
      </c>
      <c r="S10" s="619">
        <v>0</v>
      </c>
      <c r="T10" s="619">
        <v>0</v>
      </c>
      <c r="U10" s="619">
        <v>11831.799524689121</v>
      </c>
      <c r="V10" s="619">
        <v>12791.752859458895</v>
      </c>
      <c r="W10" s="619">
        <v>317944.11682744598</v>
      </c>
      <c r="X10" s="619">
        <v>226337.9234778797</v>
      </c>
      <c r="Y10" s="619">
        <v>51215.916209204297</v>
      </c>
      <c r="Z10" s="619">
        <v>25126.427527546359</v>
      </c>
      <c r="AA10" s="619">
        <v>133806.89357453282</v>
      </c>
      <c r="AB10" s="619">
        <v>0</v>
      </c>
      <c r="AC10" s="619">
        <v>0</v>
      </c>
      <c r="AD10" s="619">
        <v>0</v>
      </c>
      <c r="AE10" s="619">
        <v>0</v>
      </c>
      <c r="AF10" s="619">
        <v>0</v>
      </c>
      <c r="AG10" s="619">
        <v>0</v>
      </c>
      <c r="AH10" s="630">
        <f t="shared" si="0"/>
        <v>20575771.000000004</v>
      </c>
    </row>
    <row r="11" spans="1:34" ht="16.5">
      <c r="A11" s="628">
        <v>6</v>
      </c>
      <c r="B11" s="629" t="s">
        <v>79</v>
      </c>
      <c r="C11" s="619">
        <v>2442601.773277645</v>
      </c>
      <c r="D11" s="619">
        <v>14676589.712419374</v>
      </c>
      <c r="E11" s="619">
        <v>74341.980806773747</v>
      </c>
      <c r="F11" s="619">
        <v>0</v>
      </c>
      <c r="G11" s="619">
        <v>15242827.130280202</v>
      </c>
      <c r="H11" s="619">
        <v>260529.80107161935</v>
      </c>
      <c r="I11" s="619">
        <v>2896277.6313933302</v>
      </c>
      <c r="J11" s="619">
        <v>125053.1722284939</v>
      </c>
      <c r="K11" s="619">
        <v>452643.07227933087</v>
      </c>
      <c r="L11" s="619">
        <v>36977.80475033947</v>
      </c>
      <c r="M11" s="619">
        <v>0</v>
      </c>
      <c r="N11" s="619">
        <v>0</v>
      </c>
      <c r="O11" s="619">
        <v>14141.120097782981</v>
      </c>
      <c r="P11" s="619">
        <v>0</v>
      </c>
      <c r="Q11" s="619">
        <v>0</v>
      </c>
      <c r="R11" s="619">
        <v>0</v>
      </c>
      <c r="S11" s="619">
        <v>0</v>
      </c>
      <c r="T11" s="619">
        <v>0</v>
      </c>
      <c r="U11" s="619">
        <v>-18701.418494424561</v>
      </c>
      <c r="V11" s="619">
        <v>174456.39494135871</v>
      </c>
      <c r="W11" s="619">
        <v>184344.982486405</v>
      </c>
      <c r="X11" s="619">
        <v>206719.5975911881</v>
      </c>
      <c r="Y11" s="619">
        <v>34338.354549194548</v>
      </c>
      <c r="Z11" s="619">
        <v>10069.396259308243</v>
      </c>
      <c r="AA11" s="619">
        <v>243713.49406207757</v>
      </c>
      <c r="AB11" s="619">
        <v>0</v>
      </c>
      <c r="AC11" s="619">
        <v>0</v>
      </c>
      <c r="AD11" s="619">
        <v>0</v>
      </c>
      <c r="AE11" s="619">
        <v>0</v>
      </c>
      <c r="AF11" s="619">
        <v>0</v>
      </c>
      <c r="AG11" s="619">
        <v>0</v>
      </c>
      <c r="AH11" s="630">
        <f t="shared" si="0"/>
        <v>37056924.000000007</v>
      </c>
    </row>
    <row r="12" spans="1:34" ht="16.5">
      <c r="A12" s="628">
        <v>7</v>
      </c>
      <c r="B12" s="629" t="s">
        <v>87</v>
      </c>
      <c r="C12" s="619">
        <v>906597.55539967061</v>
      </c>
      <c r="D12" s="619">
        <v>4210512.2756628245</v>
      </c>
      <c r="E12" s="619">
        <v>27251.486978549612</v>
      </c>
      <c r="F12" s="619">
        <v>0</v>
      </c>
      <c r="G12" s="619">
        <v>6830936.8230601009</v>
      </c>
      <c r="H12" s="619">
        <v>0</v>
      </c>
      <c r="I12" s="619">
        <v>2123023.6467356654</v>
      </c>
      <c r="J12" s="619">
        <v>47026.716004680369</v>
      </c>
      <c r="K12" s="619">
        <v>179654.52587274226</v>
      </c>
      <c r="L12" s="619">
        <v>2251.6795305245578</v>
      </c>
      <c r="M12" s="619">
        <v>0</v>
      </c>
      <c r="N12" s="619">
        <v>0</v>
      </c>
      <c r="O12" s="619">
        <v>3638.0871292632905</v>
      </c>
      <c r="P12" s="619">
        <v>0</v>
      </c>
      <c r="Q12" s="619">
        <v>0</v>
      </c>
      <c r="R12" s="619">
        <v>0</v>
      </c>
      <c r="S12" s="619">
        <v>0</v>
      </c>
      <c r="T12" s="619">
        <v>0</v>
      </c>
      <c r="U12" s="619">
        <v>65902.815527548024</v>
      </c>
      <c r="V12" s="619">
        <v>10775.769366909377</v>
      </c>
      <c r="W12" s="619">
        <v>259986.60725617694</v>
      </c>
      <c r="X12" s="619">
        <v>82110.436824354663</v>
      </c>
      <c r="Y12" s="619">
        <v>0</v>
      </c>
      <c r="Z12" s="619">
        <v>1476.9873574138187</v>
      </c>
      <c r="AA12" s="619">
        <v>23625.58729357451</v>
      </c>
      <c r="AB12" s="619">
        <v>0</v>
      </c>
      <c r="AC12" s="619">
        <v>0</v>
      </c>
      <c r="AD12" s="619">
        <v>0</v>
      </c>
      <c r="AE12" s="619">
        <v>0</v>
      </c>
      <c r="AF12" s="619">
        <v>0</v>
      </c>
      <c r="AG12" s="619">
        <v>0</v>
      </c>
      <c r="AH12" s="630">
        <f t="shared" si="0"/>
        <v>14774770.999999996</v>
      </c>
    </row>
    <row r="13" spans="1:34" ht="16.5">
      <c r="A13" s="628">
        <v>8</v>
      </c>
      <c r="B13" s="629" t="s">
        <v>92</v>
      </c>
      <c r="C13" s="619">
        <v>1143844.2643339671</v>
      </c>
      <c r="D13" s="619">
        <v>4028277.2128542936</v>
      </c>
      <c r="E13" s="619">
        <v>15203.837390235654</v>
      </c>
      <c r="F13" s="619">
        <v>0</v>
      </c>
      <c r="G13" s="619">
        <v>3170248.4539809935</v>
      </c>
      <c r="H13" s="619">
        <v>28292.888266774484</v>
      </c>
      <c r="I13" s="619">
        <v>1399818.7512676793</v>
      </c>
      <c r="J13" s="619">
        <v>53925.477984834703</v>
      </c>
      <c r="K13" s="619">
        <v>101262.15844857099</v>
      </c>
      <c r="L13" s="619">
        <v>22590.550946233638</v>
      </c>
      <c r="M13" s="619">
        <v>0</v>
      </c>
      <c r="N13" s="619">
        <v>0</v>
      </c>
      <c r="O13" s="619">
        <v>4280.7139947629785</v>
      </c>
      <c r="P13" s="619">
        <v>0</v>
      </c>
      <c r="Q13" s="619">
        <v>0</v>
      </c>
      <c r="R13" s="619">
        <v>0</v>
      </c>
      <c r="S13" s="619">
        <v>0</v>
      </c>
      <c r="T13" s="619">
        <v>0</v>
      </c>
      <c r="U13" s="619">
        <v>1114796.955632522</v>
      </c>
      <c r="V13" s="619">
        <v>34589.395102843104</v>
      </c>
      <c r="W13" s="619">
        <v>13542.862517029384</v>
      </c>
      <c r="X13" s="619">
        <v>80369.869258624982</v>
      </c>
      <c r="Y13" s="619">
        <v>4305.2344979275167</v>
      </c>
      <c r="Z13" s="619">
        <v>10425.495502019639</v>
      </c>
      <c r="AA13" s="619">
        <v>24834.878020687025</v>
      </c>
      <c r="AB13" s="619">
        <v>0</v>
      </c>
      <c r="AC13" s="619">
        <v>0</v>
      </c>
      <c r="AD13" s="619">
        <v>0</v>
      </c>
      <c r="AE13" s="619">
        <v>0</v>
      </c>
      <c r="AF13" s="619">
        <v>0</v>
      </c>
      <c r="AG13" s="619">
        <v>0</v>
      </c>
      <c r="AH13" s="630">
        <f t="shared" si="0"/>
        <v>11250609.000000002</v>
      </c>
    </row>
    <row r="14" spans="1:34" ht="16.5">
      <c r="A14" s="628">
        <v>9</v>
      </c>
      <c r="B14" s="629" t="s">
        <v>20</v>
      </c>
      <c r="C14" s="619">
        <v>4624569.4006341491</v>
      </c>
      <c r="D14" s="619">
        <v>17400484.492235795</v>
      </c>
      <c r="E14" s="619">
        <v>73645.867224922084</v>
      </c>
      <c r="F14" s="619">
        <v>0</v>
      </c>
      <c r="G14" s="619">
        <v>14561517.259011496</v>
      </c>
      <c r="H14" s="619">
        <v>0</v>
      </c>
      <c r="I14" s="619">
        <v>3807597.400429999</v>
      </c>
      <c r="J14" s="619">
        <v>117842.39298009884</v>
      </c>
      <c r="K14" s="619">
        <v>352152.99583644146</v>
      </c>
      <c r="L14" s="619">
        <v>4708.4662592391178</v>
      </c>
      <c r="M14" s="619">
        <v>0</v>
      </c>
      <c r="N14" s="619">
        <v>0</v>
      </c>
      <c r="O14" s="619">
        <v>7912.1660363563224</v>
      </c>
      <c r="P14" s="619">
        <v>0</v>
      </c>
      <c r="Q14" s="619">
        <v>0</v>
      </c>
      <c r="R14" s="619">
        <v>0</v>
      </c>
      <c r="S14" s="619">
        <v>0</v>
      </c>
      <c r="T14" s="619">
        <v>0</v>
      </c>
      <c r="U14" s="619">
        <v>934132.90968359821</v>
      </c>
      <c r="V14" s="619">
        <v>319005.48907193175</v>
      </c>
      <c r="W14" s="619">
        <v>1216842.7272336232</v>
      </c>
      <c r="X14" s="619">
        <v>196977.05904619518</v>
      </c>
      <c r="Y14" s="619">
        <v>0</v>
      </c>
      <c r="Z14" s="619">
        <v>0</v>
      </c>
      <c r="AA14" s="619">
        <v>287819.37431615643</v>
      </c>
      <c r="AB14" s="619">
        <v>0</v>
      </c>
      <c r="AC14" s="619">
        <v>0</v>
      </c>
      <c r="AD14" s="619">
        <v>0</v>
      </c>
      <c r="AE14" s="619">
        <v>0</v>
      </c>
      <c r="AF14" s="619">
        <v>0</v>
      </c>
      <c r="AG14" s="619">
        <v>0</v>
      </c>
      <c r="AH14" s="630">
        <f t="shared" si="0"/>
        <v>43905208.000000015</v>
      </c>
    </row>
    <row r="15" spans="1:34" ht="16.5">
      <c r="A15" s="628">
        <v>10</v>
      </c>
      <c r="B15" s="629" t="s">
        <v>109</v>
      </c>
      <c r="C15" s="619">
        <v>0</v>
      </c>
      <c r="D15" s="619">
        <v>0</v>
      </c>
      <c r="E15" s="619">
        <v>7324.1948238789173</v>
      </c>
      <c r="F15" s="619">
        <v>0</v>
      </c>
      <c r="G15" s="619">
        <v>66915.97944814479</v>
      </c>
      <c r="H15" s="619">
        <v>192777.22022587448</v>
      </c>
      <c r="I15" s="619">
        <v>0</v>
      </c>
      <c r="J15" s="619">
        <v>488.30693654752793</v>
      </c>
      <c r="K15" s="619">
        <v>0</v>
      </c>
      <c r="L15" s="619">
        <v>2506344.7426099698</v>
      </c>
      <c r="M15" s="619">
        <v>134232.2058714641</v>
      </c>
      <c r="N15" s="619">
        <v>210273.27413134577</v>
      </c>
      <c r="O15" s="619">
        <v>67934.001708536627</v>
      </c>
      <c r="P15" s="619">
        <v>55245.285090229438</v>
      </c>
      <c r="Q15" s="619">
        <v>100413.42095566702</v>
      </c>
      <c r="R15" s="619">
        <v>278468.07962324587</v>
      </c>
      <c r="S15" s="619">
        <v>0</v>
      </c>
      <c r="T15" s="619">
        <v>0</v>
      </c>
      <c r="U15" s="619">
        <v>962700.24573899817</v>
      </c>
      <c r="V15" s="619">
        <v>1127924.5705921843</v>
      </c>
      <c r="W15" s="619">
        <v>0</v>
      </c>
      <c r="X15" s="619">
        <v>1575788.2242816167</v>
      </c>
      <c r="Y15" s="619">
        <v>2248134.3417336852</v>
      </c>
      <c r="Z15" s="619">
        <v>240209.92682611485</v>
      </c>
      <c r="AA15" s="619">
        <v>1094516.9794024962</v>
      </c>
      <c r="AB15" s="619">
        <v>0</v>
      </c>
      <c r="AC15" s="619">
        <v>0</v>
      </c>
      <c r="AD15" s="619">
        <v>0</v>
      </c>
      <c r="AE15" s="619">
        <v>0</v>
      </c>
      <c r="AF15" s="619">
        <v>0</v>
      </c>
      <c r="AG15" s="619">
        <v>0</v>
      </c>
      <c r="AH15" s="630">
        <f t="shared" si="0"/>
        <v>10869691</v>
      </c>
    </row>
    <row r="16" spans="1:34" ht="16.5">
      <c r="A16" s="628">
        <v>11</v>
      </c>
      <c r="B16" s="629" t="s">
        <v>194</v>
      </c>
      <c r="C16" s="619">
        <v>0</v>
      </c>
      <c r="D16" s="619">
        <v>0</v>
      </c>
      <c r="E16" s="619">
        <v>6637928</v>
      </c>
      <c r="F16" s="619">
        <v>0</v>
      </c>
      <c r="G16" s="619">
        <v>0</v>
      </c>
      <c r="H16" s="619">
        <v>0</v>
      </c>
      <c r="I16" s="619">
        <v>0</v>
      </c>
      <c r="J16" s="619">
        <v>0</v>
      </c>
      <c r="K16" s="619">
        <v>0</v>
      </c>
      <c r="L16" s="619">
        <v>0</v>
      </c>
      <c r="M16" s="619">
        <v>0</v>
      </c>
      <c r="N16" s="619">
        <v>0</v>
      </c>
      <c r="O16" s="619">
        <v>0</v>
      </c>
      <c r="P16" s="619">
        <v>0</v>
      </c>
      <c r="Q16" s="619">
        <v>0</v>
      </c>
      <c r="R16" s="619">
        <v>0</v>
      </c>
      <c r="S16" s="619">
        <v>0</v>
      </c>
      <c r="T16" s="619">
        <v>0</v>
      </c>
      <c r="U16" s="619">
        <v>0</v>
      </c>
      <c r="V16" s="619">
        <v>0</v>
      </c>
      <c r="W16" s="619">
        <v>0</v>
      </c>
      <c r="X16" s="619">
        <v>0</v>
      </c>
      <c r="Y16" s="619">
        <v>0</v>
      </c>
      <c r="Z16" s="619">
        <v>0</v>
      </c>
      <c r="AA16" s="619">
        <v>0</v>
      </c>
      <c r="AB16" s="619">
        <v>0</v>
      </c>
      <c r="AC16" s="619">
        <v>0</v>
      </c>
      <c r="AD16" s="619">
        <v>0</v>
      </c>
      <c r="AE16" s="619">
        <v>0</v>
      </c>
      <c r="AF16" s="619">
        <v>0</v>
      </c>
      <c r="AG16" s="619">
        <v>0</v>
      </c>
      <c r="AH16" s="630">
        <f t="shared" si="0"/>
        <v>6637928</v>
      </c>
    </row>
    <row r="17" spans="1:34" ht="16.5">
      <c r="A17" s="631" t="s">
        <v>132</v>
      </c>
      <c r="B17" s="631"/>
      <c r="C17" s="861">
        <f>SUM(C6:C16)</f>
        <v>33651882.318881363</v>
      </c>
      <c r="D17" s="861">
        <f t="shared" ref="D17:AG17" si="1">SUM(D6:D16)</f>
        <v>134729181.70763806</v>
      </c>
      <c r="E17" s="861">
        <f t="shared" si="1"/>
        <v>7424940.0007749805</v>
      </c>
      <c r="F17" s="861">
        <f t="shared" si="1"/>
        <v>0</v>
      </c>
      <c r="G17" s="861">
        <f t="shared" si="1"/>
        <v>145328211.89500982</v>
      </c>
      <c r="H17" s="861">
        <f t="shared" si="1"/>
        <v>558442.54264140606</v>
      </c>
      <c r="I17" s="861">
        <f t="shared" si="1"/>
        <v>37597833.543994047</v>
      </c>
      <c r="J17" s="861">
        <f t="shared" si="1"/>
        <v>1174168.3961334657</v>
      </c>
      <c r="K17" s="861">
        <f t="shared" si="1"/>
        <v>6100051.838345482</v>
      </c>
      <c r="L17" s="861">
        <f t="shared" si="1"/>
        <v>4156320.9798429818</v>
      </c>
      <c r="M17" s="861">
        <f t="shared" si="1"/>
        <v>142779.10967710431</v>
      </c>
      <c r="N17" s="861">
        <f t="shared" si="1"/>
        <v>245328.82345885498</v>
      </c>
      <c r="O17" s="861">
        <f t="shared" si="1"/>
        <v>239011.23726308881</v>
      </c>
      <c r="P17" s="861">
        <f t="shared" si="1"/>
        <v>58762.892018580889</v>
      </c>
      <c r="Q17" s="861">
        <f t="shared" si="1"/>
        <v>106806.99725229101</v>
      </c>
      <c r="R17" s="861">
        <f t="shared" si="1"/>
        <v>296198.84605168615</v>
      </c>
      <c r="S17" s="861">
        <f t="shared" si="1"/>
        <v>0</v>
      </c>
      <c r="T17" s="861">
        <f t="shared" si="1"/>
        <v>0</v>
      </c>
      <c r="U17" s="861">
        <f t="shared" si="1"/>
        <v>4542693.6187454741</v>
      </c>
      <c r="V17" s="861">
        <f t="shared" si="1"/>
        <v>2050013.3649792164</v>
      </c>
      <c r="W17" s="861">
        <f t="shared" si="1"/>
        <v>3211109.4130529347</v>
      </c>
      <c r="X17" s="861">
        <f t="shared" si="1"/>
        <v>3719390.1471381839</v>
      </c>
      <c r="Y17" s="861">
        <f t="shared" si="1"/>
        <v>2959257.3070437191</v>
      </c>
      <c r="Z17" s="861">
        <f t="shared" si="1"/>
        <v>416801.94593285373</v>
      </c>
      <c r="AA17" s="861">
        <f t="shared" si="1"/>
        <v>2195643.074124408</v>
      </c>
      <c r="AB17" s="861">
        <f t="shared" si="1"/>
        <v>0</v>
      </c>
      <c r="AC17" s="861">
        <f t="shared" si="1"/>
        <v>0</v>
      </c>
      <c r="AD17" s="861">
        <f t="shared" si="1"/>
        <v>0</v>
      </c>
      <c r="AE17" s="861">
        <f t="shared" si="1"/>
        <v>0</v>
      </c>
      <c r="AF17" s="861">
        <f t="shared" si="1"/>
        <v>0</v>
      </c>
      <c r="AG17" s="861">
        <f t="shared" si="1"/>
        <v>0</v>
      </c>
      <c r="AH17" s="632">
        <f>SUM(AH6:AH16)</f>
        <v>390904829.99999994</v>
      </c>
    </row>
    <row r="18" spans="1:34" ht="16.5">
      <c r="A18" s="633"/>
      <c r="B18" s="633"/>
      <c r="C18" s="634"/>
      <c r="D18" s="634"/>
      <c r="E18" s="634"/>
      <c r="F18" s="634"/>
      <c r="G18" s="634"/>
      <c r="H18" s="634"/>
      <c r="I18" s="634"/>
      <c r="J18" s="634"/>
      <c r="K18" s="634"/>
      <c r="L18" s="634"/>
      <c r="M18" s="634"/>
      <c r="N18" s="634"/>
      <c r="O18" s="634"/>
      <c r="P18" s="634"/>
      <c r="Q18" s="634"/>
      <c r="R18" s="634"/>
      <c r="S18" s="634"/>
      <c r="T18" s="634"/>
      <c r="U18" s="634"/>
      <c r="V18" s="634"/>
      <c r="W18" s="634"/>
      <c r="X18" s="634"/>
      <c r="Y18" s="634"/>
      <c r="Z18" s="634"/>
      <c r="AA18" s="634"/>
      <c r="AB18" s="634"/>
      <c r="AC18" s="634"/>
      <c r="AD18" s="634"/>
      <c r="AE18" s="634"/>
      <c r="AF18" s="634"/>
      <c r="AG18" s="634"/>
      <c r="AH18" s="635"/>
    </row>
    <row r="19" spans="1:34" ht="16.5">
      <c r="A19" s="633"/>
      <c r="B19" s="633"/>
      <c r="C19" s="633"/>
      <c r="D19" s="634"/>
      <c r="E19" s="633"/>
      <c r="F19" s="633"/>
      <c r="G19" s="633"/>
      <c r="H19" s="633"/>
      <c r="I19" s="633"/>
      <c r="J19" s="633"/>
      <c r="K19" s="633"/>
      <c r="L19" s="633"/>
      <c r="M19" s="633"/>
      <c r="N19" s="633"/>
      <c r="O19" s="633"/>
      <c r="P19" s="633"/>
      <c r="Q19" s="633"/>
      <c r="R19" s="633"/>
      <c r="S19" s="633"/>
      <c r="T19" s="633"/>
      <c r="U19" s="633"/>
      <c r="V19" s="633"/>
      <c r="W19" s="633"/>
      <c r="X19" s="633"/>
      <c r="Y19" s="633"/>
      <c r="Z19" s="633"/>
      <c r="AA19" s="633"/>
      <c r="AB19" s="633"/>
      <c r="AC19" s="633"/>
      <c r="AD19" s="633"/>
      <c r="AE19" s="633"/>
      <c r="AF19" s="633"/>
      <c r="AH19" s="636"/>
    </row>
    <row r="20" spans="1:34" ht="46.5" customHeight="1">
      <c r="A20" s="633"/>
      <c r="B20" s="633"/>
      <c r="C20" s="636"/>
      <c r="D20" s="893" t="s">
        <v>1386</v>
      </c>
      <c r="E20" s="894" t="s">
        <v>998</v>
      </c>
      <c r="F20" s="636"/>
      <c r="G20" s="636"/>
      <c r="H20" s="636"/>
      <c r="I20" s="636"/>
      <c r="J20" s="636"/>
      <c r="K20" s="636"/>
      <c r="L20" s="636"/>
      <c r="M20" s="636"/>
      <c r="N20" s="636"/>
      <c r="O20" s="636"/>
      <c r="P20" s="636"/>
      <c r="Q20" s="636"/>
      <c r="R20" s="636"/>
      <c r="S20" s="636"/>
      <c r="T20" s="636"/>
      <c r="U20" s="636"/>
      <c r="V20" s="636"/>
      <c r="W20" s="636"/>
      <c r="X20" s="636"/>
      <c r="Y20" s="636"/>
      <c r="Z20" s="636"/>
      <c r="AA20" s="636"/>
      <c r="AB20" s="636"/>
      <c r="AC20" s="636"/>
      <c r="AD20" s="636"/>
      <c r="AE20" s="636"/>
      <c r="AF20" s="636"/>
      <c r="AG20" s="636"/>
      <c r="AH20" s="636">
        <f t="shared" ref="AH20" si="2">AH17-AH18</f>
        <v>390904829.99999994</v>
      </c>
    </row>
    <row r="21" spans="1:34" ht="16.5">
      <c r="B21" s="629" t="s">
        <v>15</v>
      </c>
      <c r="C21" s="66">
        <f>C6+D6+E6</f>
        <v>25004180.524786208</v>
      </c>
      <c r="D21" s="561">
        <f>SUMIFS('DSOAT-T1.2025'!$BA:$BA,'DSOAT-T1.2025'!$BH:$BH,'lương p1p3'!B21)</f>
        <v>10030265</v>
      </c>
      <c r="E21" s="561">
        <f>SUMIFS('DSOAT-T1.2025'!$BD:$BD,'DSOAT-T1.2025'!$BH:$BH,'lương p1p3'!B21)</f>
        <v>9862265</v>
      </c>
    </row>
    <row r="22" spans="1:34" ht="16.5">
      <c r="B22" s="629" t="s">
        <v>23</v>
      </c>
      <c r="C22" s="66">
        <f t="shared" ref="C22:C31" si="3">C7+D7+E7</f>
        <v>46437758.952610828</v>
      </c>
      <c r="D22" s="561">
        <f>SUMIFS('DSOAT-T1.2025'!$BA:$BA,'DSOAT-T1.2025'!$BH:$BH,'lương p1p3'!B22)</f>
        <v>20519138</v>
      </c>
      <c r="E22" s="561">
        <f>SUMIFS('DSOAT-T1.2025'!$BD:$BD,'DSOAT-T1.2025'!$BH:$BH,'lương p1p3'!B22)</f>
        <v>19483138</v>
      </c>
    </row>
    <row r="23" spans="1:34" ht="16.5">
      <c r="B23" s="629" t="s">
        <v>42</v>
      </c>
      <c r="C23" s="66">
        <f t="shared" si="3"/>
        <v>27301009.791769553</v>
      </c>
      <c r="D23" s="561">
        <f>SUMIFS('DSOAT-T1.2025'!$BA:$BA,'DSOAT-T1.2025'!$BH:$BH,'lương p1p3'!B23)</f>
        <v>33950698</v>
      </c>
      <c r="E23" s="561">
        <f>SUMIFS('DSOAT-T1.2025'!$BD:$BD,'DSOAT-T1.2025'!$BH:$BH,'lương p1p3'!B23)</f>
        <v>17788358</v>
      </c>
    </row>
    <row r="24" spans="1:34" ht="16.5">
      <c r="B24" s="629" t="s">
        <v>63</v>
      </c>
      <c r="C24" s="66">
        <f t="shared" si="3"/>
        <v>12080635.67505084</v>
      </c>
      <c r="D24" s="561">
        <f>SUMIFS('DSOAT-T1.2025'!$BA:$BA,'DSOAT-T1.2025'!$BH:$BH,'lương p1p3'!B24)</f>
        <v>9614524</v>
      </c>
      <c r="E24" s="561">
        <f>SUMIFS('DSOAT-T1.2025'!$BD:$BD,'DSOAT-T1.2025'!$BH:$BH,'lương p1p3'!B24)</f>
        <v>9340024</v>
      </c>
    </row>
    <row r="25" spans="1:34" ht="16.5">
      <c r="B25" s="629" t="s">
        <v>70</v>
      </c>
      <c r="C25" s="66">
        <f t="shared" si="3"/>
        <v>8713247.0290348865</v>
      </c>
      <c r="D25" s="561">
        <f>SUMIFS('DSOAT-T1.2025'!$BA:$BA,'DSOAT-T1.2025'!$BH:$BH,'lương p1p3'!B25)</f>
        <v>7749018</v>
      </c>
      <c r="E25" s="561">
        <f>SUMIFS('DSOAT-T1.2025'!$BD:$BD,'DSOAT-T1.2025'!$BH:$BH,'lương p1p3'!B25)</f>
        <v>7005018</v>
      </c>
    </row>
    <row r="26" spans="1:34" ht="16.5">
      <c r="B26" s="629" t="s">
        <v>79</v>
      </c>
      <c r="C26" s="66">
        <f t="shared" si="3"/>
        <v>17193533.466503795</v>
      </c>
      <c r="D26" s="561">
        <f>SUMIFS('DSOAT-T1.2025'!$BA:$BA,'DSOAT-T1.2025'!$BH:$BH,'lương p1p3'!B26)</f>
        <v>51774369</v>
      </c>
      <c r="E26" s="561">
        <f>SUMIFS('DSOAT-T1.2025'!$BD:$BD,'DSOAT-T1.2025'!$BH:$BH,'lương p1p3'!B26)</f>
        <v>11271160</v>
      </c>
    </row>
    <row r="27" spans="1:34" ht="16.5">
      <c r="B27" s="629" t="s">
        <v>87</v>
      </c>
      <c r="C27" s="66">
        <f t="shared" si="3"/>
        <v>5144361.3180410443</v>
      </c>
      <c r="D27" s="561">
        <f>SUMIFS('DSOAT-T1.2025'!$BA:$BA,'DSOAT-T1.2025'!$BH:$BH,'lương p1p3'!B27)</f>
        <v>18807575</v>
      </c>
      <c r="E27" s="561">
        <f>SUMIFS('DSOAT-T1.2025'!$BD:$BD,'DSOAT-T1.2025'!$BH:$BH,'lương p1p3'!B27)</f>
        <v>4670012</v>
      </c>
    </row>
    <row r="28" spans="1:34" ht="16.5">
      <c r="B28" s="629" t="s">
        <v>92</v>
      </c>
      <c r="C28" s="66">
        <f t="shared" si="3"/>
        <v>5187325.3145784969</v>
      </c>
      <c r="D28" s="561">
        <f>SUMIFS('DSOAT-T1.2025'!$BA:$BA,'DSOAT-T1.2025'!$BH:$BH,'lương p1p3'!B28)</f>
        <v>43248824</v>
      </c>
      <c r="E28" s="561">
        <f>SUMIFS('DSOAT-T1.2025'!$BD:$BD,'DSOAT-T1.2025'!$BH:$BH,'lương p1p3'!B28)</f>
        <v>8894179</v>
      </c>
    </row>
    <row r="29" spans="1:34" ht="16.5">
      <c r="B29" s="629" t="s">
        <v>20</v>
      </c>
      <c r="C29" s="66">
        <f t="shared" si="3"/>
        <v>22098699.760094862</v>
      </c>
      <c r="D29" s="561">
        <f>SUMIFS('DSOAT-T1.2025'!$BA:$BA,'DSOAT-T1.2025'!$BH:$BH,'lương p1p3'!B29)</f>
        <v>9598307</v>
      </c>
      <c r="E29" s="561">
        <f>SUMIFS('DSOAT-T1.2025'!$BD:$BD,'DSOAT-T1.2025'!$BH:$BH,'lương p1p3'!B29)</f>
        <v>9406307</v>
      </c>
    </row>
    <row r="30" spans="1:34" ht="16.5">
      <c r="B30" s="629" t="s">
        <v>109</v>
      </c>
      <c r="C30" s="66">
        <f t="shared" si="3"/>
        <v>7324.1948238789173</v>
      </c>
      <c r="D30" s="561">
        <f>SUMIFS('DSOAT-T1.2025'!$BA:$BA,'DSOAT-T1.2025'!$BH:$BH,'lương p1p3'!B30)</f>
        <v>0</v>
      </c>
      <c r="E30" s="561">
        <f>SUMIFS('DSOAT-T1.2025'!$BD:$BD,'DSOAT-T1.2025'!$BH:$BH,'lương p1p3'!B30)</f>
        <v>0</v>
      </c>
    </row>
    <row r="31" spans="1:34" ht="16.5">
      <c r="B31" s="629" t="s">
        <v>194</v>
      </c>
      <c r="C31" s="66">
        <f t="shared" si="3"/>
        <v>6637928</v>
      </c>
      <c r="D31" s="561">
        <f>SUMIFS('DSOAT-T1.2025'!$BA:$BA,'DSOAT-T1.2025'!$BH:$BH,'lương p1p3'!B31)</f>
        <v>2865790</v>
      </c>
      <c r="E31" s="561">
        <f>SUMIFS('DSOAT-T1.2025'!$BD:$BD,'DSOAT-T1.2025'!$BH:$BH,'lương p1p3'!B31)</f>
        <v>2817790</v>
      </c>
    </row>
    <row r="32" spans="1:34">
      <c r="C32" s="71">
        <f>SUM(C21:C31)</f>
        <v>175806004.0272944</v>
      </c>
      <c r="D32" s="71">
        <f>SUM(D21:D31)</f>
        <v>208158508</v>
      </c>
      <c r="E32" s="71">
        <f>SUM(E21:E31)</f>
        <v>100538251</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R34"/>
  <sheetViews>
    <sheetView workbookViewId="0">
      <pane xSplit="2" topLeftCell="S1" activePane="topRight" state="frozen"/>
      <selection pane="topRight" activeCell="AA22" sqref="AA22"/>
    </sheetView>
  </sheetViews>
  <sheetFormatPr defaultColWidth="9.140625" defaultRowHeight="15"/>
  <cols>
    <col min="3" max="3" width="15.7109375" customWidth="1"/>
    <col min="4" max="4" width="17.28515625" customWidth="1"/>
    <col min="5" max="5" width="12.28515625" hidden="1" customWidth="1"/>
    <col min="6" max="6" width="14.28515625" customWidth="1"/>
    <col min="7" max="7" width="12.28515625" hidden="1" customWidth="1"/>
    <col min="8" max="8" width="17.140625" customWidth="1"/>
    <col min="9" max="11" width="12.28515625" hidden="1" customWidth="1"/>
    <col min="12" max="12" width="16.140625" customWidth="1"/>
    <col min="13" max="13" width="12.28515625" hidden="1" customWidth="1"/>
    <col min="14" max="14" width="23.28515625" customWidth="1"/>
    <col min="15" max="15" width="14.85546875" customWidth="1"/>
    <col min="16" max="16" width="22.42578125" customWidth="1"/>
    <col min="17" max="17" width="21.5703125" customWidth="1"/>
    <col min="18" max="18" width="22.28515625" customWidth="1"/>
    <col min="19" max="19" width="13.140625" customWidth="1"/>
    <col min="20" max="22" width="12.28515625" hidden="1" customWidth="1"/>
    <col min="23" max="23" width="16.42578125" customWidth="1"/>
    <col min="24" max="24" width="12.28515625" hidden="1" customWidth="1"/>
    <col min="25" max="25" width="14.28515625" customWidth="1"/>
    <col min="26" max="26" width="15.85546875" customWidth="1"/>
    <col min="27" max="27" width="14" customWidth="1"/>
    <col min="28" max="28" width="16.42578125" customWidth="1"/>
    <col min="29" max="38" width="12.28515625" hidden="1" customWidth="1"/>
    <col min="39" max="40" width="16.42578125" customWidth="1"/>
    <col min="41" max="41" width="15.28515625" customWidth="1"/>
    <col min="42" max="42" width="15.42578125" customWidth="1"/>
    <col min="43" max="43" width="18.5703125" customWidth="1"/>
    <col min="44" max="44" width="17.140625" customWidth="1"/>
  </cols>
  <sheetData>
    <row r="3" spans="1:44" ht="16.5">
      <c r="A3" s="623" t="s">
        <v>1361</v>
      </c>
    </row>
    <row r="4" spans="1:44">
      <c r="B4" s="867">
        <v>0.42773001704874297</v>
      </c>
      <c r="C4" s="867">
        <v>0.38395324773591288</v>
      </c>
      <c r="D4" s="867">
        <v>0.81168326478465591</v>
      </c>
      <c r="U4" t="s">
        <v>1099</v>
      </c>
      <c r="V4" t="s">
        <v>1099</v>
      </c>
      <c r="W4" t="s">
        <v>1099</v>
      </c>
    </row>
    <row r="5" spans="1:44" ht="16.5">
      <c r="A5" s="564" t="s">
        <v>1100</v>
      </c>
      <c r="B5" s="564"/>
      <c r="C5" s="564"/>
      <c r="D5" s="564" t="s">
        <v>976</v>
      </c>
      <c r="E5" s="564" t="s">
        <v>976</v>
      </c>
      <c r="F5" s="564" t="s">
        <v>976</v>
      </c>
      <c r="G5" s="564"/>
      <c r="H5" s="564" t="s">
        <v>977</v>
      </c>
      <c r="I5" s="564"/>
      <c r="J5" s="564" t="s">
        <v>981</v>
      </c>
      <c r="K5" s="564"/>
      <c r="L5" s="564" t="s">
        <v>993</v>
      </c>
      <c r="M5" s="564"/>
      <c r="N5" s="564" t="s">
        <v>991</v>
      </c>
      <c r="O5" s="564" t="s">
        <v>506</v>
      </c>
      <c r="P5" s="564" t="s">
        <v>990</v>
      </c>
      <c r="Q5" s="564" t="s">
        <v>989</v>
      </c>
      <c r="R5" s="564" t="s">
        <v>507</v>
      </c>
      <c r="S5" s="564" t="s">
        <v>995</v>
      </c>
      <c r="T5" s="564"/>
      <c r="U5" s="564"/>
      <c r="V5" s="564"/>
      <c r="W5" s="564" t="s">
        <v>1362</v>
      </c>
      <c r="X5" s="564"/>
      <c r="Y5" s="564" t="s">
        <v>996</v>
      </c>
      <c r="Z5" s="868" t="s">
        <v>977</v>
      </c>
      <c r="AA5" s="869" t="s">
        <v>977</v>
      </c>
      <c r="AB5" s="869" t="s">
        <v>977</v>
      </c>
      <c r="AC5" s="564"/>
      <c r="AD5" s="564"/>
      <c r="AE5" s="564"/>
      <c r="AF5" s="564"/>
      <c r="AG5" s="564"/>
      <c r="AH5" s="564"/>
      <c r="AI5" s="564"/>
      <c r="AJ5" s="564"/>
      <c r="AK5" s="564"/>
      <c r="AL5" s="564"/>
      <c r="AM5" s="564"/>
      <c r="AN5" s="1569" t="s">
        <v>1363</v>
      </c>
      <c r="AO5" s="1569"/>
    </row>
    <row r="6" spans="1:44" ht="63.75">
      <c r="A6" s="624" t="s">
        <v>0</v>
      </c>
      <c r="B6" s="624" t="s">
        <v>632</v>
      </c>
      <c r="C6" s="870" t="s">
        <v>1364</v>
      </c>
      <c r="D6" s="871" t="s">
        <v>1365</v>
      </c>
      <c r="E6" s="872"/>
      <c r="F6" s="871" t="s">
        <v>1366</v>
      </c>
      <c r="G6" s="872"/>
      <c r="H6" s="871" t="s">
        <v>1367</v>
      </c>
      <c r="I6" s="872"/>
      <c r="J6" s="873" t="s">
        <v>1368</v>
      </c>
      <c r="K6" s="874"/>
      <c r="L6" s="875" t="s">
        <v>1369</v>
      </c>
      <c r="M6" s="876"/>
      <c r="N6" s="877" t="s">
        <v>1036</v>
      </c>
      <c r="O6" s="877" t="s">
        <v>1037</v>
      </c>
      <c r="P6" s="878" t="s">
        <v>1021</v>
      </c>
      <c r="Q6" s="878" t="s">
        <v>1020</v>
      </c>
      <c r="R6" s="877" t="s">
        <v>1038</v>
      </c>
      <c r="S6" s="878" t="s">
        <v>1370</v>
      </c>
      <c r="T6" s="878" t="s">
        <v>1012</v>
      </c>
      <c r="U6" s="878" t="s">
        <v>1008</v>
      </c>
      <c r="V6" s="878" t="s">
        <v>1014</v>
      </c>
      <c r="W6" s="878" t="s">
        <v>1371</v>
      </c>
      <c r="X6" s="878" t="s">
        <v>1372</v>
      </c>
      <c r="Y6" s="878" t="s">
        <v>1373</v>
      </c>
      <c r="Z6" s="879" t="s">
        <v>1374</v>
      </c>
      <c r="AA6" s="879" t="s">
        <v>1375</v>
      </c>
      <c r="AB6" s="880" t="s">
        <v>1376</v>
      </c>
      <c r="AC6" s="881" t="s">
        <v>1377</v>
      </c>
      <c r="AD6" s="626"/>
      <c r="AE6" s="626"/>
      <c r="AF6" s="626"/>
      <c r="AG6" s="626"/>
      <c r="AH6" s="626"/>
      <c r="AI6" s="626"/>
      <c r="AJ6" s="626"/>
      <c r="AK6" s="626"/>
      <c r="AL6" s="626"/>
      <c r="AM6" s="627" t="s">
        <v>676</v>
      </c>
      <c r="AN6" s="882" t="s">
        <v>1009</v>
      </c>
      <c r="AO6" s="882" t="s">
        <v>1378</v>
      </c>
      <c r="AP6" s="883"/>
      <c r="AQ6" s="883" t="s">
        <v>1384</v>
      </c>
      <c r="AR6" s="883" t="s">
        <v>1385</v>
      </c>
    </row>
    <row r="7" spans="1:44" ht="16.5">
      <c r="A7" s="628">
        <v>1</v>
      </c>
      <c r="B7" s="629" t="s">
        <v>15</v>
      </c>
      <c r="C7" s="619" t="e">
        <f>SUMIFS('[21]lương đơn giá'!K:K,'[21]lương đơn giá'!$D:$D,'[21]bc tổng hợp'!$B7)</f>
        <v>#VALUE!</v>
      </c>
      <c r="D7" s="619" t="e">
        <f>SUMIFS('[21]lương đơn giá'!L:L,'[21]lương đơn giá'!$D:$D,'[21]bc tổng hợp'!$B7)</f>
        <v>#VALUE!</v>
      </c>
      <c r="E7" s="619" t="e">
        <f>SUMIFS('[21]lương đơn giá'!M:M,'[21]lương đơn giá'!$D:$D,'[21]bc tổng hợp'!$B7)</f>
        <v>#VALUE!</v>
      </c>
      <c r="F7" s="619" t="e">
        <f>SUMIFS('[21]lương đơn giá'!N:N,'[21]lương đơn giá'!$D:$D,'[21]bc tổng hợp'!$B7)</f>
        <v>#VALUE!</v>
      </c>
      <c r="G7" s="619" t="e">
        <f>SUMIFS('[21]lương đơn giá'!O:O,'[21]lương đơn giá'!$D:$D,'[21]bc tổng hợp'!$B7)</f>
        <v>#VALUE!</v>
      </c>
      <c r="H7" s="619" t="e">
        <f>SUMIFS('[21]lương đơn giá'!P:P,'[21]lương đơn giá'!$D:$D,'[21]bc tổng hợp'!$B7)</f>
        <v>#VALUE!</v>
      </c>
      <c r="I7" s="619" t="e">
        <f>SUMIFS('[21]lương đơn giá'!Q:Q,'[21]lương đơn giá'!$D:$D,'[21]bc tổng hợp'!$B7)</f>
        <v>#VALUE!</v>
      </c>
      <c r="J7" s="619" t="e">
        <f>SUMIFS('[21]lương đơn giá'!R:R,'[21]lương đơn giá'!$D:$D,'[21]bc tổng hợp'!$B7)</f>
        <v>#VALUE!</v>
      </c>
      <c r="K7" s="619" t="e">
        <f>SUMIFS('[21]lương đơn giá'!S:S,'[21]lương đơn giá'!$D:$D,'[21]bc tổng hợp'!$B7)</f>
        <v>#VALUE!</v>
      </c>
      <c r="L7" s="619" t="e">
        <f>SUMIFS('[21]lương đơn giá'!T:T,'[21]lương đơn giá'!$D:$D,'[21]bc tổng hợp'!$B7)</f>
        <v>#VALUE!</v>
      </c>
      <c r="M7" s="619" t="e">
        <f>SUMIFS('[21]lương đơn giá'!U:U,'[21]lương đơn giá'!$D:$D,'[21]bc tổng hợp'!$B7)</f>
        <v>#VALUE!</v>
      </c>
      <c r="N7" s="619" t="e">
        <f>SUMIFS('[21]lương đơn giá'!V:V,'[21]lương đơn giá'!$D:$D,'[21]bc tổng hợp'!$B7)</f>
        <v>#VALUE!</v>
      </c>
      <c r="O7" s="619" t="e">
        <f>SUMIFS('[21]lương đơn giá'!W:W,'[21]lương đơn giá'!$D:$D,'[21]bc tổng hợp'!$B7)</f>
        <v>#VALUE!</v>
      </c>
      <c r="P7" s="619" t="e">
        <f>SUMIFS('[21]lương đơn giá'!X:X,'[21]lương đơn giá'!$D:$D,'[21]bc tổng hợp'!$B7)</f>
        <v>#VALUE!</v>
      </c>
      <c r="Q7" s="619" t="e">
        <f>SUMIFS('[21]lương đơn giá'!Y:Y,'[21]lương đơn giá'!$D:$D,'[21]bc tổng hợp'!$B7)</f>
        <v>#VALUE!</v>
      </c>
      <c r="R7" s="619" t="e">
        <f>SUMIFS('[21]lương đơn giá'!Z:Z,'[21]lương đơn giá'!$D:$D,'[21]bc tổng hợp'!$B7)</f>
        <v>#VALUE!</v>
      </c>
      <c r="S7" s="619" t="e">
        <f>SUMIFS('[21]lương đơn giá'!AA:AA,'[21]lương đơn giá'!$D:$D,'[21]bc tổng hợp'!$B7)</f>
        <v>#VALUE!</v>
      </c>
      <c r="T7" s="619" t="e">
        <f>SUMIFS('[21]lương đơn giá'!AB:AB,'[21]lương đơn giá'!$D:$D,'[21]bc tổng hợp'!$B7)</f>
        <v>#VALUE!</v>
      </c>
      <c r="U7" s="619" t="e">
        <f>SUMIFS('[21]lương đơn giá'!AC:AC,'[21]lương đơn giá'!$D:$D,'[21]bc tổng hợp'!$B7)</f>
        <v>#VALUE!</v>
      </c>
      <c r="V7" s="619" t="e">
        <f>SUMIFS('[21]lương đơn giá'!AD:AD,'[21]lương đơn giá'!$D:$D,'[21]bc tổng hợp'!$B7)</f>
        <v>#VALUE!</v>
      </c>
      <c r="W7" s="619" t="e">
        <f>SUMIFS('[21]lương đơn giá'!AE:AE,'[21]lương đơn giá'!$D:$D,'[21]bc tổng hợp'!$B7)</f>
        <v>#VALUE!</v>
      </c>
      <c r="X7" s="619" t="e">
        <f>SUMIFS('[21]lương đơn giá'!AF:AF,'[21]lương đơn giá'!$D:$D,'[21]bc tổng hợp'!$B7)</f>
        <v>#VALUE!</v>
      </c>
      <c r="Y7" s="619" t="e">
        <f>SUMIFS('[21]lương đơn giá'!AG:AG,'[21]lương đơn giá'!$D:$D,'[21]bc tổng hợp'!$B7)</f>
        <v>#VALUE!</v>
      </c>
      <c r="Z7" s="619" t="e">
        <f>SUMIFS('[21]lương đơn giá'!AH:AH,'[21]lương đơn giá'!$D:$D,'[21]bc tổng hợp'!$B7)</f>
        <v>#VALUE!</v>
      </c>
      <c r="AA7" s="619" t="e">
        <f>SUMIFS('[21]lương đơn giá'!AI:AI,'[21]lương đơn giá'!$D:$D,'[21]bc tổng hợp'!$B7)</f>
        <v>#VALUE!</v>
      </c>
      <c r="AB7" s="619" t="e">
        <f>SUMIFS('[21]lương đơn giá'!AJ:AJ,'[21]lương đơn giá'!$D:$D,'[21]bc tổng hợp'!$B7)</f>
        <v>#VALUE!</v>
      </c>
      <c r="AC7" s="619" t="e">
        <f>SUMIFS('[21]lương đơn giá'!AK:AK,'[21]lương đơn giá'!$D:$D,'[21]bc tổng hợp'!$B7)</f>
        <v>#VALUE!</v>
      </c>
      <c r="AD7" s="619"/>
      <c r="AE7" s="619"/>
      <c r="AF7" s="619"/>
      <c r="AG7" s="619"/>
      <c r="AH7" s="619"/>
      <c r="AI7" s="619"/>
      <c r="AJ7" s="619"/>
      <c r="AK7" s="619"/>
      <c r="AL7" s="619"/>
      <c r="AM7" s="630" t="e">
        <f t="shared" ref="AM7:AM17" si="0">SUM(C7:AL7)</f>
        <v>#VALUE!</v>
      </c>
      <c r="AN7" s="619" t="e">
        <f>SUMIFS('[21]lương đơn giá'!AY:AY,'[21]lương đơn giá'!$D:$D,'[21]bc tổng hợp'!$B7)</f>
        <v>#VALUE!</v>
      </c>
      <c r="AO7" s="619" t="e">
        <f>SUMIFS('[21]lương đơn giá'!BN:BN,'[21]lương đơn giá'!$D:$D,'[21]bc tổng hợp'!$B7)</f>
        <v>#VALUE!</v>
      </c>
      <c r="AP7" s="66" t="e">
        <f>AM7-AN7-AO7</f>
        <v>#VALUE!</v>
      </c>
      <c r="AQ7" s="66" t="e">
        <f>+C21+D7+F7-AO7</f>
        <v>#VALUE!</v>
      </c>
      <c r="AR7" s="66" t="e">
        <f>D21+H7+Z7+AA7+AB7</f>
        <v>#VALUE!</v>
      </c>
    </row>
    <row r="8" spans="1:44" ht="16.5">
      <c r="A8" s="628">
        <v>2</v>
      </c>
      <c r="B8" s="629" t="s">
        <v>23</v>
      </c>
      <c r="C8" s="619" t="e">
        <f>SUMIFS('[21]lương đơn giá'!K:K,'[21]lương đơn giá'!$D:$D,'[21]bc tổng hợp'!$B8)</f>
        <v>#VALUE!</v>
      </c>
      <c r="D8" s="619" t="e">
        <f>SUMIFS('[21]lương đơn giá'!L:L,'[21]lương đơn giá'!$D:$D,'[21]bc tổng hợp'!$B8)</f>
        <v>#VALUE!</v>
      </c>
      <c r="E8" s="619" t="e">
        <f>SUMIFS('[21]lương đơn giá'!M:M,'[21]lương đơn giá'!$D:$D,'[21]bc tổng hợp'!$B8)</f>
        <v>#VALUE!</v>
      </c>
      <c r="F8" s="619" t="e">
        <f>SUMIFS('[21]lương đơn giá'!N:N,'[21]lương đơn giá'!$D:$D,'[21]bc tổng hợp'!$B8)</f>
        <v>#VALUE!</v>
      </c>
      <c r="G8" s="619" t="e">
        <f>SUMIFS('[21]lương đơn giá'!O:O,'[21]lương đơn giá'!$D:$D,'[21]bc tổng hợp'!$B8)</f>
        <v>#VALUE!</v>
      </c>
      <c r="H8" s="619" t="e">
        <f>SUMIFS('[21]lương đơn giá'!P:P,'[21]lương đơn giá'!$D:$D,'[21]bc tổng hợp'!$B8)</f>
        <v>#VALUE!</v>
      </c>
      <c r="I8" s="619" t="e">
        <f>SUMIFS('[21]lương đơn giá'!Q:Q,'[21]lương đơn giá'!$D:$D,'[21]bc tổng hợp'!$B8)</f>
        <v>#VALUE!</v>
      </c>
      <c r="J8" s="619" t="e">
        <f>SUMIFS('[21]lương đơn giá'!R:R,'[21]lương đơn giá'!$D:$D,'[21]bc tổng hợp'!$B8)</f>
        <v>#VALUE!</v>
      </c>
      <c r="K8" s="619" t="e">
        <f>SUMIFS('[21]lương đơn giá'!S:S,'[21]lương đơn giá'!$D:$D,'[21]bc tổng hợp'!$B8)</f>
        <v>#VALUE!</v>
      </c>
      <c r="L8" s="619" t="e">
        <f>SUMIFS('[21]lương đơn giá'!T:T,'[21]lương đơn giá'!$D:$D,'[21]bc tổng hợp'!$B8)</f>
        <v>#VALUE!</v>
      </c>
      <c r="M8" s="619" t="e">
        <f>SUMIFS('[21]lương đơn giá'!U:U,'[21]lương đơn giá'!$D:$D,'[21]bc tổng hợp'!$B8)</f>
        <v>#VALUE!</v>
      </c>
      <c r="N8" s="619" t="e">
        <f>SUMIFS('[21]lương đơn giá'!V:V,'[21]lương đơn giá'!$D:$D,'[21]bc tổng hợp'!$B8)</f>
        <v>#VALUE!</v>
      </c>
      <c r="O8" s="619" t="e">
        <f>SUMIFS('[21]lương đơn giá'!W:W,'[21]lương đơn giá'!$D:$D,'[21]bc tổng hợp'!$B8)</f>
        <v>#VALUE!</v>
      </c>
      <c r="P8" s="619" t="e">
        <f>SUMIFS('[21]lương đơn giá'!X:X,'[21]lương đơn giá'!$D:$D,'[21]bc tổng hợp'!$B8)</f>
        <v>#VALUE!</v>
      </c>
      <c r="Q8" s="619" t="e">
        <f>SUMIFS('[21]lương đơn giá'!Y:Y,'[21]lương đơn giá'!$D:$D,'[21]bc tổng hợp'!$B8)</f>
        <v>#VALUE!</v>
      </c>
      <c r="R8" s="619" t="e">
        <f>SUMIFS('[21]lương đơn giá'!Z:Z,'[21]lương đơn giá'!$D:$D,'[21]bc tổng hợp'!$B8)</f>
        <v>#VALUE!</v>
      </c>
      <c r="S8" s="619" t="e">
        <f>SUMIFS('[21]lương đơn giá'!AA:AA,'[21]lương đơn giá'!$D:$D,'[21]bc tổng hợp'!$B8)</f>
        <v>#VALUE!</v>
      </c>
      <c r="T8" s="619" t="e">
        <f>SUMIFS('[21]lương đơn giá'!AB:AB,'[21]lương đơn giá'!$D:$D,'[21]bc tổng hợp'!$B8)</f>
        <v>#VALUE!</v>
      </c>
      <c r="U8" s="619" t="e">
        <f>SUMIFS('[21]lương đơn giá'!AC:AC,'[21]lương đơn giá'!$D:$D,'[21]bc tổng hợp'!$B8)</f>
        <v>#VALUE!</v>
      </c>
      <c r="V8" s="619" t="e">
        <f>SUMIFS('[21]lương đơn giá'!AD:AD,'[21]lương đơn giá'!$D:$D,'[21]bc tổng hợp'!$B8)</f>
        <v>#VALUE!</v>
      </c>
      <c r="W8" s="619" t="e">
        <f>SUMIFS('[21]lương đơn giá'!AE:AE,'[21]lương đơn giá'!$D:$D,'[21]bc tổng hợp'!$B8)</f>
        <v>#VALUE!</v>
      </c>
      <c r="X8" s="619" t="e">
        <f>SUMIFS('[21]lương đơn giá'!AF:AF,'[21]lương đơn giá'!$D:$D,'[21]bc tổng hợp'!$B8)</f>
        <v>#VALUE!</v>
      </c>
      <c r="Y8" s="619" t="e">
        <f>SUMIFS('[21]lương đơn giá'!AG:AG,'[21]lương đơn giá'!$D:$D,'[21]bc tổng hợp'!$B8)</f>
        <v>#VALUE!</v>
      </c>
      <c r="Z8" s="619" t="e">
        <f>SUMIFS('[21]lương đơn giá'!AH:AH,'[21]lương đơn giá'!$D:$D,'[21]bc tổng hợp'!$B8)</f>
        <v>#VALUE!</v>
      </c>
      <c r="AA8" s="619" t="e">
        <f>SUMIFS('[21]lương đơn giá'!AI:AI,'[21]lương đơn giá'!$D:$D,'[21]bc tổng hợp'!$B8)</f>
        <v>#VALUE!</v>
      </c>
      <c r="AB8" s="619" t="e">
        <f>SUMIFS('[21]lương đơn giá'!AJ:AJ,'[21]lương đơn giá'!$D:$D,'[21]bc tổng hợp'!$B8)</f>
        <v>#VALUE!</v>
      </c>
      <c r="AC8" s="619" t="e">
        <f>SUMIFS('[21]lương đơn giá'!AK:AK,'[21]lương đơn giá'!$D:$D,'[21]bc tổng hợp'!$B8)</f>
        <v>#VALUE!</v>
      </c>
      <c r="AD8" s="619"/>
      <c r="AE8" s="619"/>
      <c r="AF8" s="619"/>
      <c r="AG8" s="619"/>
      <c r="AH8" s="619"/>
      <c r="AI8" s="619"/>
      <c r="AJ8" s="619"/>
      <c r="AK8" s="619"/>
      <c r="AL8" s="619"/>
      <c r="AM8" s="630" t="e">
        <f t="shared" si="0"/>
        <v>#VALUE!</v>
      </c>
      <c r="AN8" s="619" t="e">
        <f>SUMIFS('[21]lương đơn giá'!AY:AY,'[21]lương đơn giá'!$D:$D,'[21]bc tổng hợp'!$B8)</f>
        <v>#VALUE!</v>
      </c>
      <c r="AO8" s="619" t="e">
        <f>SUMIFS('[21]lương đơn giá'!BN:BN,'[21]lương đơn giá'!$D:$D,'[21]bc tổng hợp'!$B8)</f>
        <v>#VALUE!</v>
      </c>
      <c r="AP8" s="66" t="e">
        <f t="shared" ref="AP8:AP17" si="1">AM8-AN8-AO8</f>
        <v>#VALUE!</v>
      </c>
      <c r="AQ8" s="66" t="e">
        <f t="shared" ref="AQ8:AQ17" si="2">+C22+D8+F8-AO8</f>
        <v>#VALUE!</v>
      </c>
      <c r="AR8" s="66" t="e">
        <f t="shared" ref="AR8:AR17" si="3">D22+H8+Z8+AA8+AB8</f>
        <v>#VALUE!</v>
      </c>
    </row>
    <row r="9" spans="1:44" ht="16.5">
      <c r="A9" s="628">
        <v>3</v>
      </c>
      <c r="B9" s="629" t="s">
        <v>42</v>
      </c>
      <c r="C9" s="619" t="e">
        <f>SUMIFS('[21]lương đơn giá'!K:K,'[21]lương đơn giá'!$D:$D,'[21]bc tổng hợp'!$B9)</f>
        <v>#VALUE!</v>
      </c>
      <c r="D9" s="619" t="e">
        <f>SUMIFS('[21]lương đơn giá'!L:L,'[21]lương đơn giá'!$D:$D,'[21]bc tổng hợp'!$B9)</f>
        <v>#VALUE!</v>
      </c>
      <c r="E9" s="619" t="e">
        <f>SUMIFS('[21]lương đơn giá'!M:M,'[21]lương đơn giá'!$D:$D,'[21]bc tổng hợp'!$B9)</f>
        <v>#VALUE!</v>
      </c>
      <c r="F9" s="619" t="e">
        <f>SUMIFS('[21]lương đơn giá'!N:N,'[21]lương đơn giá'!$D:$D,'[21]bc tổng hợp'!$B9)</f>
        <v>#VALUE!</v>
      </c>
      <c r="G9" s="619" t="e">
        <f>SUMIFS('[21]lương đơn giá'!O:O,'[21]lương đơn giá'!$D:$D,'[21]bc tổng hợp'!$B9)</f>
        <v>#VALUE!</v>
      </c>
      <c r="H9" s="619" t="e">
        <f>SUMIFS('[21]lương đơn giá'!P:P,'[21]lương đơn giá'!$D:$D,'[21]bc tổng hợp'!$B9)</f>
        <v>#VALUE!</v>
      </c>
      <c r="I9" s="619" t="e">
        <f>SUMIFS('[21]lương đơn giá'!Q:Q,'[21]lương đơn giá'!$D:$D,'[21]bc tổng hợp'!$B9)</f>
        <v>#VALUE!</v>
      </c>
      <c r="J9" s="619" t="e">
        <f>SUMIFS('[21]lương đơn giá'!R:R,'[21]lương đơn giá'!$D:$D,'[21]bc tổng hợp'!$B9)</f>
        <v>#VALUE!</v>
      </c>
      <c r="K9" s="619" t="e">
        <f>SUMIFS('[21]lương đơn giá'!S:S,'[21]lương đơn giá'!$D:$D,'[21]bc tổng hợp'!$B9)</f>
        <v>#VALUE!</v>
      </c>
      <c r="L9" s="619" t="e">
        <f>SUMIFS('[21]lương đơn giá'!T:T,'[21]lương đơn giá'!$D:$D,'[21]bc tổng hợp'!$B9)</f>
        <v>#VALUE!</v>
      </c>
      <c r="M9" s="619" t="e">
        <f>SUMIFS('[21]lương đơn giá'!U:U,'[21]lương đơn giá'!$D:$D,'[21]bc tổng hợp'!$B9)</f>
        <v>#VALUE!</v>
      </c>
      <c r="N9" s="619" t="e">
        <f>SUMIFS('[21]lương đơn giá'!V:V,'[21]lương đơn giá'!$D:$D,'[21]bc tổng hợp'!$B9)</f>
        <v>#VALUE!</v>
      </c>
      <c r="O9" s="619" t="e">
        <f>SUMIFS('[21]lương đơn giá'!W:W,'[21]lương đơn giá'!$D:$D,'[21]bc tổng hợp'!$B9)</f>
        <v>#VALUE!</v>
      </c>
      <c r="P9" s="619" t="e">
        <f>SUMIFS('[21]lương đơn giá'!X:X,'[21]lương đơn giá'!$D:$D,'[21]bc tổng hợp'!$B9)</f>
        <v>#VALUE!</v>
      </c>
      <c r="Q9" s="619" t="e">
        <f>SUMIFS('[21]lương đơn giá'!Y:Y,'[21]lương đơn giá'!$D:$D,'[21]bc tổng hợp'!$B9)</f>
        <v>#VALUE!</v>
      </c>
      <c r="R9" s="619" t="e">
        <f>SUMIFS('[21]lương đơn giá'!Z:Z,'[21]lương đơn giá'!$D:$D,'[21]bc tổng hợp'!$B9)</f>
        <v>#VALUE!</v>
      </c>
      <c r="S9" s="619" t="e">
        <f>SUMIFS('[21]lương đơn giá'!AA:AA,'[21]lương đơn giá'!$D:$D,'[21]bc tổng hợp'!$B9)</f>
        <v>#VALUE!</v>
      </c>
      <c r="T9" s="619" t="e">
        <f>SUMIFS('[21]lương đơn giá'!AB:AB,'[21]lương đơn giá'!$D:$D,'[21]bc tổng hợp'!$B9)</f>
        <v>#VALUE!</v>
      </c>
      <c r="U9" s="619" t="e">
        <f>SUMIFS('[21]lương đơn giá'!AC:AC,'[21]lương đơn giá'!$D:$D,'[21]bc tổng hợp'!$B9)</f>
        <v>#VALUE!</v>
      </c>
      <c r="V9" s="619" t="e">
        <f>SUMIFS('[21]lương đơn giá'!AD:AD,'[21]lương đơn giá'!$D:$D,'[21]bc tổng hợp'!$B9)</f>
        <v>#VALUE!</v>
      </c>
      <c r="W9" s="619" t="e">
        <f>SUMIFS('[21]lương đơn giá'!AE:AE,'[21]lương đơn giá'!$D:$D,'[21]bc tổng hợp'!$B9)</f>
        <v>#VALUE!</v>
      </c>
      <c r="X9" s="619" t="e">
        <f>SUMIFS('[21]lương đơn giá'!AF:AF,'[21]lương đơn giá'!$D:$D,'[21]bc tổng hợp'!$B9)</f>
        <v>#VALUE!</v>
      </c>
      <c r="Y9" s="619" t="e">
        <f>SUMIFS('[21]lương đơn giá'!AG:AG,'[21]lương đơn giá'!$D:$D,'[21]bc tổng hợp'!$B9)</f>
        <v>#VALUE!</v>
      </c>
      <c r="Z9" s="619" t="e">
        <f>SUMIFS('[21]lương đơn giá'!AH:AH,'[21]lương đơn giá'!$D:$D,'[21]bc tổng hợp'!$B9)</f>
        <v>#VALUE!</v>
      </c>
      <c r="AA9" s="619" t="e">
        <f>SUMIFS('[21]lương đơn giá'!AI:AI,'[21]lương đơn giá'!$D:$D,'[21]bc tổng hợp'!$B9)</f>
        <v>#VALUE!</v>
      </c>
      <c r="AB9" s="619" t="e">
        <f>SUMIFS('[21]lương đơn giá'!AJ:AJ,'[21]lương đơn giá'!$D:$D,'[21]bc tổng hợp'!$B9)</f>
        <v>#VALUE!</v>
      </c>
      <c r="AC9" s="619" t="e">
        <f>SUMIFS('[21]lương đơn giá'!AK:AK,'[21]lương đơn giá'!$D:$D,'[21]bc tổng hợp'!$B9)</f>
        <v>#VALUE!</v>
      </c>
      <c r="AD9" s="619"/>
      <c r="AE9" s="619"/>
      <c r="AF9" s="619"/>
      <c r="AG9" s="619"/>
      <c r="AH9" s="619"/>
      <c r="AI9" s="619"/>
      <c r="AJ9" s="619"/>
      <c r="AK9" s="619"/>
      <c r="AL9" s="619"/>
      <c r="AM9" s="630" t="e">
        <f t="shared" si="0"/>
        <v>#VALUE!</v>
      </c>
      <c r="AN9" s="619" t="e">
        <f>SUMIFS('[21]lương đơn giá'!AY:AY,'[21]lương đơn giá'!$D:$D,'[21]bc tổng hợp'!$B9)</f>
        <v>#VALUE!</v>
      </c>
      <c r="AO9" s="619" t="e">
        <f>SUMIFS('[21]lương đơn giá'!BN:BN,'[21]lương đơn giá'!$D:$D,'[21]bc tổng hợp'!$B9)</f>
        <v>#VALUE!</v>
      </c>
      <c r="AP9" s="66" t="e">
        <f t="shared" si="1"/>
        <v>#VALUE!</v>
      </c>
      <c r="AQ9" s="66" t="e">
        <f t="shared" si="2"/>
        <v>#VALUE!</v>
      </c>
      <c r="AR9" s="66" t="e">
        <f t="shared" si="3"/>
        <v>#VALUE!</v>
      </c>
    </row>
    <row r="10" spans="1:44" ht="16.5">
      <c r="A10" s="628">
        <v>4</v>
      </c>
      <c r="B10" s="629" t="s">
        <v>63</v>
      </c>
      <c r="C10" s="619" t="e">
        <f>SUMIFS('[21]lương đơn giá'!K:K,'[21]lương đơn giá'!$D:$D,'[21]bc tổng hợp'!$B10)</f>
        <v>#VALUE!</v>
      </c>
      <c r="D10" s="619" t="e">
        <f>SUMIFS('[21]lương đơn giá'!L:L,'[21]lương đơn giá'!$D:$D,'[21]bc tổng hợp'!$B10)</f>
        <v>#VALUE!</v>
      </c>
      <c r="E10" s="619" t="e">
        <f>SUMIFS('[21]lương đơn giá'!M:M,'[21]lương đơn giá'!$D:$D,'[21]bc tổng hợp'!$B10)</f>
        <v>#VALUE!</v>
      </c>
      <c r="F10" s="619" t="e">
        <f>SUMIFS('[21]lương đơn giá'!N:N,'[21]lương đơn giá'!$D:$D,'[21]bc tổng hợp'!$B10)</f>
        <v>#VALUE!</v>
      </c>
      <c r="G10" s="619" t="e">
        <f>SUMIFS('[21]lương đơn giá'!O:O,'[21]lương đơn giá'!$D:$D,'[21]bc tổng hợp'!$B10)</f>
        <v>#VALUE!</v>
      </c>
      <c r="H10" s="619" t="e">
        <f>SUMIFS('[21]lương đơn giá'!P:P,'[21]lương đơn giá'!$D:$D,'[21]bc tổng hợp'!$B10)</f>
        <v>#VALUE!</v>
      </c>
      <c r="I10" s="619" t="e">
        <f>SUMIFS('[21]lương đơn giá'!Q:Q,'[21]lương đơn giá'!$D:$D,'[21]bc tổng hợp'!$B10)</f>
        <v>#VALUE!</v>
      </c>
      <c r="J10" s="619" t="e">
        <f>SUMIFS('[21]lương đơn giá'!R:R,'[21]lương đơn giá'!$D:$D,'[21]bc tổng hợp'!$B10)</f>
        <v>#VALUE!</v>
      </c>
      <c r="K10" s="619" t="e">
        <f>SUMIFS('[21]lương đơn giá'!S:S,'[21]lương đơn giá'!$D:$D,'[21]bc tổng hợp'!$B10)</f>
        <v>#VALUE!</v>
      </c>
      <c r="L10" s="619" t="e">
        <f>SUMIFS('[21]lương đơn giá'!T:T,'[21]lương đơn giá'!$D:$D,'[21]bc tổng hợp'!$B10)</f>
        <v>#VALUE!</v>
      </c>
      <c r="M10" s="619" t="e">
        <f>SUMIFS('[21]lương đơn giá'!U:U,'[21]lương đơn giá'!$D:$D,'[21]bc tổng hợp'!$B10)</f>
        <v>#VALUE!</v>
      </c>
      <c r="N10" s="619" t="e">
        <f>SUMIFS('[21]lương đơn giá'!V:V,'[21]lương đơn giá'!$D:$D,'[21]bc tổng hợp'!$B10)</f>
        <v>#VALUE!</v>
      </c>
      <c r="O10" s="619" t="e">
        <f>SUMIFS('[21]lương đơn giá'!W:W,'[21]lương đơn giá'!$D:$D,'[21]bc tổng hợp'!$B10)</f>
        <v>#VALUE!</v>
      </c>
      <c r="P10" s="619" t="e">
        <f>SUMIFS('[21]lương đơn giá'!X:X,'[21]lương đơn giá'!$D:$D,'[21]bc tổng hợp'!$B10)</f>
        <v>#VALUE!</v>
      </c>
      <c r="Q10" s="619" t="e">
        <f>SUMIFS('[21]lương đơn giá'!Y:Y,'[21]lương đơn giá'!$D:$D,'[21]bc tổng hợp'!$B10)</f>
        <v>#VALUE!</v>
      </c>
      <c r="R10" s="619" t="e">
        <f>SUMIFS('[21]lương đơn giá'!Z:Z,'[21]lương đơn giá'!$D:$D,'[21]bc tổng hợp'!$B10)</f>
        <v>#VALUE!</v>
      </c>
      <c r="S10" s="619" t="e">
        <f>SUMIFS('[21]lương đơn giá'!AA:AA,'[21]lương đơn giá'!$D:$D,'[21]bc tổng hợp'!$B10)</f>
        <v>#VALUE!</v>
      </c>
      <c r="T10" s="619" t="e">
        <f>SUMIFS('[21]lương đơn giá'!AB:AB,'[21]lương đơn giá'!$D:$D,'[21]bc tổng hợp'!$B10)</f>
        <v>#VALUE!</v>
      </c>
      <c r="U10" s="619" t="e">
        <f>SUMIFS('[21]lương đơn giá'!AC:AC,'[21]lương đơn giá'!$D:$D,'[21]bc tổng hợp'!$B10)</f>
        <v>#VALUE!</v>
      </c>
      <c r="V10" s="619" t="e">
        <f>SUMIFS('[21]lương đơn giá'!AD:AD,'[21]lương đơn giá'!$D:$D,'[21]bc tổng hợp'!$B10)</f>
        <v>#VALUE!</v>
      </c>
      <c r="W10" s="619" t="e">
        <f>SUMIFS('[21]lương đơn giá'!AE:AE,'[21]lương đơn giá'!$D:$D,'[21]bc tổng hợp'!$B10)</f>
        <v>#VALUE!</v>
      </c>
      <c r="X10" s="619" t="e">
        <f>SUMIFS('[21]lương đơn giá'!AF:AF,'[21]lương đơn giá'!$D:$D,'[21]bc tổng hợp'!$B10)</f>
        <v>#VALUE!</v>
      </c>
      <c r="Y10" s="619" t="e">
        <f>SUMIFS('[21]lương đơn giá'!AG:AG,'[21]lương đơn giá'!$D:$D,'[21]bc tổng hợp'!$B10)</f>
        <v>#VALUE!</v>
      </c>
      <c r="Z10" s="619" t="e">
        <f>SUMIFS('[21]lương đơn giá'!AH:AH,'[21]lương đơn giá'!$D:$D,'[21]bc tổng hợp'!$B10)</f>
        <v>#VALUE!</v>
      </c>
      <c r="AA10" s="619" t="e">
        <f>SUMIFS('[21]lương đơn giá'!AI:AI,'[21]lương đơn giá'!$D:$D,'[21]bc tổng hợp'!$B10)</f>
        <v>#VALUE!</v>
      </c>
      <c r="AB10" s="619" t="e">
        <f>SUMIFS('[21]lương đơn giá'!AJ:AJ,'[21]lương đơn giá'!$D:$D,'[21]bc tổng hợp'!$B10)</f>
        <v>#VALUE!</v>
      </c>
      <c r="AC10" s="619" t="e">
        <f>SUMIFS('[21]lương đơn giá'!AK:AK,'[21]lương đơn giá'!$D:$D,'[21]bc tổng hợp'!$B10)</f>
        <v>#VALUE!</v>
      </c>
      <c r="AD10" s="619"/>
      <c r="AE10" s="619"/>
      <c r="AF10" s="619"/>
      <c r="AG10" s="619"/>
      <c r="AH10" s="619"/>
      <c r="AI10" s="619"/>
      <c r="AJ10" s="619"/>
      <c r="AK10" s="619"/>
      <c r="AL10" s="619"/>
      <c r="AM10" s="630" t="e">
        <f t="shared" si="0"/>
        <v>#VALUE!</v>
      </c>
      <c r="AN10" s="619" t="e">
        <f>SUMIFS('[21]lương đơn giá'!AY:AY,'[21]lương đơn giá'!$D:$D,'[21]bc tổng hợp'!$B10)</f>
        <v>#VALUE!</v>
      </c>
      <c r="AO10" s="619" t="e">
        <f>SUMIFS('[21]lương đơn giá'!BN:BN,'[21]lương đơn giá'!$D:$D,'[21]bc tổng hợp'!$B10)</f>
        <v>#VALUE!</v>
      </c>
      <c r="AP10" s="66" t="e">
        <f t="shared" si="1"/>
        <v>#VALUE!</v>
      </c>
      <c r="AQ10" s="66" t="e">
        <f t="shared" si="2"/>
        <v>#VALUE!</v>
      </c>
      <c r="AR10" s="66" t="e">
        <f t="shared" si="3"/>
        <v>#VALUE!</v>
      </c>
    </row>
    <row r="11" spans="1:44" ht="16.5">
      <c r="A11" s="628">
        <v>5</v>
      </c>
      <c r="B11" s="629" t="s">
        <v>70</v>
      </c>
      <c r="C11" s="619" t="e">
        <f>SUMIFS('[21]lương đơn giá'!K:K,'[21]lương đơn giá'!$D:$D,'[21]bc tổng hợp'!$B11)</f>
        <v>#VALUE!</v>
      </c>
      <c r="D11" s="619" t="e">
        <f>SUMIFS('[21]lương đơn giá'!L:L,'[21]lương đơn giá'!$D:$D,'[21]bc tổng hợp'!$B11)</f>
        <v>#VALUE!</v>
      </c>
      <c r="E11" s="619" t="e">
        <f>SUMIFS('[21]lương đơn giá'!M:M,'[21]lương đơn giá'!$D:$D,'[21]bc tổng hợp'!$B11)</f>
        <v>#VALUE!</v>
      </c>
      <c r="F11" s="619" t="e">
        <f>SUMIFS('[21]lương đơn giá'!N:N,'[21]lương đơn giá'!$D:$D,'[21]bc tổng hợp'!$B11)</f>
        <v>#VALUE!</v>
      </c>
      <c r="G11" s="619" t="e">
        <f>SUMIFS('[21]lương đơn giá'!O:O,'[21]lương đơn giá'!$D:$D,'[21]bc tổng hợp'!$B11)</f>
        <v>#VALUE!</v>
      </c>
      <c r="H11" s="619" t="e">
        <f>SUMIFS('[21]lương đơn giá'!P:P,'[21]lương đơn giá'!$D:$D,'[21]bc tổng hợp'!$B11)</f>
        <v>#VALUE!</v>
      </c>
      <c r="I11" s="619" t="e">
        <f>SUMIFS('[21]lương đơn giá'!Q:Q,'[21]lương đơn giá'!$D:$D,'[21]bc tổng hợp'!$B11)</f>
        <v>#VALUE!</v>
      </c>
      <c r="J11" s="619" t="e">
        <f>SUMIFS('[21]lương đơn giá'!R:R,'[21]lương đơn giá'!$D:$D,'[21]bc tổng hợp'!$B11)</f>
        <v>#VALUE!</v>
      </c>
      <c r="K11" s="619" t="e">
        <f>SUMIFS('[21]lương đơn giá'!S:S,'[21]lương đơn giá'!$D:$D,'[21]bc tổng hợp'!$B11)</f>
        <v>#VALUE!</v>
      </c>
      <c r="L11" s="619" t="e">
        <f>SUMIFS('[21]lương đơn giá'!T:T,'[21]lương đơn giá'!$D:$D,'[21]bc tổng hợp'!$B11)</f>
        <v>#VALUE!</v>
      </c>
      <c r="M11" s="619" t="e">
        <f>SUMIFS('[21]lương đơn giá'!U:U,'[21]lương đơn giá'!$D:$D,'[21]bc tổng hợp'!$B11)</f>
        <v>#VALUE!</v>
      </c>
      <c r="N11" s="619" t="e">
        <f>SUMIFS('[21]lương đơn giá'!V:V,'[21]lương đơn giá'!$D:$D,'[21]bc tổng hợp'!$B11)</f>
        <v>#VALUE!</v>
      </c>
      <c r="O11" s="619" t="e">
        <f>SUMIFS('[21]lương đơn giá'!W:W,'[21]lương đơn giá'!$D:$D,'[21]bc tổng hợp'!$B11)</f>
        <v>#VALUE!</v>
      </c>
      <c r="P11" s="619" t="e">
        <f>SUMIFS('[21]lương đơn giá'!X:X,'[21]lương đơn giá'!$D:$D,'[21]bc tổng hợp'!$B11)</f>
        <v>#VALUE!</v>
      </c>
      <c r="Q11" s="619" t="e">
        <f>SUMIFS('[21]lương đơn giá'!Y:Y,'[21]lương đơn giá'!$D:$D,'[21]bc tổng hợp'!$B11)</f>
        <v>#VALUE!</v>
      </c>
      <c r="R11" s="619" t="e">
        <f>SUMIFS('[21]lương đơn giá'!Z:Z,'[21]lương đơn giá'!$D:$D,'[21]bc tổng hợp'!$B11)</f>
        <v>#VALUE!</v>
      </c>
      <c r="S11" s="619" t="e">
        <f>SUMIFS('[21]lương đơn giá'!AA:AA,'[21]lương đơn giá'!$D:$D,'[21]bc tổng hợp'!$B11)</f>
        <v>#VALUE!</v>
      </c>
      <c r="T11" s="619" t="e">
        <f>SUMIFS('[21]lương đơn giá'!AB:AB,'[21]lương đơn giá'!$D:$D,'[21]bc tổng hợp'!$B11)</f>
        <v>#VALUE!</v>
      </c>
      <c r="U11" s="619" t="e">
        <f>SUMIFS('[21]lương đơn giá'!AC:AC,'[21]lương đơn giá'!$D:$D,'[21]bc tổng hợp'!$B11)</f>
        <v>#VALUE!</v>
      </c>
      <c r="V11" s="619" t="e">
        <f>SUMIFS('[21]lương đơn giá'!AD:AD,'[21]lương đơn giá'!$D:$D,'[21]bc tổng hợp'!$B11)</f>
        <v>#VALUE!</v>
      </c>
      <c r="W11" s="619" t="e">
        <f>SUMIFS('[21]lương đơn giá'!AE:AE,'[21]lương đơn giá'!$D:$D,'[21]bc tổng hợp'!$B11)</f>
        <v>#VALUE!</v>
      </c>
      <c r="X11" s="619" t="e">
        <f>SUMIFS('[21]lương đơn giá'!AF:AF,'[21]lương đơn giá'!$D:$D,'[21]bc tổng hợp'!$B11)</f>
        <v>#VALUE!</v>
      </c>
      <c r="Y11" s="619" t="e">
        <f>SUMIFS('[21]lương đơn giá'!AG:AG,'[21]lương đơn giá'!$D:$D,'[21]bc tổng hợp'!$B11)</f>
        <v>#VALUE!</v>
      </c>
      <c r="Z11" s="619" t="e">
        <f>SUMIFS('[21]lương đơn giá'!AH:AH,'[21]lương đơn giá'!$D:$D,'[21]bc tổng hợp'!$B11)</f>
        <v>#VALUE!</v>
      </c>
      <c r="AA11" s="619" t="e">
        <f>SUMIFS('[21]lương đơn giá'!AI:AI,'[21]lương đơn giá'!$D:$D,'[21]bc tổng hợp'!$B11)</f>
        <v>#VALUE!</v>
      </c>
      <c r="AB11" s="619" t="e">
        <f>SUMIFS('[21]lương đơn giá'!AJ:AJ,'[21]lương đơn giá'!$D:$D,'[21]bc tổng hợp'!$B11)</f>
        <v>#VALUE!</v>
      </c>
      <c r="AC11" s="619" t="e">
        <f>SUMIFS('[21]lương đơn giá'!AK:AK,'[21]lương đơn giá'!$D:$D,'[21]bc tổng hợp'!$B11)</f>
        <v>#VALUE!</v>
      </c>
      <c r="AD11" s="619"/>
      <c r="AE11" s="619"/>
      <c r="AF11" s="619"/>
      <c r="AG11" s="619"/>
      <c r="AH11" s="619"/>
      <c r="AI11" s="619"/>
      <c r="AJ11" s="619"/>
      <c r="AK11" s="619"/>
      <c r="AL11" s="619"/>
      <c r="AM11" s="630" t="e">
        <f t="shared" si="0"/>
        <v>#VALUE!</v>
      </c>
      <c r="AN11" s="619" t="e">
        <f>SUMIFS('[21]lương đơn giá'!AY:AY,'[21]lương đơn giá'!$D:$D,'[21]bc tổng hợp'!$B11)</f>
        <v>#VALUE!</v>
      </c>
      <c r="AO11" s="619" t="e">
        <f>SUMIFS('[21]lương đơn giá'!BN:BN,'[21]lương đơn giá'!$D:$D,'[21]bc tổng hợp'!$B11)</f>
        <v>#VALUE!</v>
      </c>
      <c r="AP11" s="66" t="e">
        <f t="shared" si="1"/>
        <v>#VALUE!</v>
      </c>
      <c r="AQ11" s="66" t="e">
        <f t="shared" si="2"/>
        <v>#VALUE!</v>
      </c>
      <c r="AR11" s="66" t="e">
        <f t="shared" si="3"/>
        <v>#VALUE!</v>
      </c>
    </row>
    <row r="12" spans="1:44" ht="16.5">
      <c r="A12" s="628">
        <v>6</v>
      </c>
      <c r="B12" s="629" t="s">
        <v>79</v>
      </c>
      <c r="C12" s="619" t="e">
        <f>SUMIFS('[21]lương đơn giá'!K:K,'[21]lương đơn giá'!$D:$D,'[21]bc tổng hợp'!$B12)</f>
        <v>#VALUE!</v>
      </c>
      <c r="D12" s="619" t="e">
        <f>SUMIFS('[21]lương đơn giá'!L:L,'[21]lương đơn giá'!$D:$D,'[21]bc tổng hợp'!$B12)</f>
        <v>#VALUE!</v>
      </c>
      <c r="E12" s="619" t="e">
        <f>SUMIFS('[21]lương đơn giá'!M:M,'[21]lương đơn giá'!$D:$D,'[21]bc tổng hợp'!$B12)</f>
        <v>#VALUE!</v>
      </c>
      <c r="F12" s="619" t="e">
        <f>SUMIFS('[21]lương đơn giá'!N:N,'[21]lương đơn giá'!$D:$D,'[21]bc tổng hợp'!$B12)</f>
        <v>#VALUE!</v>
      </c>
      <c r="G12" s="619" t="e">
        <f>SUMIFS('[21]lương đơn giá'!O:O,'[21]lương đơn giá'!$D:$D,'[21]bc tổng hợp'!$B12)</f>
        <v>#VALUE!</v>
      </c>
      <c r="H12" s="619" t="e">
        <f>SUMIFS('[21]lương đơn giá'!P:P,'[21]lương đơn giá'!$D:$D,'[21]bc tổng hợp'!$B12)</f>
        <v>#VALUE!</v>
      </c>
      <c r="I12" s="619" t="e">
        <f>SUMIFS('[21]lương đơn giá'!Q:Q,'[21]lương đơn giá'!$D:$D,'[21]bc tổng hợp'!$B12)</f>
        <v>#VALUE!</v>
      </c>
      <c r="J12" s="619" t="e">
        <f>SUMIFS('[21]lương đơn giá'!R:R,'[21]lương đơn giá'!$D:$D,'[21]bc tổng hợp'!$B12)</f>
        <v>#VALUE!</v>
      </c>
      <c r="K12" s="619" t="e">
        <f>SUMIFS('[21]lương đơn giá'!S:S,'[21]lương đơn giá'!$D:$D,'[21]bc tổng hợp'!$B12)</f>
        <v>#VALUE!</v>
      </c>
      <c r="L12" s="619" t="e">
        <f>SUMIFS('[21]lương đơn giá'!T:T,'[21]lương đơn giá'!$D:$D,'[21]bc tổng hợp'!$B12)</f>
        <v>#VALUE!</v>
      </c>
      <c r="M12" s="619" t="e">
        <f>SUMIFS('[21]lương đơn giá'!U:U,'[21]lương đơn giá'!$D:$D,'[21]bc tổng hợp'!$B12)</f>
        <v>#VALUE!</v>
      </c>
      <c r="N12" s="619" t="e">
        <f>SUMIFS('[21]lương đơn giá'!V:V,'[21]lương đơn giá'!$D:$D,'[21]bc tổng hợp'!$B12)</f>
        <v>#VALUE!</v>
      </c>
      <c r="O12" s="619" t="e">
        <f>SUMIFS('[21]lương đơn giá'!W:W,'[21]lương đơn giá'!$D:$D,'[21]bc tổng hợp'!$B12)</f>
        <v>#VALUE!</v>
      </c>
      <c r="P12" s="619" t="e">
        <f>SUMIFS('[21]lương đơn giá'!X:X,'[21]lương đơn giá'!$D:$D,'[21]bc tổng hợp'!$B12)</f>
        <v>#VALUE!</v>
      </c>
      <c r="Q12" s="619" t="e">
        <f>SUMIFS('[21]lương đơn giá'!Y:Y,'[21]lương đơn giá'!$D:$D,'[21]bc tổng hợp'!$B12)</f>
        <v>#VALUE!</v>
      </c>
      <c r="R12" s="619" t="e">
        <f>SUMIFS('[21]lương đơn giá'!Z:Z,'[21]lương đơn giá'!$D:$D,'[21]bc tổng hợp'!$B12)</f>
        <v>#VALUE!</v>
      </c>
      <c r="S12" s="619" t="e">
        <f>SUMIFS('[21]lương đơn giá'!AA:AA,'[21]lương đơn giá'!$D:$D,'[21]bc tổng hợp'!$B12)</f>
        <v>#VALUE!</v>
      </c>
      <c r="T12" s="619" t="e">
        <f>SUMIFS('[21]lương đơn giá'!AB:AB,'[21]lương đơn giá'!$D:$D,'[21]bc tổng hợp'!$B12)</f>
        <v>#VALUE!</v>
      </c>
      <c r="U12" s="619" t="e">
        <f>SUMIFS('[21]lương đơn giá'!AC:AC,'[21]lương đơn giá'!$D:$D,'[21]bc tổng hợp'!$B12)</f>
        <v>#VALUE!</v>
      </c>
      <c r="V12" s="619" t="e">
        <f>SUMIFS('[21]lương đơn giá'!AD:AD,'[21]lương đơn giá'!$D:$D,'[21]bc tổng hợp'!$B12)</f>
        <v>#VALUE!</v>
      </c>
      <c r="W12" s="619" t="e">
        <f>SUMIFS('[21]lương đơn giá'!AE:AE,'[21]lương đơn giá'!$D:$D,'[21]bc tổng hợp'!$B12)</f>
        <v>#VALUE!</v>
      </c>
      <c r="X12" s="619" t="e">
        <f>SUMIFS('[21]lương đơn giá'!AF:AF,'[21]lương đơn giá'!$D:$D,'[21]bc tổng hợp'!$B12)</f>
        <v>#VALUE!</v>
      </c>
      <c r="Y12" s="619" t="e">
        <f>SUMIFS('[21]lương đơn giá'!AG:AG,'[21]lương đơn giá'!$D:$D,'[21]bc tổng hợp'!$B12)</f>
        <v>#VALUE!</v>
      </c>
      <c r="Z12" s="619" t="e">
        <f>SUMIFS('[21]lương đơn giá'!AH:AH,'[21]lương đơn giá'!$D:$D,'[21]bc tổng hợp'!$B12)</f>
        <v>#VALUE!</v>
      </c>
      <c r="AA12" s="619" t="e">
        <f>SUMIFS('[21]lương đơn giá'!AI:AI,'[21]lương đơn giá'!$D:$D,'[21]bc tổng hợp'!$B12)</f>
        <v>#VALUE!</v>
      </c>
      <c r="AB12" s="619" t="e">
        <f>SUMIFS('[21]lương đơn giá'!AJ:AJ,'[21]lương đơn giá'!$D:$D,'[21]bc tổng hợp'!$B12)</f>
        <v>#VALUE!</v>
      </c>
      <c r="AC12" s="619" t="e">
        <f>SUMIFS('[21]lương đơn giá'!AK:AK,'[21]lương đơn giá'!$D:$D,'[21]bc tổng hợp'!$B12)</f>
        <v>#VALUE!</v>
      </c>
      <c r="AD12" s="619"/>
      <c r="AE12" s="619"/>
      <c r="AF12" s="619"/>
      <c r="AG12" s="619"/>
      <c r="AH12" s="619"/>
      <c r="AI12" s="619"/>
      <c r="AJ12" s="619"/>
      <c r="AK12" s="619"/>
      <c r="AL12" s="619"/>
      <c r="AM12" s="630" t="e">
        <f t="shared" si="0"/>
        <v>#VALUE!</v>
      </c>
      <c r="AN12" s="619" t="e">
        <f>SUMIFS('[21]lương đơn giá'!AY:AY,'[21]lương đơn giá'!$D:$D,'[21]bc tổng hợp'!$B12)</f>
        <v>#VALUE!</v>
      </c>
      <c r="AO12" s="619" t="e">
        <f>SUMIFS('[21]lương đơn giá'!BN:BN,'[21]lương đơn giá'!$D:$D,'[21]bc tổng hợp'!$B12)</f>
        <v>#VALUE!</v>
      </c>
      <c r="AP12" s="66" t="e">
        <f t="shared" si="1"/>
        <v>#VALUE!</v>
      </c>
      <c r="AQ12" s="66" t="e">
        <f t="shared" si="2"/>
        <v>#VALUE!</v>
      </c>
      <c r="AR12" s="66" t="e">
        <f t="shared" si="3"/>
        <v>#VALUE!</v>
      </c>
    </row>
    <row r="13" spans="1:44" ht="16.5">
      <c r="A13" s="628">
        <v>7</v>
      </c>
      <c r="B13" s="629" t="s">
        <v>87</v>
      </c>
      <c r="C13" s="619" t="e">
        <f>SUMIFS('[21]lương đơn giá'!K:K,'[21]lương đơn giá'!$D:$D,'[21]bc tổng hợp'!$B13)</f>
        <v>#VALUE!</v>
      </c>
      <c r="D13" s="619" t="e">
        <f>SUMIFS('[21]lương đơn giá'!L:L,'[21]lương đơn giá'!$D:$D,'[21]bc tổng hợp'!$B13)</f>
        <v>#VALUE!</v>
      </c>
      <c r="E13" s="619" t="e">
        <f>SUMIFS('[21]lương đơn giá'!M:M,'[21]lương đơn giá'!$D:$D,'[21]bc tổng hợp'!$B13)</f>
        <v>#VALUE!</v>
      </c>
      <c r="F13" s="619" t="e">
        <f>SUMIFS('[21]lương đơn giá'!N:N,'[21]lương đơn giá'!$D:$D,'[21]bc tổng hợp'!$B13)</f>
        <v>#VALUE!</v>
      </c>
      <c r="G13" s="619" t="e">
        <f>SUMIFS('[21]lương đơn giá'!O:O,'[21]lương đơn giá'!$D:$D,'[21]bc tổng hợp'!$B13)</f>
        <v>#VALUE!</v>
      </c>
      <c r="H13" s="619" t="e">
        <f>SUMIFS('[21]lương đơn giá'!P:P,'[21]lương đơn giá'!$D:$D,'[21]bc tổng hợp'!$B13)</f>
        <v>#VALUE!</v>
      </c>
      <c r="I13" s="619" t="e">
        <f>SUMIFS('[21]lương đơn giá'!Q:Q,'[21]lương đơn giá'!$D:$D,'[21]bc tổng hợp'!$B13)</f>
        <v>#VALUE!</v>
      </c>
      <c r="J13" s="619" t="e">
        <f>SUMIFS('[21]lương đơn giá'!R:R,'[21]lương đơn giá'!$D:$D,'[21]bc tổng hợp'!$B13)</f>
        <v>#VALUE!</v>
      </c>
      <c r="K13" s="619" t="e">
        <f>SUMIFS('[21]lương đơn giá'!S:S,'[21]lương đơn giá'!$D:$D,'[21]bc tổng hợp'!$B13)</f>
        <v>#VALUE!</v>
      </c>
      <c r="L13" s="619" t="e">
        <f>SUMIFS('[21]lương đơn giá'!T:T,'[21]lương đơn giá'!$D:$D,'[21]bc tổng hợp'!$B13)</f>
        <v>#VALUE!</v>
      </c>
      <c r="M13" s="619" t="e">
        <f>SUMIFS('[21]lương đơn giá'!U:U,'[21]lương đơn giá'!$D:$D,'[21]bc tổng hợp'!$B13)</f>
        <v>#VALUE!</v>
      </c>
      <c r="N13" s="619" t="e">
        <f>SUMIFS('[21]lương đơn giá'!V:V,'[21]lương đơn giá'!$D:$D,'[21]bc tổng hợp'!$B13)</f>
        <v>#VALUE!</v>
      </c>
      <c r="O13" s="619" t="e">
        <f>SUMIFS('[21]lương đơn giá'!W:W,'[21]lương đơn giá'!$D:$D,'[21]bc tổng hợp'!$B13)</f>
        <v>#VALUE!</v>
      </c>
      <c r="P13" s="619" t="e">
        <f>SUMIFS('[21]lương đơn giá'!X:X,'[21]lương đơn giá'!$D:$D,'[21]bc tổng hợp'!$B13)</f>
        <v>#VALUE!</v>
      </c>
      <c r="Q13" s="619" t="e">
        <f>SUMIFS('[21]lương đơn giá'!Y:Y,'[21]lương đơn giá'!$D:$D,'[21]bc tổng hợp'!$B13)</f>
        <v>#VALUE!</v>
      </c>
      <c r="R13" s="619" t="e">
        <f>SUMIFS('[21]lương đơn giá'!Z:Z,'[21]lương đơn giá'!$D:$D,'[21]bc tổng hợp'!$B13)</f>
        <v>#VALUE!</v>
      </c>
      <c r="S13" s="619" t="e">
        <f>SUMIFS('[21]lương đơn giá'!AA:AA,'[21]lương đơn giá'!$D:$D,'[21]bc tổng hợp'!$B13)</f>
        <v>#VALUE!</v>
      </c>
      <c r="T13" s="619" t="e">
        <f>SUMIFS('[21]lương đơn giá'!AB:AB,'[21]lương đơn giá'!$D:$D,'[21]bc tổng hợp'!$B13)</f>
        <v>#VALUE!</v>
      </c>
      <c r="U13" s="619" t="e">
        <f>SUMIFS('[21]lương đơn giá'!AC:AC,'[21]lương đơn giá'!$D:$D,'[21]bc tổng hợp'!$B13)</f>
        <v>#VALUE!</v>
      </c>
      <c r="V13" s="619" t="e">
        <f>SUMIFS('[21]lương đơn giá'!AD:AD,'[21]lương đơn giá'!$D:$D,'[21]bc tổng hợp'!$B13)</f>
        <v>#VALUE!</v>
      </c>
      <c r="W13" s="619" t="e">
        <f>SUMIFS('[21]lương đơn giá'!AE:AE,'[21]lương đơn giá'!$D:$D,'[21]bc tổng hợp'!$B13)</f>
        <v>#VALUE!</v>
      </c>
      <c r="X13" s="619" t="e">
        <f>SUMIFS('[21]lương đơn giá'!AF:AF,'[21]lương đơn giá'!$D:$D,'[21]bc tổng hợp'!$B13)</f>
        <v>#VALUE!</v>
      </c>
      <c r="Y13" s="619" t="e">
        <f>SUMIFS('[21]lương đơn giá'!AG:AG,'[21]lương đơn giá'!$D:$D,'[21]bc tổng hợp'!$B13)</f>
        <v>#VALUE!</v>
      </c>
      <c r="Z13" s="619" t="e">
        <f>SUMIFS('[21]lương đơn giá'!AH:AH,'[21]lương đơn giá'!$D:$D,'[21]bc tổng hợp'!$B13)</f>
        <v>#VALUE!</v>
      </c>
      <c r="AA13" s="619" t="e">
        <f>SUMIFS('[21]lương đơn giá'!AI:AI,'[21]lương đơn giá'!$D:$D,'[21]bc tổng hợp'!$B13)</f>
        <v>#VALUE!</v>
      </c>
      <c r="AB13" s="619" t="e">
        <f>SUMIFS('[21]lương đơn giá'!AJ:AJ,'[21]lương đơn giá'!$D:$D,'[21]bc tổng hợp'!$B13)</f>
        <v>#VALUE!</v>
      </c>
      <c r="AC13" s="619" t="e">
        <f>SUMIFS('[21]lương đơn giá'!AK:AK,'[21]lương đơn giá'!$D:$D,'[21]bc tổng hợp'!$B13)</f>
        <v>#VALUE!</v>
      </c>
      <c r="AD13" s="619"/>
      <c r="AE13" s="619"/>
      <c r="AF13" s="619"/>
      <c r="AG13" s="619"/>
      <c r="AH13" s="619"/>
      <c r="AI13" s="619"/>
      <c r="AJ13" s="619"/>
      <c r="AK13" s="619"/>
      <c r="AL13" s="619"/>
      <c r="AM13" s="630" t="e">
        <f t="shared" si="0"/>
        <v>#VALUE!</v>
      </c>
      <c r="AN13" s="619" t="e">
        <f>SUMIFS('[21]lương đơn giá'!AY:AY,'[21]lương đơn giá'!$D:$D,'[21]bc tổng hợp'!$B13)</f>
        <v>#VALUE!</v>
      </c>
      <c r="AO13" s="619" t="e">
        <f>SUMIFS('[21]lương đơn giá'!BN:BN,'[21]lương đơn giá'!$D:$D,'[21]bc tổng hợp'!$B13)</f>
        <v>#VALUE!</v>
      </c>
      <c r="AP13" s="66" t="e">
        <f t="shared" si="1"/>
        <v>#VALUE!</v>
      </c>
      <c r="AQ13" s="66" t="e">
        <f t="shared" si="2"/>
        <v>#VALUE!</v>
      </c>
      <c r="AR13" s="66" t="e">
        <f t="shared" si="3"/>
        <v>#VALUE!</v>
      </c>
    </row>
    <row r="14" spans="1:44" ht="16.5">
      <c r="A14" s="628">
        <v>8</v>
      </c>
      <c r="B14" s="629" t="s">
        <v>92</v>
      </c>
      <c r="C14" s="619" t="e">
        <f>SUMIFS('[21]lương đơn giá'!K:K,'[21]lương đơn giá'!$D:$D,'[21]bc tổng hợp'!$B14)</f>
        <v>#VALUE!</v>
      </c>
      <c r="D14" s="619" t="e">
        <f>SUMIFS('[21]lương đơn giá'!L:L,'[21]lương đơn giá'!$D:$D,'[21]bc tổng hợp'!$B14)</f>
        <v>#VALUE!</v>
      </c>
      <c r="E14" s="619" t="e">
        <f>SUMIFS('[21]lương đơn giá'!M:M,'[21]lương đơn giá'!$D:$D,'[21]bc tổng hợp'!$B14)</f>
        <v>#VALUE!</v>
      </c>
      <c r="F14" s="619" t="e">
        <f>SUMIFS('[21]lương đơn giá'!N:N,'[21]lương đơn giá'!$D:$D,'[21]bc tổng hợp'!$B14)</f>
        <v>#VALUE!</v>
      </c>
      <c r="G14" s="619" t="e">
        <f>SUMIFS('[21]lương đơn giá'!O:O,'[21]lương đơn giá'!$D:$D,'[21]bc tổng hợp'!$B14)</f>
        <v>#VALUE!</v>
      </c>
      <c r="H14" s="619" t="e">
        <f>SUMIFS('[21]lương đơn giá'!P:P,'[21]lương đơn giá'!$D:$D,'[21]bc tổng hợp'!$B14)</f>
        <v>#VALUE!</v>
      </c>
      <c r="I14" s="619" t="e">
        <f>SUMIFS('[21]lương đơn giá'!Q:Q,'[21]lương đơn giá'!$D:$D,'[21]bc tổng hợp'!$B14)</f>
        <v>#VALUE!</v>
      </c>
      <c r="J14" s="619" t="e">
        <f>SUMIFS('[21]lương đơn giá'!R:R,'[21]lương đơn giá'!$D:$D,'[21]bc tổng hợp'!$B14)</f>
        <v>#VALUE!</v>
      </c>
      <c r="K14" s="619" t="e">
        <f>SUMIFS('[21]lương đơn giá'!S:S,'[21]lương đơn giá'!$D:$D,'[21]bc tổng hợp'!$B14)</f>
        <v>#VALUE!</v>
      </c>
      <c r="L14" s="619" t="e">
        <f>SUMIFS('[21]lương đơn giá'!T:T,'[21]lương đơn giá'!$D:$D,'[21]bc tổng hợp'!$B14)</f>
        <v>#VALUE!</v>
      </c>
      <c r="M14" s="619" t="e">
        <f>SUMIFS('[21]lương đơn giá'!U:U,'[21]lương đơn giá'!$D:$D,'[21]bc tổng hợp'!$B14)</f>
        <v>#VALUE!</v>
      </c>
      <c r="N14" s="619" t="e">
        <f>SUMIFS('[21]lương đơn giá'!V:V,'[21]lương đơn giá'!$D:$D,'[21]bc tổng hợp'!$B14)</f>
        <v>#VALUE!</v>
      </c>
      <c r="O14" s="619" t="e">
        <f>SUMIFS('[21]lương đơn giá'!W:W,'[21]lương đơn giá'!$D:$D,'[21]bc tổng hợp'!$B14)</f>
        <v>#VALUE!</v>
      </c>
      <c r="P14" s="619" t="e">
        <f>SUMIFS('[21]lương đơn giá'!X:X,'[21]lương đơn giá'!$D:$D,'[21]bc tổng hợp'!$B14)</f>
        <v>#VALUE!</v>
      </c>
      <c r="Q14" s="619" t="e">
        <f>SUMIFS('[21]lương đơn giá'!Y:Y,'[21]lương đơn giá'!$D:$D,'[21]bc tổng hợp'!$B14)</f>
        <v>#VALUE!</v>
      </c>
      <c r="R14" s="619" t="e">
        <f>SUMIFS('[21]lương đơn giá'!Z:Z,'[21]lương đơn giá'!$D:$D,'[21]bc tổng hợp'!$B14)</f>
        <v>#VALUE!</v>
      </c>
      <c r="S14" s="619" t="e">
        <f>SUMIFS('[21]lương đơn giá'!AA:AA,'[21]lương đơn giá'!$D:$D,'[21]bc tổng hợp'!$B14)</f>
        <v>#VALUE!</v>
      </c>
      <c r="T14" s="619" t="e">
        <f>SUMIFS('[21]lương đơn giá'!AB:AB,'[21]lương đơn giá'!$D:$D,'[21]bc tổng hợp'!$B14)</f>
        <v>#VALUE!</v>
      </c>
      <c r="U14" s="619" t="e">
        <f>SUMIFS('[21]lương đơn giá'!AC:AC,'[21]lương đơn giá'!$D:$D,'[21]bc tổng hợp'!$B14)</f>
        <v>#VALUE!</v>
      </c>
      <c r="V14" s="619" t="e">
        <f>SUMIFS('[21]lương đơn giá'!AD:AD,'[21]lương đơn giá'!$D:$D,'[21]bc tổng hợp'!$B14)</f>
        <v>#VALUE!</v>
      </c>
      <c r="W14" s="619" t="e">
        <f>SUMIFS('[21]lương đơn giá'!AE:AE,'[21]lương đơn giá'!$D:$D,'[21]bc tổng hợp'!$B14)</f>
        <v>#VALUE!</v>
      </c>
      <c r="X14" s="619" t="e">
        <f>SUMIFS('[21]lương đơn giá'!AF:AF,'[21]lương đơn giá'!$D:$D,'[21]bc tổng hợp'!$B14)</f>
        <v>#VALUE!</v>
      </c>
      <c r="Y14" s="619" t="e">
        <f>SUMIFS('[21]lương đơn giá'!AG:AG,'[21]lương đơn giá'!$D:$D,'[21]bc tổng hợp'!$B14)</f>
        <v>#VALUE!</v>
      </c>
      <c r="Z14" s="619" t="e">
        <f>SUMIFS('[21]lương đơn giá'!AH:AH,'[21]lương đơn giá'!$D:$D,'[21]bc tổng hợp'!$B14)</f>
        <v>#VALUE!</v>
      </c>
      <c r="AA14" s="619" t="e">
        <f>SUMIFS('[21]lương đơn giá'!AI:AI,'[21]lương đơn giá'!$D:$D,'[21]bc tổng hợp'!$B14)</f>
        <v>#VALUE!</v>
      </c>
      <c r="AB14" s="619" t="e">
        <f>SUMIFS('[21]lương đơn giá'!AJ:AJ,'[21]lương đơn giá'!$D:$D,'[21]bc tổng hợp'!$B14)</f>
        <v>#VALUE!</v>
      </c>
      <c r="AC14" s="619" t="e">
        <f>SUMIFS('[21]lương đơn giá'!AK:AK,'[21]lương đơn giá'!$D:$D,'[21]bc tổng hợp'!$B14)</f>
        <v>#VALUE!</v>
      </c>
      <c r="AD14" s="619"/>
      <c r="AE14" s="619"/>
      <c r="AF14" s="619"/>
      <c r="AG14" s="619"/>
      <c r="AH14" s="619"/>
      <c r="AI14" s="619"/>
      <c r="AJ14" s="619"/>
      <c r="AK14" s="619"/>
      <c r="AL14" s="619"/>
      <c r="AM14" s="630" t="e">
        <f t="shared" si="0"/>
        <v>#VALUE!</v>
      </c>
      <c r="AN14" s="619" t="e">
        <f>SUMIFS('[21]lương đơn giá'!AY:AY,'[21]lương đơn giá'!$D:$D,'[21]bc tổng hợp'!$B14)</f>
        <v>#VALUE!</v>
      </c>
      <c r="AO14" s="619" t="e">
        <f>SUMIFS('[21]lương đơn giá'!BN:BN,'[21]lương đơn giá'!$D:$D,'[21]bc tổng hợp'!$B14)</f>
        <v>#VALUE!</v>
      </c>
      <c r="AP14" s="66" t="e">
        <f t="shared" si="1"/>
        <v>#VALUE!</v>
      </c>
      <c r="AQ14" s="66" t="e">
        <f t="shared" si="2"/>
        <v>#VALUE!</v>
      </c>
      <c r="AR14" s="66" t="e">
        <f t="shared" si="3"/>
        <v>#VALUE!</v>
      </c>
    </row>
    <row r="15" spans="1:44" ht="16.5">
      <c r="A15" s="628">
        <v>9</v>
      </c>
      <c r="B15" s="629" t="s">
        <v>20</v>
      </c>
      <c r="C15" s="619" t="e">
        <f>SUMIFS('[21]lương đơn giá'!K:K,'[21]lương đơn giá'!$D:$D,'[21]bc tổng hợp'!$B15)</f>
        <v>#VALUE!</v>
      </c>
      <c r="D15" s="619" t="e">
        <f>SUMIFS('[21]lương đơn giá'!L:L,'[21]lương đơn giá'!$D:$D,'[21]bc tổng hợp'!$B15)</f>
        <v>#VALUE!</v>
      </c>
      <c r="E15" s="619" t="e">
        <f>SUMIFS('[21]lương đơn giá'!M:M,'[21]lương đơn giá'!$D:$D,'[21]bc tổng hợp'!$B15)</f>
        <v>#VALUE!</v>
      </c>
      <c r="F15" s="619" t="e">
        <f>SUMIFS('[21]lương đơn giá'!N:N,'[21]lương đơn giá'!$D:$D,'[21]bc tổng hợp'!$B15)</f>
        <v>#VALUE!</v>
      </c>
      <c r="G15" s="619" t="e">
        <f>SUMIFS('[21]lương đơn giá'!O:O,'[21]lương đơn giá'!$D:$D,'[21]bc tổng hợp'!$B15)</f>
        <v>#VALUE!</v>
      </c>
      <c r="H15" s="619" t="e">
        <f>SUMIFS('[21]lương đơn giá'!P:P,'[21]lương đơn giá'!$D:$D,'[21]bc tổng hợp'!$B15)</f>
        <v>#VALUE!</v>
      </c>
      <c r="I15" s="619" t="e">
        <f>SUMIFS('[21]lương đơn giá'!Q:Q,'[21]lương đơn giá'!$D:$D,'[21]bc tổng hợp'!$B15)</f>
        <v>#VALUE!</v>
      </c>
      <c r="J15" s="619" t="e">
        <f>SUMIFS('[21]lương đơn giá'!R:R,'[21]lương đơn giá'!$D:$D,'[21]bc tổng hợp'!$B15)</f>
        <v>#VALUE!</v>
      </c>
      <c r="K15" s="619" t="e">
        <f>SUMIFS('[21]lương đơn giá'!S:S,'[21]lương đơn giá'!$D:$D,'[21]bc tổng hợp'!$B15)</f>
        <v>#VALUE!</v>
      </c>
      <c r="L15" s="619" t="e">
        <f>SUMIFS('[21]lương đơn giá'!T:T,'[21]lương đơn giá'!$D:$D,'[21]bc tổng hợp'!$B15)</f>
        <v>#VALUE!</v>
      </c>
      <c r="M15" s="619" t="e">
        <f>SUMIFS('[21]lương đơn giá'!U:U,'[21]lương đơn giá'!$D:$D,'[21]bc tổng hợp'!$B15)</f>
        <v>#VALUE!</v>
      </c>
      <c r="N15" s="619" t="e">
        <f>SUMIFS('[21]lương đơn giá'!V:V,'[21]lương đơn giá'!$D:$D,'[21]bc tổng hợp'!$B15)</f>
        <v>#VALUE!</v>
      </c>
      <c r="O15" s="619" t="e">
        <f>SUMIFS('[21]lương đơn giá'!W:W,'[21]lương đơn giá'!$D:$D,'[21]bc tổng hợp'!$B15)</f>
        <v>#VALUE!</v>
      </c>
      <c r="P15" s="619" t="e">
        <f>SUMIFS('[21]lương đơn giá'!X:X,'[21]lương đơn giá'!$D:$D,'[21]bc tổng hợp'!$B15)</f>
        <v>#VALUE!</v>
      </c>
      <c r="Q15" s="619" t="e">
        <f>SUMIFS('[21]lương đơn giá'!Y:Y,'[21]lương đơn giá'!$D:$D,'[21]bc tổng hợp'!$B15)</f>
        <v>#VALUE!</v>
      </c>
      <c r="R15" s="619" t="e">
        <f>SUMIFS('[21]lương đơn giá'!Z:Z,'[21]lương đơn giá'!$D:$D,'[21]bc tổng hợp'!$B15)</f>
        <v>#VALUE!</v>
      </c>
      <c r="S15" s="619" t="e">
        <f>SUMIFS('[21]lương đơn giá'!AA:AA,'[21]lương đơn giá'!$D:$D,'[21]bc tổng hợp'!$B15)</f>
        <v>#VALUE!</v>
      </c>
      <c r="T15" s="619" t="e">
        <f>SUMIFS('[21]lương đơn giá'!AB:AB,'[21]lương đơn giá'!$D:$D,'[21]bc tổng hợp'!$B15)</f>
        <v>#VALUE!</v>
      </c>
      <c r="U15" s="619" t="e">
        <f>SUMIFS('[21]lương đơn giá'!AC:AC,'[21]lương đơn giá'!$D:$D,'[21]bc tổng hợp'!$B15)</f>
        <v>#VALUE!</v>
      </c>
      <c r="V15" s="619" t="e">
        <f>SUMIFS('[21]lương đơn giá'!AD:AD,'[21]lương đơn giá'!$D:$D,'[21]bc tổng hợp'!$B15)</f>
        <v>#VALUE!</v>
      </c>
      <c r="W15" s="619" t="e">
        <f>SUMIFS('[21]lương đơn giá'!AE:AE,'[21]lương đơn giá'!$D:$D,'[21]bc tổng hợp'!$B15)</f>
        <v>#VALUE!</v>
      </c>
      <c r="X15" s="619" t="e">
        <f>SUMIFS('[21]lương đơn giá'!AF:AF,'[21]lương đơn giá'!$D:$D,'[21]bc tổng hợp'!$B15)</f>
        <v>#VALUE!</v>
      </c>
      <c r="Y15" s="619" t="e">
        <f>SUMIFS('[21]lương đơn giá'!AG:AG,'[21]lương đơn giá'!$D:$D,'[21]bc tổng hợp'!$B15)</f>
        <v>#VALUE!</v>
      </c>
      <c r="Z15" s="619" t="e">
        <f>SUMIFS('[21]lương đơn giá'!AH:AH,'[21]lương đơn giá'!$D:$D,'[21]bc tổng hợp'!$B15)</f>
        <v>#VALUE!</v>
      </c>
      <c r="AA15" s="619" t="e">
        <f>SUMIFS('[21]lương đơn giá'!AI:AI,'[21]lương đơn giá'!$D:$D,'[21]bc tổng hợp'!$B15)</f>
        <v>#VALUE!</v>
      </c>
      <c r="AB15" s="619" t="e">
        <f>SUMIFS('[21]lương đơn giá'!AJ:AJ,'[21]lương đơn giá'!$D:$D,'[21]bc tổng hợp'!$B15)</f>
        <v>#VALUE!</v>
      </c>
      <c r="AC15" s="619" t="e">
        <f>SUMIFS('[21]lương đơn giá'!AK:AK,'[21]lương đơn giá'!$D:$D,'[21]bc tổng hợp'!$B15)</f>
        <v>#VALUE!</v>
      </c>
      <c r="AD15" s="619"/>
      <c r="AE15" s="619"/>
      <c r="AF15" s="619"/>
      <c r="AG15" s="619"/>
      <c r="AH15" s="619"/>
      <c r="AI15" s="619"/>
      <c r="AJ15" s="619"/>
      <c r="AK15" s="619"/>
      <c r="AL15" s="619"/>
      <c r="AM15" s="630" t="e">
        <f t="shared" si="0"/>
        <v>#VALUE!</v>
      </c>
      <c r="AN15" s="619" t="e">
        <f>SUMIFS('[21]lương đơn giá'!AY:AY,'[21]lương đơn giá'!$D:$D,'[21]bc tổng hợp'!$B15)</f>
        <v>#VALUE!</v>
      </c>
      <c r="AO15" s="619" t="e">
        <f>SUMIFS('[21]lương đơn giá'!BN:BN,'[21]lương đơn giá'!$D:$D,'[21]bc tổng hợp'!$B15)</f>
        <v>#VALUE!</v>
      </c>
      <c r="AP15" s="66" t="e">
        <f t="shared" si="1"/>
        <v>#VALUE!</v>
      </c>
      <c r="AQ15" s="66" t="e">
        <f t="shared" si="2"/>
        <v>#VALUE!</v>
      </c>
      <c r="AR15" s="66" t="e">
        <f t="shared" si="3"/>
        <v>#VALUE!</v>
      </c>
    </row>
    <row r="16" spans="1:44" ht="16.5">
      <c r="A16" s="628">
        <v>10</v>
      </c>
      <c r="B16" s="629" t="s">
        <v>109</v>
      </c>
      <c r="C16" s="619" t="e">
        <f>SUMIFS('[21]lương đơn giá'!K:K,'[21]lương đơn giá'!$D:$D,'[21]bc tổng hợp'!$B16)</f>
        <v>#VALUE!</v>
      </c>
      <c r="D16" s="619" t="e">
        <f>SUMIFS('[21]lương đơn giá'!L:L,'[21]lương đơn giá'!$D:$D,'[21]bc tổng hợp'!$B16)</f>
        <v>#VALUE!</v>
      </c>
      <c r="E16" s="619" t="e">
        <f>SUMIFS('[21]lương đơn giá'!M:M,'[21]lương đơn giá'!$D:$D,'[21]bc tổng hợp'!$B16)</f>
        <v>#VALUE!</v>
      </c>
      <c r="F16" s="619" t="e">
        <f>SUMIFS('[21]lương đơn giá'!N:N,'[21]lương đơn giá'!$D:$D,'[21]bc tổng hợp'!$B16)</f>
        <v>#VALUE!</v>
      </c>
      <c r="G16" s="619" t="e">
        <f>SUMIFS('[21]lương đơn giá'!O:O,'[21]lương đơn giá'!$D:$D,'[21]bc tổng hợp'!$B16)</f>
        <v>#VALUE!</v>
      </c>
      <c r="H16" s="619" t="e">
        <f>SUMIFS('[21]lương đơn giá'!P:P,'[21]lương đơn giá'!$D:$D,'[21]bc tổng hợp'!$B16)</f>
        <v>#VALUE!</v>
      </c>
      <c r="I16" s="619" t="e">
        <f>SUMIFS('[21]lương đơn giá'!Q:Q,'[21]lương đơn giá'!$D:$D,'[21]bc tổng hợp'!$B16)</f>
        <v>#VALUE!</v>
      </c>
      <c r="J16" s="619" t="e">
        <f>SUMIFS('[21]lương đơn giá'!R:R,'[21]lương đơn giá'!$D:$D,'[21]bc tổng hợp'!$B16)</f>
        <v>#VALUE!</v>
      </c>
      <c r="K16" s="619" t="e">
        <f>SUMIFS('[21]lương đơn giá'!S:S,'[21]lương đơn giá'!$D:$D,'[21]bc tổng hợp'!$B16)</f>
        <v>#VALUE!</v>
      </c>
      <c r="L16" s="619" t="e">
        <f>SUMIFS('[21]lương đơn giá'!T:T,'[21]lương đơn giá'!$D:$D,'[21]bc tổng hợp'!$B16)</f>
        <v>#VALUE!</v>
      </c>
      <c r="M16" s="619" t="e">
        <f>SUMIFS('[21]lương đơn giá'!U:U,'[21]lương đơn giá'!$D:$D,'[21]bc tổng hợp'!$B16)</f>
        <v>#VALUE!</v>
      </c>
      <c r="N16" s="619" t="e">
        <f>SUMIFS('[21]lương đơn giá'!V:V,'[21]lương đơn giá'!$D:$D,'[21]bc tổng hợp'!$B16)</f>
        <v>#VALUE!</v>
      </c>
      <c r="O16" s="619" t="e">
        <f>SUMIFS('[21]lương đơn giá'!W:W,'[21]lương đơn giá'!$D:$D,'[21]bc tổng hợp'!$B16)</f>
        <v>#VALUE!</v>
      </c>
      <c r="P16" s="619" t="e">
        <f>SUMIFS('[21]lương đơn giá'!X:X,'[21]lương đơn giá'!$D:$D,'[21]bc tổng hợp'!$B16)</f>
        <v>#VALUE!</v>
      </c>
      <c r="Q16" s="619" t="e">
        <f>SUMIFS('[21]lương đơn giá'!Y:Y,'[21]lương đơn giá'!$D:$D,'[21]bc tổng hợp'!$B16)</f>
        <v>#VALUE!</v>
      </c>
      <c r="R16" s="619" t="e">
        <f>SUMIFS('[21]lương đơn giá'!Z:Z,'[21]lương đơn giá'!$D:$D,'[21]bc tổng hợp'!$B16)</f>
        <v>#VALUE!</v>
      </c>
      <c r="S16" s="619" t="e">
        <f>SUMIFS('[21]lương đơn giá'!AA:AA,'[21]lương đơn giá'!$D:$D,'[21]bc tổng hợp'!$B16)</f>
        <v>#VALUE!</v>
      </c>
      <c r="T16" s="619" t="e">
        <f>SUMIFS('[21]lương đơn giá'!AB:AB,'[21]lương đơn giá'!$D:$D,'[21]bc tổng hợp'!$B16)</f>
        <v>#VALUE!</v>
      </c>
      <c r="U16" s="619" t="e">
        <f>SUMIFS('[21]lương đơn giá'!AC:AC,'[21]lương đơn giá'!$D:$D,'[21]bc tổng hợp'!$B16)</f>
        <v>#VALUE!</v>
      </c>
      <c r="V16" s="619" t="e">
        <f>SUMIFS('[21]lương đơn giá'!AD:AD,'[21]lương đơn giá'!$D:$D,'[21]bc tổng hợp'!$B16)</f>
        <v>#VALUE!</v>
      </c>
      <c r="W16" s="619" t="e">
        <f>SUMIFS('[21]lương đơn giá'!AE:AE,'[21]lương đơn giá'!$D:$D,'[21]bc tổng hợp'!$B16)</f>
        <v>#VALUE!</v>
      </c>
      <c r="X16" s="619" t="e">
        <f>SUMIFS('[21]lương đơn giá'!AF:AF,'[21]lương đơn giá'!$D:$D,'[21]bc tổng hợp'!$B16)</f>
        <v>#VALUE!</v>
      </c>
      <c r="Y16" s="619" t="e">
        <f>SUMIFS('[21]lương đơn giá'!AG:AG,'[21]lương đơn giá'!$D:$D,'[21]bc tổng hợp'!$B16)</f>
        <v>#VALUE!</v>
      </c>
      <c r="Z16" s="619" t="e">
        <f>SUMIFS('[21]lương đơn giá'!AH:AH,'[21]lương đơn giá'!$D:$D,'[21]bc tổng hợp'!$B16)</f>
        <v>#VALUE!</v>
      </c>
      <c r="AA16" s="619" t="e">
        <f>SUMIFS('[21]lương đơn giá'!AI:AI,'[21]lương đơn giá'!$D:$D,'[21]bc tổng hợp'!$B16)</f>
        <v>#VALUE!</v>
      </c>
      <c r="AB16" s="619" t="e">
        <f>SUMIFS('[21]lương đơn giá'!AJ:AJ,'[21]lương đơn giá'!$D:$D,'[21]bc tổng hợp'!$B16)</f>
        <v>#VALUE!</v>
      </c>
      <c r="AC16" s="619" t="e">
        <f>SUMIFS('[21]lương đơn giá'!AK:AK,'[21]lương đơn giá'!$D:$D,'[21]bc tổng hợp'!$B16)</f>
        <v>#VALUE!</v>
      </c>
      <c r="AD16" s="619"/>
      <c r="AE16" s="619"/>
      <c r="AF16" s="619"/>
      <c r="AG16" s="619"/>
      <c r="AH16" s="619"/>
      <c r="AI16" s="619"/>
      <c r="AJ16" s="619"/>
      <c r="AK16" s="619"/>
      <c r="AL16" s="619"/>
      <c r="AM16" s="630" t="e">
        <f t="shared" si="0"/>
        <v>#VALUE!</v>
      </c>
      <c r="AN16" s="619" t="e">
        <f>SUMIFS('[21]lương đơn giá'!AY:AY,'[21]lương đơn giá'!$D:$D,'[21]bc tổng hợp'!$B16)</f>
        <v>#VALUE!</v>
      </c>
      <c r="AO16" s="619" t="e">
        <f>SUMIFS('[21]lương đơn giá'!BN:BN,'[21]lương đơn giá'!$D:$D,'[21]bc tổng hợp'!$B16)</f>
        <v>#VALUE!</v>
      </c>
      <c r="AP16" s="66" t="e">
        <f t="shared" si="1"/>
        <v>#VALUE!</v>
      </c>
      <c r="AQ16" s="66" t="e">
        <f t="shared" si="2"/>
        <v>#VALUE!</v>
      </c>
      <c r="AR16" s="66" t="e">
        <f t="shared" si="3"/>
        <v>#VALUE!</v>
      </c>
    </row>
    <row r="17" spans="1:44" ht="16.5">
      <c r="A17" s="628">
        <v>11</v>
      </c>
      <c r="B17" s="629" t="s">
        <v>194</v>
      </c>
      <c r="C17" s="619" t="e">
        <f>SUMIFS('[21]lương đơn giá'!K:K,'[21]lương đơn giá'!$D:$D,'[21]bc tổng hợp'!$B17)</f>
        <v>#VALUE!</v>
      </c>
      <c r="D17" s="619" t="e">
        <f>SUMIFS('[21]lương đơn giá'!L:L,'[21]lương đơn giá'!$D:$D,'[21]bc tổng hợp'!$B17)</f>
        <v>#VALUE!</v>
      </c>
      <c r="E17" s="619" t="e">
        <f>SUMIFS('[21]lương đơn giá'!M:M,'[21]lương đơn giá'!$D:$D,'[21]bc tổng hợp'!$B17)</f>
        <v>#VALUE!</v>
      </c>
      <c r="F17" s="619" t="e">
        <f>SUMIFS('[21]lương đơn giá'!N:N,'[21]lương đơn giá'!$D:$D,'[21]bc tổng hợp'!$B17)</f>
        <v>#VALUE!</v>
      </c>
      <c r="G17" s="619" t="e">
        <f>SUMIFS('[21]lương đơn giá'!O:O,'[21]lương đơn giá'!$D:$D,'[21]bc tổng hợp'!$B17)</f>
        <v>#VALUE!</v>
      </c>
      <c r="H17" s="619" t="e">
        <f>SUMIFS('[21]lương đơn giá'!P:P,'[21]lương đơn giá'!$D:$D,'[21]bc tổng hợp'!$B17)</f>
        <v>#VALUE!</v>
      </c>
      <c r="I17" s="619" t="e">
        <f>SUMIFS('[21]lương đơn giá'!Q:Q,'[21]lương đơn giá'!$D:$D,'[21]bc tổng hợp'!$B17)</f>
        <v>#VALUE!</v>
      </c>
      <c r="J17" s="619" t="e">
        <f>SUMIFS('[21]lương đơn giá'!R:R,'[21]lương đơn giá'!$D:$D,'[21]bc tổng hợp'!$B17)</f>
        <v>#VALUE!</v>
      </c>
      <c r="K17" s="619" t="e">
        <f>SUMIFS('[21]lương đơn giá'!S:S,'[21]lương đơn giá'!$D:$D,'[21]bc tổng hợp'!$B17)</f>
        <v>#VALUE!</v>
      </c>
      <c r="L17" s="619" t="e">
        <f>SUMIFS('[21]lương đơn giá'!T:T,'[21]lương đơn giá'!$D:$D,'[21]bc tổng hợp'!$B17)</f>
        <v>#VALUE!</v>
      </c>
      <c r="M17" s="619" t="e">
        <f>SUMIFS('[21]lương đơn giá'!U:U,'[21]lương đơn giá'!$D:$D,'[21]bc tổng hợp'!$B17)</f>
        <v>#VALUE!</v>
      </c>
      <c r="N17" s="619" t="e">
        <f>SUMIFS('[21]lương đơn giá'!V:V,'[21]lương đơn giá'!$D:$D,'[21]bc tổng hợp'!$B17)</f>
        <v>#VALUE!</v>
      </c>
      <c r="O17" s="619" t="e">
        <f>SUMIFS('[21]lương đơn giá'!W:W,'[21]lương đơn giá'!$D:$D,'[21]bc tổng hợp'!$B17)</f>
        <v>#VALUE!</v>
      </c>
      <c r="P17" s="619" t="e">
        <f>SUMIFS('[21]lương đơn giá'!X:X,'[21]lương đơn giá'!$D:$D,'[21]bc tổng hợp'!$B17)</f>
        <v>#VALUE!</v>
      </c>
      <c r="Q17" s="619" t="e">
        <f>SUMIFS('[21]lương đơn giá'!Y:Y,'[21]lương đơn giá'!$D:$D,'[21]bc tổng hợp'!$B17)</f>
        <v>#VALUE!</v>
      </c>
      <c r="R17" s="619" t="e">
        <f>SUMIFS('[21]lương đơn giá'!Z:Z,'[21]lương đơn giá'!$D:$D,'[21]bc tổng hợp'!$B17)</f>
        <v>#VALUE!</v>
      </c>
      <c r="S17" s="619" t="e">
        <f>SUMIFS('[21]lương đơn giá'!AA:AA,'[21]lương đơn giá'!$D:$D,'[21]bc tổng hợp'!$B17)</f>
        <v>#VALUE!</v>
      </c>
      <c r="T17" s="619" t="e">
        <f>SUMIFS('[21]lương đơn giá'!AB:AB,'[21]lương đơn giá'!$D:$D,'[21]bc tổng hợp'!$B17)</f>
        <v>#VALUE!</v>
      </c>
      <c r="U17" s="619" t="e">
        <f>SUMIFS('[21]lương đơn giá'!AC:AC,'[21]lương đơn giá'!$D:$D,'[21]bc tổng hợp'!$B17)</f>
        <v>#VALUE!</v>
      </c>
      <c r="V17" s="619" t="e">
        <f>SUMIFS('[21]lương đơn giá'!AD:AD,'[21]lương đơn giá'!$D:$D,'[21]bc tổng hợp'!$B17)</f>
        <v>#VALUE!</v>
      </c>
      <c r="W17" s="619" t="e">
        <f>SUMIFS('[21]lương đơn giá'!AE:AE,'[21]lương đơn giá'!$D:$D,'[21]bc tổng hợp'!$B17)</f>
        <v>#VALUE!</v>
      </c>
      <c r="X17" s="619" t="e">
        <f>SUMIFS('[21]lương đơn giá'!AF:AF,'[21]lương đơn giá'!$D:$D,'[21]bc tổng hợp'!$B17)</f>
        <v>#VALUE!</v>
      </c>
      <c r="Y17" s="619" t="e">
        <f>SUMIFS('[21]lương đơn giá'!AG:AG,'[21]lương đơn giá'!$D:$D,'[21]bc tổng hợp'!$B17)</f>
        <v>#VALUE!</v>
      </c>
      <c r="Z17" s="619" t="e">
        <f>SUMIFS('[21]lương đơn giá'!AH:AH,'[21]lương đơn giá'!$D:$D,'[21]bc tổng hợp'!$B17)</f>
        <v>#VALUE!</v>
      </c>
      <c r="AA17" s="619" t="e">
        <f>SUMIFS('[21]lương đơn giá'!AI:AI,'[21]lương đơn giá'!$D:$D,'[21]bc tổng hợp'!$B17)</f>
        <v>#VALUE!</v>
      </c>
      <c r="AB17" s="619" t="e">
        <f>SUMIFS('[21]lương đơn giá'!AJ:AJ,'[21]lương đơn giá'!$D:$D,'[21]bc tổng hợp'!$B17)</f>
        <v>#VALUE!</v>
      </c>
      <c r="AC17" s="619" t="e">
        <f>SUMIFS('[21]lương đơn giá'!AK:AK,'[21]lương đơn giá'!$D:$D,'[21]bc tổng hợp'!$B17)</f>
        <v>#VALUE!</v>
      </c>
      <c r="AD17" s="619"/>
      <c r="AE17" s="619"/>
      <c r="AF17" s="619"/>
      <c r="AG17" s="619"/>
      <c r="AH17" s="619"/>
      <c r="AI17" s="619"/>
      <c r="AJ17" s="619"/>
      <c r="AK17" s="619"/>
      <c r="AL17" s="619"/>
      <c r="AM17" s="630" t="e">
        <f t="shared" si="0"/>
        <v>#VALUE!</v>
      </c>
      <c r="AN17" s="619" t="e">
        <f>SUMIFS('[21]lương đơn giá'!AY:AY,'[21]lương đơn giá'!$D:$D,'[21]bc tổng hợp'!$B17)</f>
        <v>#VALUE!</v>
      </c>
      <c r="AO17" s="619" t="e">
        <f>SUMIFS('[21]lương đơn giá'!BN:BN,'[21]lương đơn giá'!$D:$D,'[21]bc tổng hợp'!$B17)</f>
        <v>#VALUE!</v>
      </c>
      <c r="AP17" s="66" t="e">
        <f t="shared" si="1"/>
        <v>#VALUE!</v>
      </c>
      <c r="AQ17" s="66" t="e">
        <f t="shared" si="2"/>
        <v>#VALUE!</v>
      </c>
      <c r="AR17" s="66" t="e">
        <f t="shared" si="3"/>
        <v>#VALUE!</v>
      </c>
    </row>
    <row r="18" spans="1:44" ht="16.5">
      <c r="A18" s="631" t="s">
        <v>132</v>
      </c>
      <c r="B18" s="631"/>
      <c r="C18" s="861" t="e">
        <f>SUM(C7:C17)</f>
        <v>#VALUE!</v>
      </c>
      <c r="D18" s="861" t="e">
        <f t="shared" ref="D18:AL18" si="4">SUM(D7:D17)</f>
        <v>#VALUE!</v>
      </c>
      <c r="E18" s="861" t="e">
        <f t="shared" si="4"/>
        <v>#VALUE!</v>
      </c>
      <c r="F18" s="861" t="e">
        <f t="shared" si="4"/>
        <v>#VALUE!</v>
      </c>
      <c r="G18" s="861" t="e">
        <f t="shared" si="4"/>
        <v>#VALUE!</v>
      </c>
      <c r="H18" s="861" t="e">
        <f t="shared" si="4"/>
        <v>#VALUE!</v>
      </c>
      <c r="I18" s="861" t="e">
        <f t="shared" si="4"/>
        <v>#VALUE!</v>
      </c>
      <c r="J18" s="861" t="e">
        <f t="shared" si="4"/>
        <v>#VALUE!</v>
      </c>
      <c r="K18" s="861" t="e">
        <f t="shared" si="4"/>
        <v>#VALUE!</v>
      </c>
      <c r="L18" s="861" t="e">
        <f t="shared" si="4"/>
        <v>#VALUE!</v>
      </c>
      <c r="M18" s="861" t="e">
        <f t="shared" si="4"/>
        <v>#VALUE!</v>
      </c>
      <c r="N18" s="861" t="e">
        <f t="shared" si="4"/>
        <v>#VALUE!</v>
      </c>
      <c r="O18" s="861" t="e">
        <f t="shared" si="4"/>
        <v>#VALUE!</v>
      </c>
      <c r="P18" s="861" t="e">
        <f t="shared" si="4"/>
        <v>#VALUE!</v>
      </c>
      <c r="Q18" s="861" t="e">
        <f t="shared" si="4"/>
        <v>#VALUE!</v>
      </c>
      <c r="R18" s="861" t="e">
        <f t="shared" si="4"/>
        <v>#VALUE!</v>
      </c>
      <c r="S18" s="861" t="e">
        <f t="shared" si="4"/>
        <v>#VALUE!</v>
      </c>
      <c r="T18" s="861" t="e">
        <f t="shared" si="4"/>
        <v>#VALUE!</v>
      </c>
      <c r="U18" s="861" t="e">
        <f t="shared" si="4"/>
        <v>#VALUE!</v>
      </c>
      <c r="V18" s="861" t="e">
        <f t="shared" si="4"/>
        <v>#VALUE!</v>
      </c>
      <c r="W18" s="861" t="e">
        <f t="shared" si="4"/>
        <v>#VALUE!</v>
      </c>
      <c r="X18" s="861" t="e">
        <f t="shared" si="4"/>
        <v>#VALUE!</v>
      </c>
      <c r="Y18" s="861" t="e">
        <f t="shared" si="4"/>
        <v>#VALUE!</v>
      </c>
      <c r="Z18" s="861" t="e">
        <f t="shared" si="4"/>
        <v>#VALUE!</v>
      </c>
      <c r="AA18" s="861" t="e">
        <f t="shared" si="4"/>
        <v>#VALUE!</v>
      </c>
      <c r="AB18" s="861" t="e">
        <f t="shared" si="4"/>
        <v>#VALUE!</v>
      </c>
      <c r="AC18" s="861" t="e">
        <f t="shared" si="4"/>
        <v>#VALUE!</v>
      </c>
      <c r="AD18" s="861">
        <f t="shared" si="4"/>
        <v>0</v>
      </c>
      <c r="AE18" s="861">
        <f t="shared" si="4"/>
        <v>0</v>
      </c>
      <c r="AF18" s="861">
        <f t="shared" si="4"/>
        <v>0</v>
      </c>
      <c r="AG18" s="861"/>
      <c r="AH18" s="861"/>
      <c r="AI18" s="861"/>
      <c r="AJ18" s="861"/>
      <c r="AK18" s="861"/>
      <c r="AL18" s="861">
        <f t="shared" si="4"/>
        <v>0</v>
      </c>
      <c r="AM18" s="632" t="e">
        <f>SUM(AM7:AM17)</f>
        <v>#VALUE!</v>
      </c>
      <c r="AN18" s="632" t="e">
        <f t="shared" ref="AN18:AR18" si="5">SUM(AN7:AN17)</f>
        <v>#VALUE!</v>
      </c>
      <c r="AO18" s="632" t="e">
        <f t="shared" si="5"/>
        <v>#VALUE!</v>
      </c>
      <c r="AP18" s="632" t="e">
        <f t="shared" si="5"/>
        <v>#VALUE!</v>
      </c>
      <c r="AQ18" s="632" t="e">
        <f t="shared" si="5"/>
        <v>#VALUE!</v>
      </c>
      <c r="AR18" s="632" t="e">
        <f t="shared" si="5"/>
        <v>#VALUE!</v>
      </c>
    </row>
    <row r="19" spans="1:44" ht="16.5">
      <c r="A19" s="633"/>
      <c r="B19" s="633"/>
      <c r="C19" s="634">
        <v>59262250.077439077</v>
      </c>
      <c r="D19" s="634">
        <v>127598130.84278157</v>
      </c>
      <c r="E19" s="634">
        <v>0</v>
      </c>
      <c r="F19" s="634">
        <v>2220990.1311306059</v>
      </c>
      <c r="G19" s="634">
        <v>0</v>
      </c>
      <c r="H19" s="634">
        <v>34176044.610655405</v>
      </c>
      <c r="I19" s="634">
        <v>0</v>
      </c>
      <c r="J19" s="634">
        <v>0</v>
      </c>
      <c r="K19" s="634">
        <v>0</v>
      </c>
      <c r="L19" s="634">
        <v>2738553.7112457831</v>
      </c>
      <c r="M19" s="634">
        <v>0</v>
      </c>
      <c r="N19" s="634">
        <v>18213744.359382551</v>
      </c>
      <c r="O19" s="634">
        <v>5203451.7129817642</v>
      </c>
      <c r="P19" s="634">
        <v>4204471.1212502709</v>
      </c>
      <c r="Q19" s="634">
        <v>1901955.962588245</v>
      </c>
      <c r="R19" s="634">
        <v>1625345.4259039704</v>
      </c>
      <c r="S19" s="634">
        <v>5237541.025917517</v>
      </c>
      <c r="T19" s="634">
        <v>0</v>
      </c>
      <c r="U19" s="634">
        <v>0</v>
      </c>
      <c r="V19" s="634">
        <v>0</v>
      </c>
      <c r="W19" s="634">
        <v>26968398.135106467</v>
      </c>
      <c r="X19" s="634">
        <v>0</v>
      </c>
      <c r="Y19" s="634">
        <v>9112702.9337107018</v>
      </c>
      <c r="Z19" s="634">
        <v>21803766.037506841</v>
      </c>
      <c r="AA19" s="634">
        <v>6678704.0742464308</v>
      </c>
      <c r="AB19" s="634">
        <v>18857265.444521472</v>
      </c>
      <c r="AC19" s="634">
        <v>0</v>
      </c>
      <c r="AD19" s="634"/>
      <c r="AE19" s="634"/>
      <c r="AF19" s="634"/>
      <c r="AG19" s="634"/>
      <c r="AH19" s="634"/>
      <c r="AI19" s="634"/>
      <c r="AJ19" s="634"/>
      <c r="AK19" s="634"/>
      <c r="AL19" s="633" t="s">
        <v>1379</v>
      </c>
      <c r="AM19" s="635"/>
      <c r="AP19" s="884">
        <v>331015818</v>
      </c>
    </row>
    <row r="20" spans="1:44" ht="16.5">
      <c r="A20" s="633"/>
      <c r="B20" s="633"/>
      <c r="C20" s="636" t="s">
        <v>1380</v>
      </c>
      <c r="D20" s="636" t="s">
        <v>1381</v>
      </c>
      <c r="E20" s="636" t="e">
        <f t="shared" ref="E20:AG20" si="6">E18-E19</f>
        <v>#VALUE!</v>
      </c>
      <c r="F20" s="636" t="e">
        <f t="shared" si="6"/>
        <v>#VALUE!</v>
      </c>
      <c r="G20" s="636" t="e">
        <f t="shared" si="6"/>
        <v>#VALUE!</v>
      </c>
      <c r="H20" s="636" t="e">
        <f t="shared" si="6"/>
        <v>#VALUE!</v>
      </c>
      <c r="I20" s="636" t="e">
        <f t="shared" si="6"/>
        <v>#VALUE!</v>
      </c>
      <c r="J20" s="636" t="e">
        <f t="shared" si="6"/>
        <v>#VALUE!</v>
      </c>
      <c r="K20" s="636" t="e">
        <f t="shared" si="6"/>
        <v>#VALUE!</v>
      </c>
      <c r="L20" s="636" t="e">
        <f t="shared" si="6"/>
        <v>#VALUE!</v>
      </c>
      <c r="M20" s="636" t="e">
        <f t="shared" si="6"/>
        <v>#VALUE!</v>
      </c>
      <c r="N20" s="636" t="e">
        <f t="shared" si="6"/>
        <v>#VALUE!</v>
      </c>
      <c r="O20" s="636" t="e">
        <f t="shared" si="6"/>
        <v>#VALUE!</v>
      </c>
      <c r="P20" s="636" t="e">
        <f t="shared" si="6"/>
        <v>#VALUE!</v>
      </c>
      <c r="Q20" s="636" t="e">
        <f t="shared" si="6"/>
        <v>#VALUE!</v>
      </c>
      <c r="R20" s="636" t="e">
        <f t="shared" si="6"/>
        <v>#VALUE!</v>
      </c>
      <c r="S20" s="636" t="e">
        <f t="shared" si="6"/>
        <v>#VALUE!</v>
      </c>
      <c r="T20" s="636" t="e">
        <f t="shared" si="6"/>
        <v>#VALUE!</v>
      </c>
      <c r="U20" s="636" t="e">
        <f t="shared" si="6"/>
        <v>#VALUE!</v>
      </c>
      <c r="V20" s="636" t="e">
        <f t="shared" si="6"/>
        <v>#VALUE!</v>
      </c>
      <c r="W20" s="636" t="e">
        <f t="shared" si="6"/>
        <v>#VALUE!</v>
      </c>
      <c r="X20" s="636" t="e">
        <f t="shared" si="6"/>
        <v>#VALUE!</v>
      </c>
      <c r="Y20" s="636" t="e">
        <f t="shared" si="6"/>
        <v>#VALUE!</v>
      </c>
      <c r="Z20" s="636" t="e">
        <f t="shared" si="6"/>
        <v>#VALUE!</v>
      </c>
      <c r="AA20" s="636" t="e">
        <f t="shared" si="6"/>
        <v>#VALUE!</v>
      </c>
      <c r="AB20" s="636" t="e">
        <f t="shared" si="6"/>
        <v>#VALUE!</v>
      </c>
      <c r="AC20" s="636" t="e">
        <f t="shared" si="6"/>
        <v>#VALUE!</v>
      </c>
      <c r="AD20" s="636">
        <f t="shared" si="6"/>
        <v>0</v>
      </c>
      <c r="AE20" s="636">
        <f t="shared" si="6"/>
        <v>0</v>
      </c>
      <c r="AF20" s="636">
        <f t="shared" si="6"/>
        <v>0</v>
      </c>
      <c r="AG20" s="636">
        <f t="shared" si="6"/>
        <v>0</v>
      </c>
      <c r="AH20" s="633"/>
      <c r="AI20" s="633"/>
      <c r="AJ20" s="633"/>
      <c r="AK20" s="633"/>
      <c r="AM20" s="636"/>
      <c r="AP20" s="66"/>
    </row>
    <row r="21" spans="1:44" ht="16.5">
      <c r="A21" s="633" t="s">
        <v>1364</v>
      </c>
      <c r="B21" s="633" t="s">
        <v>15</v>
      </c>
      <c r="C21" s="885" t="e">
        <f>C7*$F$21/$F$23</f>
        <v>#VALUE!</v>
      </c>
      <c r="D21" s="66" t="e">
        <f>C7*$F$22/$F$23</f>
        <v>#VALUE!</v>
      </c>
      <c r="E21" s="636" t="s">
        <v>1382</v>
      </c>
      <c r="F21" s="886">
        <v>0.44594400191520911</v>
      </c>
      <c r="G21" s="636" t="e">
        <f t="shared" ref="G21:AF21" si="7">G18-G19</f>
        <v>#VALUE!</v>
      </c>
      <c r="H21" s="636" t="e">
        <f t="shared" si="7"/>
        <v>#VALUE!</v>
      </c>
      <c r="I21" s="636" t="e">
        <f t="shared" si="7"/>
        <v>#VALUE!</v>
      </c>
      <c r="J21" s="636" t="e">
        <f t="shared" si="7"/>
        <v>#VALUE!</v>
      </c>
      <c r="K21" s="636" t="e">
        <f t="shared" si="7"/>
        <v>#VALUE!</v>
      </c>
      <c r="L21" s="636" t="e">
        <f t="shared" si="7"/>
        <v>#VALUE!</v>
      </c>
      <c r="M21" s="636" t="e">
        <f t="shared" si="7"/>
        <v>#VALUE!</v>
      </c>
      <c r="N21" s="636" t="e">
        <f t="shared" si="7"/>
        <v>#VALUE!</v>
      </c>
      <c r="O21" s="636" t="e">
        <f t="shared" si="7"/>
        <v>#VALUE!</v>
      </c>
      <c r="P21" s="636" t="e">
        <f t="shared" si="7"/>
        <v>#VALUE!</v>
      </c>
      <c r="Q21" s="636" t="e">
        <f t="shared" si="7"/>
        <v>#VALUE!</v>
      </c>
      <c r="R21" s="636" t="e">
        <f t="shared" si="7"/>
        <v>#VALUE!</v>
      </c>
      <c r="S21" s="636" t="e">
        <f t="shared" si="7"/>
        <v>#VALUE!</v>
      </c>
      <c r="T21" s="636" t="e">
        <f t="shared" si="7"/>
        <v>#VALUE!</v>
      </c>
      <c r="U21" s="636" t="e">
        <f t="shared" si="7"/>
        <v>#VALUE!</v>
      </c>
      <c r="V21" s="636" t="e">
        <f>V18-V19</f>
        <v>#VALUE!</v>
      </c>
      <c r="W21" s="636" t="e">
        <f t="shared" si="7"/>
        <v>#VALUE!</v>
      </c>
      <c r="X21" s="636" t="e">
        <f t="shared" si="7"/>
        <v>#VALUE!</v>
      </c>
      <c r="Y21" s="636" t="e">
        <f t="shared" si="7"/>
        <v>#VALUE!</v>
      </c>
      <c r="Z21" s="636" t="e">
        <f t="shared" si="7"/>
        <v>#VALUE!</v>
      </c>
      <c r="AA21" s="636" t="e">
        <f t="shared" si="7"/>
        <v>#VALUE!</v>
      </c>
      <c r="AB21" s="636" t="e">
        <f t="shared" si="7"/>
        <v>#VALUE!</v>
      </c>
      <c r="AC21" s="636" t="e">
        <f t="shared" si="7"/>
        <v>#VALUE!</v>
      </c>
      <c r="AD21" s="636">
        <f t="shared" si="7"/>
        <v>0</v>
      </c>
      <c r="AE21" s="636">
        <f t="shared" si="7"/>
        <v>0</v>
      </c>
      <c r="AF21" s="636">
        <f t="shared" si="7"/>
        <v>0</v>
      </c>
      <c r="AG21" s="636"/>
      <c r="AH21" s="636"/>
      <c r="AI21" s="636"/>
      <c r="AJ21" s="636"/>
      <c r="AK21" s="636"/>
      <c r="AL21" s="636"/>
      <c r="AM21" s="636"/>
    </row>
    <row r="22" spans="1:44" ht="15.75">
      <c r="B22" s="887" t="s">
        <v>23</v>
      </c>
      <c r="C22" s="885" t="e">
        <f t="shared" ref="C22:C31" si="8">C8*$F$21/$F$23</f>
        <v>#VALUE!</v>
      </c>
      <c r="D22" s="66" t="e">
        <f t="shared" ref="D22:D32" si="9">C8*$F$22/$F$23</f>
        <v>#VALUE!</v>
      </c>
      <c r="E22" t="s">
        <v>1383</v>
      </c>
      <c r="F22" s="886">
        <v>0.38058053625070426</v>
      </c>
    </row>
    <row r="23" spans="1:44" ht="15.75">
      <c r="B23" s="887" t="s">
        <v>42</v>
      </c>
      <c r="C23" s="885" t="e">
        <f t="shared" si="8"/>
        <v>#VALUE!</v>
      </c>
      <c r="D23" s="66" t="e">
        <f t="shared" si="9"/>
        <v>#VALUE!</v>
      </c>
      <c r="F23" s="888">
        <f>F21+F22</f>
        <v>0.82652453816591342</v>
      </c>
    </row>
    <row r="24" spans="1:44" ht="15.75">
      <c r="B24" s="887" t="s">
        <v>63</v>
      </c>
      <c r="C24" s="885" t="e">
        <f t="shared" si="8"/>
        <v>#VALUE!</v>
      </c>
      <c r="D24" s="66" t="e">
        <f t="shared" si="9"/>
        <v>#VALUE!</v>
      </c>
      <c r="L24" s="66" t="e">
        <f>H19+D32</f>
        <v>#VALUE!</v>
      </c>
      <c r="AB24" s="66"/>
    </row>
    <row r="25" spans="1:44" ht="15.75">
      <c r="B25" s="887" t="s">
        <v>70</v>
      </c>
      <c r="C25" s="885" t="e">
        <f t="shared" si="8"/>
        <v>#VALUE!</v>
      </c>
      <c r="D25" s="66" t="e">
        <f t="shared" si="9"/>
        <v>#VALUE!</v>
      </c>
    </row>
    <row r="26" spans="1:44" ht="15.75">
      <c r="B26" s="887" t="s">
        <v>79</v>
      </c>
      <c r="C26" s="885" t="e">
        <f t="shared" si="8"/>
        <v>#VALUE!</v>
      </c>
      <c r="D26" s="66" t="e">
        <f t="shared" si="9"/>
        <v>#VALUE!</v>
      </c>
    </row>
    <row r="27" spans="1:44" ht="15.75">
      <c r="B27" s="887" t="s">
        <v>87</v>
      </c>
      <c r="C27" s="885" t="e">
        <f t="shared" si="8"/>
        <v>#VALUE!</v>
      </c>
      <c r="D27" s="66" t="e">
        <f t="shared" si="9"/>
        <v>#VALUE!</v>
      </c>
    </row>
    <row r="28" spans="1:44" ht="15.75">
      <c r="B28" s="887" t="s">
        <v>92</v>
      </c>
      <c r="C28" s="885" t="e">
        <f t="shared" si="8"/>
        <v>#VALUE!</v>
      </c>
      <c r="D28" s="66" t="e">
        <f t="shared" si="9"/>
        <v>#VALUE!</v>
      </c>
    </row>
    <row r="29" spans="1:44" ht="15.75">
      <c r="B29" s="887" t="s">
        <v>20</v>
      </c>
      <c r="C29" s="885" t="e">
        <f t="shared" si="8"/>
        <v>#VALUE!</v>
      </c>
      <c r="D29" s="66" t="e">
        <f t="shared" si="9"/>
        <v>#VALUE!</v>
      </c>
    </row>
    <row r="30" spans="1:44" ht="15.75">
      <c r="B30" s="887" t="s">
        <v>109</v>
      </c>
      <c r="C30" s="885" t="e">
        <f t="shared" si="8"/>
        <v>#VALUE!</v>
      </c>
      <c r="D30" s="66" t="e">
        <f t="shared" si="9"/>
        <v>#VALUE!</v>
      </c>
    </row>
    <row r="31" spans="1:44" ht="15.75">
      <c r="B31" s="887" t="s">
        <v>194</v>
      </c>
      <c r="C31" s="885" t="e">
        <f t="shared" si="8"/>
        <v>#VALUE!</v>
      </c>
      <c r="D31" s="66" t="e">
        <f t="shared" si="9"/>
        <v>#VALUE!</v>
      </c>
    </row>
    <row r="32" spans="1:44">
      <c r="C32" s="889" t="e">
        <f>SUM(C21:C31)</f>
        <v>#VALUE!</v>
      </c>
      <c r="D32" s="890" t="e">
        <f t="shared" si="9"/>
        <v>#VALUE!</v>
      </c>
    </row>
    <row r="34" spans="6:6">
      <c r="F34" s="66" t="e">
        <f>D18+F18+C32</f>
        <v>#VALUE!</v>
      </c>
    </row>
  </sheetData>
  <mergeCells count="1">
    <mergeCell ref="AN5:AO5"/>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3:R156"/>
  <sheetViews>
    <sheetView topLeftCell="A34" workbookViewId="0">
      <selection activeCell="B153" sqref="B153:H156"/>
    </sheetView>
  </sheetViews>
  <sheetFormatPr defaultRowHeight="15"/>
  <cols>
    <col min="6" max="6" width="22.7109375" customWidth="1"/>
    <col min="7" max="7" width="13" customWidth="1"/>
    <col min="9" max="9" width="13.28515625" customWidth="1"/>
    <col min="15" max="15" width="19" customWidth="1"/>
    <col min="16" max="16" width="13" customWidth="1"/>
    <col min="18" max="18" width="12.5703125" customWidth="1"/>
  </cols>
  <sheetData>
    <row r="3" spans="1:9">
      <c r="A3" s="186" t="s">
        <v>485</v>
      </c>
      <c r="B3" s="187" t="s">
        <v>486</v>
      </c>
      <c r="C3" s="187" t="s">
        <v>487</v>
      </c>
      <c r="D3" s="187" t="s">
        <v>488</v>
      </c>
      <c r="E3" s="187" t="s">
        <v>489</v>
      </c>
      <c r="F3" s="187" t="s">
        <v>490</v>
      </c>
      <c r="G3" s="187" t="s">
        <v>491</v>
      </c>
      <c r="H3" s="187" t="s">
        <v>227</v>
      </c>
    </row>
    <row r="4" spans="1:9" ht="15.75" thickBot="1">
      <c r="A4" s="915" t="s">
        <v>492</v>
      </c>
      <c r="B4" s="916">
        <v>64171</v>
      </c>
      <c r="C4" s="190" t="s">
        <v>493</v>
      </c>
      <c r="D4" s="190" t="s">
        <v>494</v>
      </c>
      <c r="E4" s="190" t="s">
        <v>976</v>
      </c>
      <c r="F4" s="917">
        <v>-26382881</v>
      </c>
      <c r="G4" s="918">
        <v>1898301</v>
      </c>
      <c r="H4" s="916"/>
      <c r="I4" s="67">
        <f>-F4</f>
        <v>26382881</v>
      </c>
    </row>
    <row r="5" spans="1:9" ht="15.75" thickBot="1">
      <c r="A5" s="915" t="s">
        <v>492</v>
      </c>
      <c r="B5" s="916">
        <v>64171</v>
      </c>
      <c r="C5" s="193" t="s">
        <v>493</v>
      </c>
      <c r="D5" s="193" t="s">
        <v>496</v>
      </c>
      <c r="E5" s="193" t="s">
        <v>976</v>
      </c>
      <c r="F5" s="917">
        <v>-46406962</v>
      </c>
      <c r="G5" s="918">
        <v>1898302</v>
      </c>
      <c r="H5" s="916"/>
      <c r="I5" s="67">
        <f t="shared" ref="I5:I68" si="0">-F5</f>
        <v>46406962</v>
      </c>
    </row>
    <row r="6" spans="1:9" ht="15.75" thickBot="1">
      <c r="A6" s="915" t="s">
        <v>492</v>
      </c>
      <c r="B6" s="916">
        <v>64171</v>
      </c>
      <c r="C6" s="190" t="s">
        <v>493</v>
      </c>
      <c r="D6" s="190" t="s">
        <v>497</v>
      </c>
      <c r="E6" s="190" t="s">
        <v>976</v>
      </c>
      <c r="F6" s="917">
        <v>-29884256</v>
      </c>
      <c r="G6" s="918">
        <v>1898303</v>
      </c>
      <c r="H6" s="916"/>
      <c r="I6" s="67">
        <f t="shared" si="0"/>
        <v>29884256</v>
      </c>
    </row>
    <row r="7" spans="1:9" ht="15.75" thickBot="1">
      <c r="A7" s="915" t="s">
        <v>492</v>
      </c>
      <c r="B7" s="916">
        <v>64171</v>
      </c>
      <c r="C7" s="193" t="s">
        <v>493</v>
      </c>
      <c r="D7" s="193" t="s">
        <v>498</v>
      </c>
      <c r="E7" s="193" t="s">
        <v>976</v>
      </c>
      <c r="F7" s="917">
        <v>-10694291</v>
      </c>
      <c r="G7" s="918">
        <v>1898304</v>
      </c>
      <c r="H7" s="916"/>
      <c r="I7" s="67">
        <f t="shared" si="0"/>
        <v>10694291</v>
      </c>
    </row>
    <row r="8" spans="1:9" ht="15.75" thickBot="1">
      <c r="A8" s="915" t="s">
        <v>492</v>
      </c>
      <c r="B8" s="916">
        <v>64171</v>
      </c>
      <c r="C8" s="190" t="s">
        <v>493</v>
      </c>
      <c r="D8" s="190" t="s">
        <v>499</v>
      </c>
      <c r="E8" s="190" t="s">
        <v>976</v>
      </c>
      <c r="F8" s="917">
        <v>-7186257</v>
      </c>
      <c r="G8" s="918">
        <v>1898305</v>
      </c>
      <c r="H8" s="916"/>
      <c r="I8" s="67">
        <f t="shared" si="0"/>
        <v>7186257</v>
      </c>
    </row>
    <row r="9" spans="1:9" ht="15.75" thickBot="1">
      <c r="A9" s="915" t="s">
        <v>492</v>
      </c>
      <c r="B9" s="916">
        <v>64171</v>
      </c>
      <c r="C9" s="193" t="s">
        <v>493</v>
      </c>
      <c r="D9" s="193" t="s">
        <v>500</v>
      </c>
      <c r="E9" s="193" t="s">
        <v>976</v>
      </c>
      <c r="F9" s="917">
        <v>-17968179</v>
      </c>
      <c r="G9" s="918">
        <v>1898306</v>
      </c>
      <c r="H9" s="916"/>
      <c r="I9" s="67">
        <f t="shared" si="0"/>
        <v>17968179</v>
      </c>
    </row>
    <row r="10" spans="1:9" ht="15.75" thickBot="1">
      <c r="A10" s="915" t="s">
        <v>492</v>
      </c>
      <c r="B10" s="916">
        <v>64171</v>
      </c>
      <c r="C10" s="190" t="s">
        <v>493</v>
      </c>
      <c r="D10" s="190" t="s">
        <v>501</v>
      </c>
      <c r="E10" s="190" t="s">
        <v>976</v>
      </c>
      <c r="F10" s="917">
        <v>-5305341</v>
      </c>
      <c r="G10" s="918">
        <v>1898307</v>
      </c>
      <c r="H10" s="916"/>
      <c r="I10" s="67">
        <f t="shared" si="0"/>
        <v>5305341</v>
      </c>
    </row>
    <row r="11" spans="1:9" ht="15.75" thickBot="1">
      <c r="A11" s="915" t="s">
        <v>492</v>
      </c>
      <c r="B11" s="916">
        <v>64171</v>
      </c>
      <c r="C11" s="193" t="s">
        <v>493</v>
      </c>
      <c r="D11" s="193" t="s">
        <v>502</v>
      </c>
      <c r="E11" s="193" t="s">
        <v>976</v>
      </c>
      <c r="F11" s="917">
        <v>-5680273</v>
      </c>
      <c r="G11" s="918">
        <v>1898308</v>
      </c>
      <c r="H11" s="916"/>
      <c r="I11" s="67">
        <f t="shared" si="0"/>
        <v>5680273</v>
      </c>
    </row>
    <row r="12" spans="1:9" ht="15.75" thickBot="1">
      <c r="A12" s="915" t="s">
        <v>492</v>
      </c>
      <c r="B12" s="916">
        <v>64171</v>
      </c>
      <c r="C12" s="190" t="s">
        <v>493</v>
      </c>
      <c r="D12" s="190" t="s">
        <v>503</v>
      </c>
      <c r="E12" s="190" t="s">
        <v>976</v>
      </c>
      <c r="F12" s="917">
        <v>-28193023</v>
      </c>
      <c r="G12" s="918">
        <v>1898309</v>
      </c>
      <c r="H12" s="916"/>
      <c r="I12" s="67">
        <f t="shared" si="0"/>
        <v>28193023</v>
      </c>
    </row>
    <row r="13" spans="1:9" ht="15.75" thickBot="1">
      <c r="A13" s="915" t="s">
        <v>492</v>
      </c>
      <c r="B13" s="916">
        <v>64171</v>
      </c>
      <c r="C13" s="193" t="s">
        <v>493</v>
      </c>
      <c r="D13" s="193" t="s">
        <v>504</v>
      </c>
      <c r="E13" s="193" t="s">
        <v>976</v>
      </c>
      <c r="F13" s="917">
        <v>-5838</v>
      </c>
      <c r="G13" s="918">
        <v>1898310</v>
      </c>
      <c r="H13" s="916"/>
      <c r="I13" s="67">
        <f t="shared" si="0"/>
        <v>5838</v>
      </c>
    </row>
    <row r="14" spans="1:9" ht="15.75" thickBot="1">
      <c r="A14" s="915" t="s">
        <v>492</v>
      </c>
      <c r="B14" s="916">
        <v>64171</v>
      </c>
      <c r="C14" s="190" t="s">
        <v>493</v>
      </c>
      <c r="D14" s="190" t="s">
        <v>505</v>
      </c>
      <c r="E14" s="190" t="s">
        <v>976</v>
      </c>
      <c r="F14" s="917">
        <v>-5990840</v>
      </c>
      <c r="G14" s="918">
        <v>1898311</v>
      </c>
      <c r="H14" s="916"/>
      <c r="I14" s="67">
        <f t="shared" si="0"/>
        <v>5990840</v>
      </c>
    </row>
    <row r="15" spans="1:9" ht="15.75" thickBot="1">
      <c r="A15" s="915" t="s">
        <v>492</v>
      </c>
      <c r="B15" s="916">
        <v>64171</v>
      </c>
      <c r="C15" s="193" t="s">
        <v>493</v>
      </c>
      <c r="D15" s="193" t="s">
        <v>494</v>
      </c>
      <c r="E15" s="193" t="s">
        <v>977</v>
      </c>
      <c r="F15" s="917">
        <v>-21681126</v>
      </c>
      <c r="G15" s="918">
        <v>1898301</v>
      </c>
      <c r="H15" s="916"/>
      <c r="I15" s="67">
        <f t="shared" si="0"/>
        <v>21681126</v>
      </c>
    </row>
    <row r="16" spans="1:9" ht="15.75" thickBot="1">
      <c r="A16" s="915" t="s">
        <v>492</v>
      </c>
      <c r="B16" s="916">
        <v>64171</v>
      </c>
      <c r="C16" s="190" t="s">
        <v>493</v>
      </c>
      <c r="D16" s="190" t="s">
        <v>496</v>
      </c>
      <c r="E16" s="190" t="s">
        <v>977</v>
      </c>
      <c r="F16" s="917">
        <v>-23407797</v>
      </c>
      <c r="G16" s="918">
        <v>1898302</v>
      </c>
      <c r="H16" s="916"/>
      <c r="I16" s="67">
        <f t="shared" si="0"/>
        <v>23407797</v>
      </c>
    </row>
    <row r="17" spans="1:9" ht="15.75" thickBot="1">
      <c r="A17" s="915" t="s">
        <v>492</v>
      </c>
      <c r="B17" s="916">
        <v>64171</v>
      </c>
      <c r="C17" s="193" t="s">
        <v>493</v>
      </c>
      <c r="D17" s="193" t="s">
        <v>497</v>
      </c>
      <c r="E17" s="193" t="s">
        <v>977</v>
      </c>
      <c r="F17" s="917">
        <v>-40133709</v>
      </c>
      <c r="G17" s="918">
        <v>1898303</v>
      </c>
      <c r="H17" s="916"/>
      <c r="I17" s="67">
        <f t="shared" si="0"/>
        <v>40133709</v>
      </c>
    </row>
    <row r="18" spans="1:9" ht="15.75" thickBot="1">
      <c r="A18" s="915" t="s">
        <v>492</v>
      </c>
      <c r="B18" s="916">
        <v>64171</v>
      </c>
      <c r="C18" s="190" t="s">
        <v>493</v>
      </c>
      <c r="D18" s="190" t="s">
        <v>498</v>
      </c>
      <c r="E18" s="190" t="s">
        <v>977</v>
      </c>
      <c r="F18" s="917">
        <v>-11901336</v>
      </c>
      <c r="G18" s="918">
        <v>1898304</v>
      </c>
      <c r="H18" s="916"/>
      <c r="I18" s="67">
        <f t="shared" si="0"/>
        <v>11901336</v>
      </c>
    </row>
    <row r="19" spans="1:9" ht="15.75" thickBot="1">
      <c r="A19" s="915" t="s">
        <v>492</v>
      </c>
      <c r="B19" s="916">
        <v>64171</v>
      </c>
      <c r="C19" s="193" t="s">
        <v>493</v>
      </c>
      <c r="D19" s="193" t="s">
        <v>499</v>
      </c>
      <c r="E19" s="193" t="s">
        <v>977</v>
      </c>
      <c r="F19" s="917">
        <v>-7053495</v>
      </c>
      <c r="G19" s="918">
        <v>1898305</v>
      </c>
      <c r="H19" s="916"/>
      <c r="I19" s="67">
        <f t="shared" si="0"/>
        <v>7053495</v>
      </c>
    </row>
    <row r="20" spans="1:9" ht="15.75" thickBot="1">
      <c r="A20" s="915" t="s">
        <v>492</v>
      </c>
      <c r="B20" s="916">
        <v>64171</v>
      </c>
      <c r="C20" s="190" t="s">
        <v>493</v>
      </c>
      <c r="D20" s="190" t="s">
        <v>500</v>
      </c>
      <c r="E20" s="190" t="s">
        <v>977</v>
      </c>
      <c r="F20" s="917">
        <v>-16220528</v>
      </c>
      <c r="G20" s="918">
        <v>1898306</v>
      </c>
      <c r="H20" s="916"/>
      <c r="I20" s="67">
        <f t="shared" si="0"/>
        <v>16220528</v>
      </c>
    </row>
    <row r="21" spans="1:9" ht="15.75" thickBot="1">
      <c r="A21" s="915" t="s">
        <v>492</v>
      </c>
      <c r="B21" s="916">
        <v>64171</v>
      </c>
      <c r="C21" s="193" t="s">
        <v>493</v>
      </c>
      <c r="D21" s="193" t="s">
        <v>501</v>
      </c>
      <c r="E21" s="193" t="s">
        <v>977</v>
      </c>
      <c r="F21" s="917">
        <v>-6984424</v>
      </c>
      <c r="G21" s="918">
        <v>1898307</v>
      </c>
      <c r="H21" s="916"/>
      <c r="I21" s="67">
        <f t="shared" si="0"/>
        <v>6984424</v>
      </c>
    </row>
    <row r="22" spans="1:9" ht="15.75" thickBot="1">
      <c r="A22" s="915" t="s">
        <v>492</v>
      </c>
      <c r="B22" s="916">
        <v>64171</v>
      </c>
      <c r="C22" s="190" t="s">
        <v>493</v>
      </c>
      <c r="D22" s="190" t="s">
        <v>502</v>
      </c>
      <c r="E22" s="190" t="s">
        <v>977</v>
      </c>
      <c r="F22" s="917">
        <v>-3217693</v>
      </c>
      <c r="G22" s="918">
        <v>1898308</v>
      </c>
      <c r="H22" s="916"/>
      <c r="I22" s="67">
        <f t="shared" si="0"/>
        <v>3217693</v>
      </c>
    </row>
    <row r="23" spans="1:9" ht="15.75" thickBot="1">
      <c r="A23" s="915" t="s">
        <v>492</v>
      </c>
      <c r="B23" s="916">
        <v>64171</v>
      </c>
      <c r="C23" s="193" t="s">
        <v>493</v>
      </c>
      <c r="D23" s="193" t="s">
        <v>503</v>
      </c>
      <c r="E23" s="193" t="s">
        <v>977</v>
      </c>
      <c r="F23" s="917">
        <v>-16632831</v>
      </c>
      <c r="G23" s="918">
        <v>1898309</v>
      </c>
      <c r="H23" s="916"/>
      <c r="I23" s="67">
        <f t="shared" si="0"/>
        <v>16632831</v>
      </c>
    </row>
    <row r="24" spans="1:9" ht="15.75" thickBot="1">
      <c r="A24" s="915" t="s">
        <v>492</v>
      </c>
      <c r="B24" s="916">
        <v>64171</v>
      </c>
      <c r="C24" s="190" t="s">
        <v>493</v>
      </c>
      <c r="D24" s="190" t="s">
        <v>504</v>
      </c>
      <c r="E24" s="190" t="s">
        <v>977</v>
      </c>
      <c r="F24" s="917">
        <v>-42545</v>
      </c>
      <c r="G24" s="918">
        <v>1898310</v>
      </c>
      <c r="H24" s="916"/>
      <c r="I24" s="67">
        <f t="shared" si="0"/>
        <v>42545</v>
      </c>
    </row>
    <row r="25" spans="1:9" ht="15.75" thickBot="1">
      <c r="A25" s="915" t="s">
        <v>492</v>
      </c>
      <c r="B25" s="916">
        <v>64171</v>
      </c>
      <c r="C25" s="193" t="s">
        <v>493</v>
      </c>
      <c r="D25" s="193" t="s">
        <v>494</v>
      </c>
      <c r="E25" s="193" t="s">
        <v>978</v>
      </c>
      <c r="F25" s="917">
        <v>-79082</v>
      </c>
      <c r="G25" s="918">
        <v>1898301</v>
      </c>
      <c r="H25" s="916"/>
      <c r="I25" s="67">
        <f t="shared" si="0"/>
        <v>79082</v>
      </c>
    </row>
    <row r="26" spans="1:9" ht="15.75" thickBot="1">
      <c r="A26" s="915" t="s">
        <v>492</v>
      </c>
      <c r="B26" s="916">
        <v>64171</v>
      </c>
      <c r="C26" s="190" t="s">
        <v>493</v>
      </c>
      <c r="D26" s="190" t="s">
        <v>496</v>
      </c>
      <c r="E26" s="190" t="s">
        <v>978</v>
      </c>
      <c r="F26" s="917">
        <v>-9031</v>
      </c>
      <c r="G26" s="918">
        <v>1898302</v>
      </c>
      <c r="H26" s="916"/>
      <c r="I26" s="67">
        <f t="shared" si="0"/>
        <v>9031</v>
      </c>
    </row>
    <row r="27" spans="1:9" ht="15.75" thickBot="1">
      <c r="A27" s="915" t="s">
        <v>492</v>
      </c>
      <c r="B27" s="916">
        <v>64171</v>
      </c>
      <c r="C27" s="193" t="s">
        <v>493</v>
      </c>
      <c r="D27" s="193" t="s">
        <v>500</v>
      </c>
      <c r="E27" s="193" t="s">
        <v>978</v>
      </c>
      <c r="F27" s="917">
        <v>-280185</v>
      </c>
      <c r="G27" s="918">
        <v>1898306</v>
      </c>
      <c r="H27" s="916"/>
      <c r="I27" s="67">
        <f t="shared" si="0"/>
        <v>280185</v>
      </c>
    </row>
    <row r="28" spans="1:9" ht="15.75" thickBot="1">
      <c r="A28" s="915" t="s">
        <v>492</v>
      </c>
      <c r="B28" s="916">
        <v>64171</v>
      </c>
      <c r="C28" s="190" t="s">
        <v>493</v>
      </c>
      <c r="D28" s="190" t="s">
        <v>502</v>
      </c>
      <c r="E28" s="190" t="s">
        <v>978</v>
      </c>
      <c r="F28" s="917">
        <v>-28882</v>
      </c>
      <c r="G28" s="918">
        <v>1898308</v>
      </c>
      <c r="H28" s="916"/>
      <c r="I28" s="67">
        <f t="shared" si="0"/>
        <v>28882</v>
      </c>
    </row>
    <row r="29" spans="1:9" ht="15.75" thickBot="1">
      <c r="A29" s="915" t="s">
        <v>492</v>
      </c>
      <c r="B29" s="916">
        <v>64171</v>
      </c>
      <c r="C29" s="193" t="s">
        <v>493</v>
      </c>
      <c r="D29" s="193" t="s">
        <v>504</v>
      </c>
      <c r="E29" s="193" t="s">
        <v>978</v>
      </c>
      <c r="F29" s="917">
        <v>-132611</v>
      </c>
      <c r="G29" s="918">
        <v>1898310</v>
      </c>
      <c r="H29" s="916"/>
      <c r="I29" s="67">
        <f t="shared" si="0"/>
        <v>132611</v>
      </c>
    </row>
    <row r="30" spans="1:9" ht="15.75" thickBot="1">
      <c r="A30" s="915" t="s">
        <v>492</v>
      </c>
      <c r="B30" s="916">
        <v>64171</v>
      </c>
      <c r="C30" s="190" t="s">
        <v>493</v>
      </c>
      <c r="D30" s="190" t="s">
        <v>494</v>
      </c>
      <c r="E30" s="190" t="s">
        <v>979</v>
      </c>
      <c r="F30" s="917">
        <v>-5737250</v>
      </c>
      <c r="G30" s="918">
        <v>1898301</v>
      </c>
      <c r="H30" s="916"/>
      <c r="I30" s="67">
        <f t="shared" si="0"/>
        <v>5737250</v>
      </c>
    </row>
    <row r="31" spans="1:9" ht="15.75" thickBot="1">
      <c r="A31" s="915" t="s">
        <v>492</v>
      </c>
      <c r="B31" s="916">
        <v>64171</v>
      </c>
      <c r="C31" s="193" t="s">
        <v>493</v>
      </c>
      <c r="D31" s="193" t="s">
        <v>496</v>
      </c>
      <c r="E31" s="193" t="s">
        <v>979</v>
      </c>
      <c r="F31" s="917">
        <v>-4561542</v>
      </c>
      <c r="G31" s="918">
        <v>1898302</v>
      </c>
      <c r="H31" s="916"/>
      <c r="I31" s="67">
        <f t="shared" si="0"/>
        <v>4561542</v>
      </c>
    </row>
    <row r="32" spans="1:9" ht="15.75" thickBot="1">
      <c r="A32" s="915" t="s">
        <v>492</v>
      </c>
      <c r="B32" s="916">
        <v>64171</v>
      </c>
      <c r="C32" s="190" t="s">
        <v>493</v>
      </c>
      <c r="D32" s="190" t="s">
        <v>497</v>
      </c>
      <c r="E32" s="190" t="s">
        <v>979</v>
      </c>
      <c r="F32" s="917">
        <v>-12747836</v>
      </c>
      <c r="G32" s="918">
        <v>1898303</v>
      </c>
      <c r="H32" s="916"/>
      <c r="I32" s="67">
        <f t="shared" si="0"/>
        <v>12747836</v>
      </c>
    </row>
    <row r="33" spans="1:18" ht="15.75" thickBot="1">
      <c r="A33" s="915" t="s">
        <v>492</v>
      </c>
      <c r="B33" s="916">
        <v>64171</v>
      </c>
      <c r="C33" s="193" t="s">
        <v>493</v>
      </c>
      <c r="D33" s="193" t="s">
        <v>498</v>
      </c>
      <c r="E33" s="193" t="s">
        <v>979</v>
      </c>
      <c r="F33" s="917">
        <v>-2836655</v>
      </c>
      <c r="G33" s="918">
        <v>1898304</v>
      </c>
      <c r="H33" s="916"/>
      <c r="I33" s="67">
        <f t="shared" si="0"/>
        <v>2836655</v>
      </c>
    </row>
    <row r="34" spans="1:18" ht="15.75" thickBot="1">
      <c r="A34" s="915" t="s">
        <v>492</v>
      </c>
      <c r="B34" s="916">
        <v>64171</v>
      </c>
      <c r="C34" s="190" t="s">
        <v>493</v>
      </c>
      <c r="D34" s="190" t="s">
        <v>499</v>
      </c>
      <c r="E34" s="190" t="s">
        <v>979</v>
      </c>
      <c r="F34" s="917">
        <v>-1944049</v>
      </c>
      <c r="G34" s="918">
        <v>1898305</v>
      </c>
      <c r="H34" s="916"/>
      <c r="I34" s="67">
        <f t="shared" si="0"/>
        <v>1944049</v>
      </c>
    </row>
    <row r="35" spans="1:18" ht="15.75" thickBot="1">
      <c r="A35" s="915" t="s">
        <v>492</v>
      </c>
      <c r="B35" s="916">
        <v>64171</v>
      </c>
      <c r="C35" s="193" t="s">
        <v>493</v>
      </c>
      <c r="D35" s="193" t="s">
        <v>500</v>
      </c>
      <c r="E35" s="193" t="s">
        <v>979</v>
      </c>
      <c r="F35" s="917">
        <v>-3195709</v>
      </c>
      <c r="G35" s="918">
        <v>1898306</v>
      </c>
      <c r="H35" s="916"/>
      <c r="I35" s="67">
        <f t="shared" si="0"/>
        <v>3195709</v>
      </c>
      <c r="O35" t="s">
        <v>1393</v>
      </c>
    </row>
    <row r="36" spans="1:18" ht="15.75" thickBot="1">
      <c r="A36" s="915" t="s">
        <v>492</v>
      </c>
      <c r="B36" s="916">
        <v>64171</v>
      </c>
      <c r="C36" s="190" t="s">
        <v>493</v>
      </c>
      <c r="D36" s="190" t="s">
        <v>501</v>
      </c>
      <c r="E36" s="190" t="s">
        <v>979</v>
      </c>
      <c r="F36" s="917">
        <v>-2190568</v>
      </c>
      <c r="G36" s="918">
        <v>1898307</v>
      </c>
      <c r="H36" s="916"/>
      <c r="I36" s="67">
        <f t="shared" si="0"/>
        <v>2190568</v>
      </c>
      <c r="K36" s="199" t="s">
        <v>492</v>
      </c>
      <c r="L36" s="200">
        <v>64171</v>
      </c>
      <c r="M36" s="201" t="s">
        <v>493</v>
      </c>
      <c r="N36" s="201" t="s">
        <v>498</v>
      </c>
      <c r="O36" s="201" t="s">
        <v>991</v>
      </c>
      <c r="P36" s="202">
        <v>5310400</v>
      </c>
      <c r="Q36" s="203" t="s">
        <v>1389</v>
      </c>
      <c r="R36" s="67">
        <f>-P36</f>
        <v>-5310400</v>
      </c>
    </row>
    <row r="37" spans="1:18" ht="15.75" hidden="1" thickBot="1">
      <c r="A37" s="915" t="s">
        <v>492</v>
      </c>
      <c r="B37" s="916">
        <v>64171</v>
      </c>
      <c r="C37" s="193" t="s">
        <v>493</v>
      </c>
      <c r="D37" s="193" t="s">
        <v>502</v>
      </c>
      <c r="E37" s="193" t="s">
        <v>979</v>
      </c>
      <c r="F37" s="917">
        <v>-735410</v>
      </c>
      <c r="G37" s="918">
        <v>1898308</v>
      </c>
      <c r="H37" s="916"/>
      <c r="I37" s="67">
        <f t="shared" si="0"/>
        <v>735410</v>
      </c>
      <c r="K37" s="199" t="s">
        <v>492</v>
      </c>
      <c r="L37" s="200">
        <v>64171</v>
      </c>
      <c r="M37" s="201" t="s">
        <v>493</v>
      </c>
      <c r="N37" s="201" t="s">
        <v>498</v>
      </c>
      <c r="O37" s="201" t="s">
        <v>506</v>
      </c>
      <c r="P37" s="202">
        <v>286700</v>
      </c>
      <c r="Q37" s="203" t="s">
        <v>1389</v>
      </c>
      <c r="R37" s="67">
        <f t="shared" ref="R37:R55" si="1">-P37</f>
        <v>-286700</v>
      </c>
    </row>
    <row r="38" spans="1:18" ht="15.75" hidden="1" thickBot="1">
      <c r="A38" s="915" t="s">
        <v>492</v>
      </c>
      <c r="B38" s="916">
        <v>64171</v>
      </c>
      <c r="C38" s="190" t="s">
        <v>493</v>
      </c>
      <c r="D38" s="190" t="s">
        <v>503</v>
      </c>
      <c r="E38" s="190" t="s">
        <v>979</v>
      </c>
      <c r="F38" s="917">
        <v>-4531646</v>
      </c>
      <c r="G38" s="918">
        <v>1898309</v>
      </c>
      <c r="H38" s="916"/>
      <c r="I38" s="67">
        <f t="shared" si="0"/>
        <v>4531646</v>
      </c>
      <c r="K38" s="199" t="s">
        <v>492</v>
      </c>
      <c r="L38" s="200">
        <v>64171</v>
      </c>
      <c r="M38" s="201" t="s">
        <v>493</v>
      </c>
      <c r="N38" s="201" t="s">
        <v>498</v>
      </c>
      <c r="O38" s="201" t="s">
        <v>516</v>
      </c>
      <c r="P38" s="202">
        <v>394000</v>
      </c>
      <c r="Q38" s="203" t="s">
        <v>1389</v>
      </c>
      <c r="R38" s="67">
        <f t="shared" si="1"/>
        <v>-394000</v>
      </c>
    </row>
    <row r="39" spans="1:18" ht="15.75" hidden="1" thickBot="1">
      <c r="A39" s="915" t="s">
        <v>492</v>
      </c>
      <c r="B39" s="916">
        <v>64171</v>
      </c>
      <c r="C39" s="193" t="s">
        <v>493</v>
      </c>
      <c r="D39" s="193" t="s">
        <v>494</v>
      </c>
      <c r="E39" s="193" t="s">
        <v>980</v>
      </c>
      <c r="F39" s="917">
        <v>-63879</v>
      </c>
      <c r="G39" s="918">
        <v>1898301</v>
      </c>
      <c r="H39" s="916"/>
      <c r="I39" s="67">
        <f t="shared" si="0"/>
        <v>63879</v>
      </c>
      <c r="K39" s="199" t="s">
        <v>492</v>
      </c>
      <c r="L39" s="200">
        <v>64171</v>
      </c>
      <c r="M39" s="201" t="s">
        <v>493</v>
      </c>
      <c r="N39" s="201" t="s">
        <v>498</v>
      </c>
      <c r="O39" s="201" t="s">
        <v>507</v>
      </c>
      <c r="P39" s="202">
        <v>336800</v>
      </c>
      <c r="Q39" s="203" t="s">
        <v>1389</v>
      </c>
      <c r="R39" s="67">
        <f t="shared" si="1"/>
        <v>-336800</v>
      </c>
    </row>
    <row r="40" spans="1:18" ht="15.75" thickBot="1">
      <c r="A40" s="915" t="s">
        <v>492</v>
      </c>
      <c r="B40" s="916">
        <v>64171</v>
      </c>
      <c r="C40" s="190" t="s">
        <v>493</v>
      </c>
      <c r="D40" s="190" t="s">
        <v>494</v>
      </c>
      <c r="E40" s="190" t="s">
        <v>981</v>
      </c>
      <c r="F40" s="917">
        <v>-853393</v>
      </c>
      <c r="G40" s="918">
        <v>1898301</v>
      </c>
      <c r="H40" s="916"/>
      <c r="I40" s="67">
        <f t="shared" si="0"/>
        <v>853393</v>
      </c>
      <c r="K40" s="199" t="s">
        <v>492</v>
      </c>
      <c r="L40" s="200">
        <v>64171</v>
      </c>
      <c r="M40" s="201" t="s">
        <v>493</v>
      </c>
      <c r="N40" s="201" t="s">
        <v>500</v>
      </c>
      <c r="O40" s="201" t="s">
        <v>991</v>
      </c>
      <c r="P40" s="202">
        <v>13949400</v>
      </c>
      <c r="Q40" s="203" t="s">
        <v>1390</v>
      </c>
      <c r="R40" s="67">
        <f t="shared" si="1"/>
        <v>-13949400</v>
      </c>
    </row>
    <row r="41" spans="1:18" ht="15.75" hidden="1" thickBot="1">
      <c r="A41" s="915" t="s">
        <v>492</v>
      </c>
      <c r="B41" s="916">
        <v>64171</v>
      </c>
      <c r="C41" s="193" t="s">
        <v>493</v>
      </c>
      <c r="D41" s="193" t="s">
        <v>496</v>
      </c>
      <c r="E41" s="193" t="s">
        <v>981</v>
      </c>
      <c r="F41" s="917">
        <v>-2813432</v>
      </c>
      <c r="G41" s="918">
        <v>1898302</v>
      </c>
      <c r="H41" s="916"/>
      <c r="I41" s="67">
        <f t="shared" si="0"/>
        <v>2813432</v>
      </c>
      <c r="K41" s="199" t="s">
        <v>492</v>
      </c>
      <c r="L41" s="200">
        <v>64171</v>
      </c>
      <c r="M41" s="201" t="s">
        <v>493</v>
      </c>
      <c r="N41" s="201" t="s">
        <v>500</v>
      </c>
      <c r="O41" s="201" t="s">
        <v>509</v>
      </c>
      <c r="P41" s="202">
        <v>2200000</v>
      </c>
      <c r="Q41" s="203" t="s">
        <v>1390</v>
      </c>
      <c r="R41" s="67">
        <f t="shared" si="1"/>
        <v>-2200000</v>
      </c>
    </row>
    <row r="42" spans="1:18" ht="15.75" hidden="1" thickBot="1">
      <c r="A42" s="915" t="s">
        <v>492</v>
      </c>
      <c r="B42" s="916">
        <v>64171</v>
      </c>
      <c r="C42" s="190" t="s">
        <v>493</v>
      </c>
      <c r="D42" s="190" t="s">
        <v>497</v>
      </c>
      <c r="E42" s="190" t="s">
        <v>981</v>
      </c>
      <c r="F42" s="917">
        <v>-905841</v>
      </c>
      <c r="G42" s="918">
        <v>1898303</v>
      </c>
      <c r="H42" s="916"/>
      <c r="I42" s="67">
        <f t="shared" si="0"/>
        <v>905841</v>
      </c>
      <c r="K42" s="199" t="s">
        <v>492</v>
      </c>
      <c r="L42" s="200">
        <v>64171</v>
      </c>
      <c r="M42" s="201" t="s">
        <v>493</v>
      </c>
      <c r="N42" s="201" t="s">
        <v>500</v>
      </c>
      <c r="O42" s="201" t="s">
        <v>506</v>
      </c>
      <c r="P42" s="202">
        <v>959000</v>
      </c>
      <c r="Q42" s="203" t="s">
        <v>1390</v>
      </c>
      <c r="R42" s="67">
        <f t="shared" si="1"/>
        <v>-959000</v>
      </c>
    </row>
    <row r="43" spans="1:18" ht="15.75" hidden="1" thickBot="1">
      <c r="A43" s="915" t="s">
        <v>492</v>
      </c>
      <c r="B43" s="916">
        <v>64171</v>
      </c>
      <c r="C43" s="193" t="s">
        <v>493</v>
      </c>
      <c r="D43" s="193" t="s">
        <v>498</v>
      </c>
      <c r="E43" s="193" t="s">
        <v>981</v>
      </c>
      <c r="F43" s="917">
        <v>-179084</v>
      </c>
      <c r="G43" s="918">
        <v>1898304</v>
      </c>
      <c r="H43" s="916"/>
      <c r="I43" s="67">
        <f t="shared" si="0"/>
        <v>179084</v>
      </c>
      <c r="K43" s="199" t="s">
        <v>492</v>
      </c>
      <c r="L43" s="200">
        <v>64171</v>
      </c>
      <c r="M43" s="201" t="s">
        <v>493</v>
      </c>
      <c r="N43" s="201" t="s">
        <v>500</v>
      </c>
      <c r="O43" s="201" t="s">
        <v>1387</v>
      </c>
      <c r="P43" s="202">
        <v>110000</v>
      </c>
      <c r="Q43" s="203" t="s">
        <v>1390</v>
      </c>
      <c r="R43" s="67">
        <f t="shared" si="1"/>
        <v>-110000</v>
      </c>
    </row>
    <row r="44" spans="1:18" ht="15.75" hidden="1" thickBot="1">
      <c r="A44" s="915" t="s">
        <v>492</v>
      </c>
      <c r="B44" s="916">
        <v>64171</v>
      </c>
      <c r="C44" s="190" t="s">
        <v>493</v>
      </c>
      <c r="D44" s="190" t="s">
        <v>499</v>
      </c>
      <c r="E44" s="190" t="s">
        <v>981</v>
      </c>
      <c r="F44" s="917">
        <v>-173656</v>
      </c>
      <c r="G44" s="918">
        <v>1898305</v>
      </c>
      <c r="H44" s="916"/>
      <c r="I44" s="67">
        <f t="shared" si="0"/>
        <v>173656</v>
      </c>
      <c r="K44" s="199" t="s">
        <v>492</v>
      </c>
      <c r="L44" s="200">
        <v>64171</v>
      </c>
      <c r="M44" s="201" t="s">
        <v>493</v>
      </c>
      <c r="N44" s="201" t="s">
        <v>500</v>
      </c>
      <c r="O44" s="201" t="s">
        <v>507</v>
      </c>
      <c r="P44" s="202">
        <v>805200</v>
      </c>
      <c r="Q44" s="203" t="s">
        <v>1390</v>
      </c>
      <c r="R44" s="67">
        <f t="shared" si="1"/>
        <v>-805200</v>
      </c>
    </row>
    <row r="45" spans="1:18" ht="15.75" thickBot="1">
      <c r="A45" s="915" t="s">
        <v>492</v>
      </c>
      <c r="B45" s="916">
        <v>64171</v>
      </c>
      <c r="C45" s="193" t="s">
        <v>493</v>
      </c>
      <c r="D45" s="193" t="s">
        <v>500</v>
      </c>
      <c r="E45" s="193" t="s">
        <v>981</v>
      </c>
      <c r="F45" s="917">
        <v>-465001</v>
      </c>
      <c r="G45" s="918">
        <v>1898306</v>
      </c>
      <c r="H45" s="916"/>
      <c r="I45" s="67">
        <f t="shared" si="0"/>
        <v>465001</v>
      </c>
      <c r="K45" s="199" t="s">
        <v>492</v>
      </c>
      <c r="L45" s="200">
        <v>64171</v>
      </c>
      <c r="M45" s="201" t="s">
        <v>493</v>
      </c>
      <c r="N45" s="201" t="s">
        <v>502</v>
      </c>
      <c r="O45" s="201" t="s">
        <v>991</v>
      </c>
      <c r="P45" s="202">
        <v>3817480</v>
      </c>
      <c r="Q45" s="203" t="s">
        <v>1391</v>
      </c>
      <c r="R45" s="67">
        <f t="shared" si="1"/>
        <v>-3817480</v>
      </c>
    </row>
    <row r="46" spans="1:18" ht="15.75" hidden="1" thickBot="1">
      <c r="A46" s="915" t="s">
        <v>492</v>
      </c>
      <c r="B46" s="916">
        <v>64171</v>
      </c>
      <c r="C46" s="190" t="s">
        <v>493</v>
      </c>
      <c r="D46" s="190" t="s">
        <v>501</v>
      </c>
      <c r="E46" s="190" t="s">
        <v>981</v>
      </c>
      <c r="F46" s="917">
        <v>-180431</v>
      </c>
      <c r="G46" s="918">
        <v>1898307</v>
      </c>
      <c r="H46" s="916"/>
      <c r="I46" s="67">
        <f t="shared" si="0"/>
        <v>180431</v>
      </c>
      <c r="K46" s="199" t="s">
        <v>492</v>
      </c>
      <c r="L46" s="200">
        <v>64171</v>
      </c>
      <c r="M46" s="201" t="s">
        <v>493</v>
      </c>
      <c r="N46" s="201" t="s">
        <v>502</v>
      </c>
      <c r="O46" s="201" t="s">
        <v>508</v>
      </c>
      <c r="P46" s="202">
        <v>109091</v>
      </c>
      <c r="Q46" s="203" t="s">
        <v>1391</v>
      </c>
      <c r="R46" s="67">
        <f t="shared" si="1"/>
        <v>-109091</v>
      </c>
    </row>
    <row r="47" spans="1:18" ht="15.75" hidden="1" thickBot="1">
      <c r="A47" s="915" t="s">
        <v>492</v>
      </c>
      <c r="B47" s="916">
        <v>64171</v>
      </c>
      <c r="C47" s="193" t="s">
        <v>493</v>
      </c>
      <c r="D47" s="193" t="s">
        <v>502</v>
      </c>
      <c r="E47" s="193" t="s">
        <v>981</v>
      </c>
      <c r="F47" s="917">
        <v>-105715</v>
      </c>
      <c r="G47" s="918">
        <v>1898308</v>
      </c>
      <c r="H47" s="916"/>
      <c r="I47" s="67">
        <f t="shared" si="0"/>
        <v>105715</v>
      </c>
      <c r="K47" s="199" t="s">
        <v>492</v>
      </c>
      <c r="L47" s="200">
        <v>64171</v>
      </c>
      <c r="M47" s="201" t="s">
        <v>493</v>
      </c>
      <c r="N47" s="201" t="s">
        <v>502</v>
      </c>
      <c r="O47" s="201" t="s">
        <v>506</v>
      </c>
      <c r="P47" s="202">
        <v>167200</v>
      </c>
      <c r="Q47" s="203" t="s">
        <v>1391</v>
      </c>
      <c r="R47" s="67">
        <f t="shared" si="1"/>
        <v>-167200</v>
      </c>
    </row>
    <row r="48" spans="1:18" ht="15.75" hidden="1" thickBot="1">
      <c r="A48" s="915" t="s">
        <v>492</v>
      </c>
      <c r="B48" s="916">
        <v>64171</v>
      </c>
      <c r="C48" s="190" t="s">
        <v>493</v>
      </c>
      <c r="D48" s="190" t="s">
        <v>503</v>
      </c>
      <c r="E48" s="190" t="s">
        <v>981</v>
      </c>
      <c r="F48" s="917">
        <v>-401815</v>
      </c>
      <c r="G48" s="918">
        <v>1898309</v>
      </c>
      <c r="H48" s="916"/>
      <c r="I48" s="67">
        <f t="shared" si="0"/>
        <v>401815</v>
      </c>
      <c r="K48" s="199" t="s">
        <v>492</v>
      </c>
      <c r="L48" s="200">
        <v>64171</v>
      </c>
      <c r="M48" s="201" t="s">
        <v>493</v>
      </c>
      <c r="N48" s="201" t="s">
        <v>502</v>
      </c>
      <c r="O48" s="201" t="s">
        <v>516</v>
      </c>
      <c r="P48" s="202">
        <v>3547800</v>
      </c>
      <c r="Q48" s="203" t="s">
        <v>1391</v>
      </c>
      <c r="R48" s="67">
        <f t="shared" si="1"/>
        <v>-3547800</v>
      </c>
    </row>
    <row r="49" spans="1:18" ht="15.75" hidden="1" thickBot="1">
      <c r="A49" s="915" t="s">
        <v>492</v>
      </c>
      <c r="B49" s="916">
        <v>64171</v>
      </c>
      <c r="C49" s="193" t="s">
        <v>493</v>
      </c>
      <c r="D49" s="193" t="s">
        <v>494</v>
      </c>
      <c r="E49" s="193" t="s">
        <v>982</v>
      </c>
      <c r="F49" s="917">
        <v>-376462</v>
      </c>
      <c r="G49" s="918">
        <v>1898301</v>
      </c>
      <c r="H49" s="916"/>
      <c r="I49" s="67">
        <f t="shared" si="0"/>
        <v>376462</v>
      </c>
      <c r="K49" s="199" t="s">
        <v>492</v>
      </c>
      <c r="L49" s="200">
        <v>64171</v>
      </c>
      <c r="M49" s="201" t="s">
        <v>493</v>
      </c>
      <c r="N49" s="201" t="s">
        <v>502</v>
      </c>
      <c r="O49" s="201" t="s">
        <v>507</v>
      </c>
      <c r="P49" s="202">
        <v>629200</v>
      </c>
      <c r="Q49" s="203" t="s">
        <v>1391</v>
      </c>
      <c r="R49" s="67">
        <f t="shared" si="1"/>
        <v>-629200</v>
      </c>
    </row>
    <row r="50" spans="1:18" ht="15.75" thickBot="1">
      <c r="A50" s="915" t="s">
        <v>492</v>
      </c>
      <c r="B50" s="916">
        <v>64171</v>
      </c>
      <c r="C50" s="190" t="s">
        <v>493</v>
      </c>
      <c r="D50" s="190" t="s">
        <v>496</v>
      </c>
      <c r="E50" s="190" t="s">
        <v>982</v>
      </c>
      <c r="F50" s="917">
        <v>-1070364</v>
      </c>
      <c r="G50" s="918">
        <v>1898302</v>
      </c>
      <c r="H50" s="916"/>
      <c r="I50" s="67">
        <f t="shared" si="0"/>
        <v>1070364</v>
      </c>
      <c r="K50" s="199" t="s">
        <v>492</v>
      </c>
      <c r="L50" s="200">
        <v>64171</v>
      </c>
      <c r="M50" s="201" t="s">
        <v>493</v>
      </c>
      <c r="N50" s="201" t="s">
        <v>497</v>
      </c>
      <c r="O50" s="201" t="s">
        <v>991</v>
      </c>
      <c r="P50" s="202">
        <v>18091640</v>
      </c>
      <c r="Q50" s="203" t="s">
        <v>1388</v>
      </c>
      <c r="R50" s="67">
        <f t="shared" si="1"/>
        <v>-18091640</v>
      </c>
    </row>
    <row r="51" spans="1:18" ht="15.75" hidden="1" thickBot="1">
      <c r="A51" s="915" t="s">
        <v>492</v>
      </c>
      <c r="B51" s="916">
        <v>64171</v>
      </c>
      <c r="C51" s="193" t="s">
        <v>493</v>
      </c>
      <c r="D51" s="193" t="s">
        <v>497</v>
      </c>
      <c r="E51" s="193" t="s">
        <v>982</v>
      </c>
      <c r="F51" s="917">
        <v>-62551</v>
      </c>
      <c r="G51" s="918">
        <v>1898303</v>
      </c>
      <c r="H51" s="916"/>
      <c r="I51" s="67">
        <f t="shared" si="0"/>
        <v>62551</v>
      </c>
      <c r="K51" s="199" t="s">
        <v>492</v>
      </c>
      <c r="L51" s="200">
        <v>64171</v>
      </c>
      <c r="M51" s="201" t="s">
        <v>493</v>
      </c>
      <c r="N51" s="201" t="s">
        <v>497</v>
      </c>
      <c r="O51" s="201" t="s">
        <v>506</v>
      </c>
      <c r="P51" s="202">
        <v>3810500</v>
      </c>
      <c r="Q51" s="203" t="s">
        <v>1388</v>
      </c>
      <c r="R51" s="67">
        <f t="shared" si="1"/>
        <v>-3810500</v>
      </c>
    </row>
    <row r="52" spans="1:18" ht="15.75" hidden="1" thickBot="1">
      <c r="A52" s="915" t="s">
        <v>492</v>
      </c>
      <c r="B52" s="916">
        <v>64171</v>
      </c>
      <c r="C52" s="190" t="s">
        <v>493</v>
      </c>
      <c r="D52" s="190" t="s">
        <v>498</v>
      </c>
      <c r="E52" s="190" t="s">
        <v>982</v>
      </c>
      <c r="F52" s="917">
        <v>-28519</v>
      </c>
      <c r="G52" s="918">
        <v>1898304</v>
      </c>
      <c r="H52" s="916"/>
      <c r="I52" s="67">
        <f t="shared" si="0"/>
        <v>28519</v>
      </c>
      <c r="K52" s="199" t="s">
        <v>492</v>
      </c>
      <c r="L52" s="200">
        <v>64171</v>
      </c>
      <c r="M52" s="201" t="s">
        <v>493</v>
      </c>
      <c r="N52" s="201" t="s">
        <v>497</v>
      </c>
      <c r="O52" s="201" t="s">
        <v>514</v>
      </c>
      <c r="P52" s="202">
        <v>3000000</v>
      </c>
      <c r="Q52" s="203" t="s">
        <v>1388</v>
      </c>
      <c r="R52" s="67">
        <f t="shared" si="1"/>
        <v>-3000000</v>
      </c>
    </row>
    <row r="53" spans="1:18" ht="15.75" hidden="1" thickBot="1">
      <c r="A53" s="915" t="s">
        <v>492</v>
      </c>
      <c r="B53" s="916">
        <v>64171</v>
      </c>
      <c r="C53" s="193" t="s">
        <v>493</v>
      </c>
      <c r="D53" s="193" t="s">
        <v>499</v>
      </c>
      <c r="E53" s="193" t="s">
        <v>982</v>
      </c>
      <c r="F53" s="917">
        <v>-3240</v>
      </c>
      <c r="G53" s="918">
        <v>1898305</v>
      </c>
      <c r="H53" s="916"/>
      <c r="I53" s="67">
        <f t="shared" si="0"/>
        <v>3240</v>
      </c>
      <c r="K53" s="199" t="s">
        <v>492</v>
      </c>
      <c r="L53" s="200">
        <v>64171</v>
      </c>
      <c r="M53" s="201" t="s">
        <v>493</v>
      </c>
      <c r="N53" s="201" t="s">
        <v>497</v>
      </c>
      <c r="O53" s="201" t="s">
        <v>516</v>
      </c>
      <c r="P53" s="202">
        <v>394200</v>
      </c>
      <c r="Q53" s="203" t="s">
        <v>1388</v>
      </c>
      <c r="R53" s="67">
        <f t="shared" si="1"/>
        <v>-394200</v>
      </c>
    </row>
    <row r="54" spans="1:18" ht="15.75" hidden="1" thickBot="1">
      <c r="A54" s="915" t="s">
        <v>492</v>
      </c>
      <c r="B54" s="916">
        <v>64171</v>
      </c>
      <c r="C54" s="190" t="s">
        <v>493</v>
      </c>
      <c r="D54" s="190" t="s">
        <v>500</v>
      </c>
      <c r="E54" s="190" t="s">
        <v>982</v>
      </c>
      <c r="F54" s="917">
        <v>-39768</v>
      </c>
      <c r="G54" s="918">
        <v>1898306</v>
      </c>
      <c r="H54" s="916"/>
      <c r="I54" s="67">
        <f t="shared" si="0"/>
        <v>39768</v>
      </c>
      <c r="K54" s="199" t="s">
        <v>492</v>
      </c>
      <c r="L54" s="200">
        <v>64171</v>
      </c>
      <c r="M54" s="201" t="s">
        <v>493</v>
      </c>
      <c r="N54" s="201" t="s">
        <v>497</v>
      </c>
      <c r="O54" s="201" t="s">
        <v>510</v>
      </c>
      <c r="P54" s="202">
        <v>330000</v>
      </c>
      <c r="Q54" s="203" t="s">
        <v>1388</v>
      </c>
      <c r="R54" s="67">
        <f t="shared" si="1"/>
        <v>-330000</v>
      </c>
    </row>
    <row r="55" spans="1:18" ht="15.75" hidden="1" thickBot="1">
      <c r="A55" s="915" t="s">
        <v>492</v>
      </c>
      <c r="B55" s="916">
        <v>64171</v>
      </c>
      <c r="C55" s="193" t="s">
        <v>493</v>
      </c>
      <c r="D55" s="193" t="s">
        <v>501</v>
      </c>
      <c r="E55" s="193" t="s">
        <v>982</v>
      </c>
      <c r="F55" s="917">
        <v>-2278</v>
      </c>
      <c r="G55" s="918">
        <v>1898307</v>
      </c>
      <c r="H55" s="916"/>
      <c r="I55" s="67">
        <f t="shared" si="0"/>
        <v>2278</v>
      </c>
      <c r="K55" s="199" t="s">
        <v>492</v>
      </c>
      <c r="L55" s="200">
        <v>64171</v>
      </c>
      <c r="M55" s="201" t="s">
        <v>493</v>
      </c>
      <c r="N55" s="201" t="s">
        <v>497</v>
      </c>
      <c r="O55" s="201" t="s">
        <v>507</v>
      </c>
      <c r="P55" s="202">
        <v>1602000</v>
      </c>
      <c r="Q55" s="203" t="s">
        <v>1388</v>
      </c>
      <c r="R55" s="67">
        <f t="shared" si="1"/>
        <v>-1602000</v>
      </c>
    </row>
    <row r="56" spans="1:18" ht="15.75" hidden="1" thickBot="1">
      <c r="A56" s="915" t="s">
        <v>492</v>
      </c>
      <c r="B56" s="916">
        <v>64171</v>
      </c>
      <c r="C56" s="190" t="s">
        <v>493</v>
      </c>
      <c r="D56" s="190" t="s">
        <v>502</v>
      </c>
      <c r="E56" s="190" t="s">
        <v>982</v>
      </c>
      <c r="F56" s="917">
        <v>-11530</v>
      </c>
      <c r="G56" s="918">
        <v>1898308</v>
      </c>
      <c r="H56" s="916"/>
      <c r="I56" s="67">
        <f t="shared" si="0"/>
        <v>11530</v>
      </c>
    </row>
    <row r="57" spans="1:18" ht="15.75" hidden="1" thickBot="1">
      <c r="A57" s="915" t="s">
        <v>492</v>
      </c>
      <c r="B57" s="916">
        <v>64171</v>
      </c>
      <c r="C57" s="193" t="s">
        <v>493</v>
      </c>
      <c r="D57" s="193" t="s">
        <v>503</v>
      </c>
      <c r="E57" s="193" t="s">
        <v>982</v>
      </c>
      <c r="F57" s="917">
        <v>-5428</v>
      </c>
      <c r="G57" s="918">
        <v>1898309</v>
      </c>
      <c r="H57" s="916"/>
      <c r="I57" s="67">
        <f t="shared" si="0"/>
        <v>5428</v>
      </c>
    </row>
    <row r="58" spans="1:18" ht="15.75" hidden="1" thickBot="1">
      <c r="A58" s="915" t="s">
        <v>492</v>
      </c>
      <c r="B58" s="916">
        <v>64171</v>
      </c>
      <c r="C58" s="190" t="s">
        <v>493</v>
      </c>
      <c r="D58" s="190" t="s">
        <v>504</v>
      </c>
      <c r="E58" s="190" t="s">
        <v>982</v>
      </c>
      <c r="F58" s="917">
        <v>-2018316</v>
      </c>
      <c r="G58" s="918">
        <v>1898310</v>
      </c>
      <c r="H58" s="916"/>
      <c r="I58" s="67">
        <f t="shared" si="0"/>
        <v>2018316</v>
      </c>
    </row>
    <row r="59" spans="1:18" ht="15.75" hidden="1" thickBot="1">
      <c r="A59" s="915" t="s">
        <v>492</v>
      </c>
      <c r="B59" s="916">
        <v>64171</v>
      </c>
      <c r="C59" s="193" t="s">
        <v>493</v>
      </c>
      <c r="D59" s="193" t="s">
        <v>494</v>
      </c>
      <c r="E59" s="193" t="s">
        <v>983</v>
      </c>
      <c r="F59" s="917">
        <v>-325208</v>
      </c>
      <c r="G59" s="918">
        <v>1898301</v>
      </c>
      <c r="H59" s="916"/>
      <c r="I59" s="67">
        <f t="shared" si="0"/>
        <v>325208</v>
      </c>
    </row>
    <row r="60" spans="1:18" ht="15.75" hidden="1" thickBot="1">
      <c r="A60" s="915" t="s">
        <v>492</v>
      </c>
      <c r="B60" s="916">
        <v>64171</v>
      </c>
      <c r="C60" s="190" t="s">
        <v>493</v>
      </c>
      <c r="D60" s="190" t="s">
        <v>504</v>
      </c>
      <c r="E60" s="190" t="s">
        <v>983</v>
      </c>
      <c r="F60" s="917">
        <v>-3413922</v>
      </c>
      <c r="G60" s="918">
        <v>1898310</v>
      </c>
      <c r="H60" s="916"/>
      <c r="I60" s="67">
        <f t="shared" si="0"/>
        <v>3413922</v>
      </c>
    </row>
    <row r="61" spans="1:18" ht="15.75" hidden="1" thickBot="1">
      <c r="A61" s="915" t="s">
        <v>492</v>
      </c>
      <c r="B61" s="916">
        <v>64171</v>
      </c>
      <c r="C61" s="193" t="s">
        <v>493</v>
      </c>
      <c r="D61" s="193" t="s">
        <v>494</v>
      </c>
      <c r="E61" s="193" t="s">
        <v>984</v>
      </c>
      <c r="F61" s="917">
        <v>-14431</v>
      </c>
      <c r="G61" s="918">
        <v>1898301</v>
      </c>
      <c r="H61" s="916"/>
      <c r="I61" s="67">
        <f t="shared" si="0"/>
        <v>14431</v>
      </c>
    </row>
    <row r="62" spans="1:18" ht="15.75" hidden="1" thickBot="1">
      <c r="A62" s="915" t="s">
        <v>492</v>
      </c>
      <c r="B62" s="916">
        <v>64171</v>
      </c>
      <c r="C62" s="190" t="s">
        <v>493</v>
      </c>
      <c r="D62" s="190" t="s">
        <v>496</v>
      </c>
      <c r="E62" s="190" t="s">
        <v>984</v>
      </c>
      <c r="F62" s="917">
        <v>-4180</v>
      </c>
      <c r="G62" s="918">
        <v>1898302</v>
      </c>
      <c r="H62" s="916"/>
      <c r="I62" s="67">
        <f t="shared" si="0"/>
        <v>4180</v>
      </c>
    </row>
    <row r="63" spans="1:18" ht="15.75" hidden="1" thickBot="1">
      <c r="A63" s="915" t="s">
        <v>492</v>
      </c>
      <c r="B63" s="916">
        <v>64171</v>
      </c>
      <c r="C63" s="193" t="s">
        <v>493</v>
      </c>
      <c r="D63" s="193" t="s">
        <v>497</v>
      </c>
      <c r="E63" s="193" t="s">
        <v>984</v>
      </c>
      <c r="F63" s="917">
        <v>-5801</v>
      </c>
      <c r="G63" s="918">
        <v>1898303</v>
      </c>
      <c r="H63" s="916"/>
      <c r="I63" s="67">
        <f t="shared" si="0"/>
        <v>5801</v>
      </c>
    </row>
    <row r="64" spans="1:18" ht="15.75" hidden="1" thickBot="1">
      <c r="A64" s="915" t="s">
        <v>492</v>
      </c>
      <c r="B64" s="916">
        <v>64171</v>
      </c>
      <c r="C64" s="190" t="s">
        <v>493</v>
      </c>
      <c r="D64" s="190" t="s">
        <v>498</v>
      </c>
      <c r="E64" s="190" t="s">
        <v>984</v>
      </c>
      <c r="F64" s="919">
        <v>-722</v>
      </c>
      <c r="G64" s="918">
        <v>1898304</v>
      </c>
      <c r="H64" s="916"/>
      <c r="I64" s="67">
        <f t="shared" si="0"/>
        <v>722</v>
      </c>
    </row>
    <row r="65" spans="1:9" ht="15.75" hidden="1" thickBot="1">
      <c r="A65" s="915" t="s">
        <v>492</v>
      </c>
      <c r="B65" s="916">
        <v>64171</v>
      </c>
      <c r="C65" s="193" t="s">
        <v>493</v>
      </c>
      <c r="D65" s="193" t="s">
        <v>499</v>
      </c>
      <c r="E65" s="193" t="s">
        <v>984</v>
      </c>
      <c r="F65" s="917">
        <v>-8748</v>
      </c>
      <c r="G65" s="918">
        <v>1898305</v>
      </c>
      <c r="H65" s="916"/>
      <c r="I65" s="67">
        <f t="shared" si="0"/>
        <v>8748</v>
      </c>
    </row>
    <row r="66" spans="1:9" ht="15.75" hidden="1" thickBot="1">
      <c r="A66" s="915" t="s">
        <v>492</v>
      </c>
      <c r="B66" s="916">
        <v>64171</v>
      </c>
      <c r="C66" s="190" t="s">
        <v>493</v>
      </c>
      <c r="D66" s="190" t="s">
        <v>504</v>
      </c>
      <c r="E66" s="190" t="s">
        <v>984</v>
      </c>
      <c r="F66" s="917">
        <v>-113455</v>
      </c>
      <c r="G66" s="918">
        <v>1898310</v>
      </c>
      <c r="H66" s="916"/>
      <c r="I66" s="67">
        <f t="shared" si="0"/>
        <v>113455</v>
      </c>
    </row>
    <row r="67" spans="1:9" ht="15.75" hidden="1" thickBot="1">
      <c r="A67" s="915" t="s">
        <v>492</v>
      </c>
      <c r="B67" s="916">
        <v>64171</v>
      </c>
      <c r="C67" s="193" t="s">
        <v>493</v>
      </c>
      <c r="D67" s="193" t="s">
        <v>494</v>
      </c>
      <c r="E67" s="193" t="s">
        <v>985</v>
      </c>
      <c r="F67" s="917">
        <v>-5018</v>
      </c>
      <c r="G67" s="918">
        <v>1898301</v>
      </c>
      <c r="H67" s="916"/>
      <c r="I67" s="67">
        <f t="shared" si="0"/>
        <v>5018</v>
      </c>
    </row>
    <row r="68" spans="1:9" ht="15.75" hidden="1" thickBot="1">
      <c r="A68" s="915" t="s">
        <v>492</v>
      </c>
      <c r="B68" s="916">
        <v>64171</v>
      </c>
      <c r="C68" s="190" t="s">
        <v>493</v>
      </c>
      <c r="D68" s="190" t="s">
        <v>496</v>
      </c>
      <c r="E68" s="190" t="s">
        <v>985</v>
      </c>
      <c r="F68" s="917">
        <v>-9132</v>
      </c>
      <c r="G68" s="918">
        <v>1898302</v>
      </c>
      <c r="H68" s="916"/>
      <c r="I68" s="67">
        <f t="shared" si="0"/>
        <v>9132</v>
      </c>
    </row>
    <row r="69" spans="1:9" ht="15.75" hidden="1" thickBot="1">
      <c r="A69" s="915" t="s">
        <v>492</v>
      </c>
      <c r="B69" s="916">
        <v>64171</v>
      </c>
      <c r="C69" s="193" t="s">
        <v>493</v>
      </c>
      <c r="D69" s="193" t="s">
        <v>504</v>
      </c>
      <c r="E69" s="193" t="s">
        <v>985</v>
      </c>
      <c r="F69" s="917">
        <v>-38702</v>
      </c>
      <c r="G69" s="918">
        <v>1898310</v>
      </c>
      <c r="H69" s="916"/>
      <c r="I69" s="67">
        <f t="shared" ref="I69:I132" si="2">-F69</f>
        <v>38702</v>
      </c>
    </row>
    <row r="70" spans="1:9" ht="15.75" hidden="1" thickBot="1">
      <c r="A70" s="915" t="s">
        <v>492</v>
      </c>
      <c r="B70" s="916">
        <v>64171</v>
      </c>
      <c r="C70" s="190" t="s">
        <v>493</v>
      </c>
      <c r="D70" s="190" t="s">
        <v>494</v>
      </c>
      <c r="E70" s="190" t="s">
        <v>986</v>
      </c>
      <c r="F70" s="917">
        <v>-12028</v>
      </c>
      <c r="G70" s="918">
        <v>1898301</v>
      </c>
      <c r="H70" s="916"/>
      <c r="I70" s="67">
        <f t="shared" si="2"/>
        <v>12028</v>
      </c>
    </row>
    <row r="71" spans="1:9" ht="15.75" hidden="1" thickBot="1">
      <c r="A71" s="915" t="s">
        <v>492</v>
      </c>
      <c r="B71" s="916">
        <v>64171</v>
      </c>
      <c r="C71" s="193" t="s">
        <v>493</v>
      </c>
      <c r="D71" s="193" t="s">
        <v>504</v>
      </c>
      <c r="E71" s="193" t="s">
        <v>986</v>
      </c>
      <c r="F71" s="917">
        <v>-126268</v>
      </c>
      <c r="G71" s="918">
        <v>1898310</v>
      </c>
      <c r="H71" s="916"/>
      <c r="I71" s="67">
        <f t="shared" si="2"/>
        <v>126268</v>
      </c>
    </row>
    <row r="72" spans="1:9" ht="15.75" hidden="1" thickBot="1">
      <c r="A72" s="915" t="s">
        <v>492</v>
      </c>
      <c r="B72" s="916">
        <v>64171</v>
      </c>
      <c r="C72" s="190" t="s">
        <v>493</v>
      </c>
      <c r="D72" s="190" t="s">
        <v>494</v>
      </c>
      <c r="E72" s="190" t="s">
        <v>987</v>
      </c>
      <c r="F72" s="917">
        <v>-4641</v>
      </c>
      <c r="G72" s="918">
        <v>1898301</v>
      </c>
      <c r="H72" s="916"/>
      <c r="I72" s="67">
        <f t="shared" si="2"/>
        <v>4641</v>
      </c>
    </row>
    <row r="73" spans="1:9" ht="15.75" hidden="1" thickBot="1">
      <c r="A73" s="915" t="s">
        <v>492</v>
      </c>
      <c r="B73" s="916">
        <v>64171</v>
      </c>
      <c r="C73" s="193" t="s">
        <v>493</v>
      </c>
      <c r="D73" s="193" t="s">
        <v>504</v>
      </c>
      <c r="E73" s="193" t="s">
        <v>987</v>
      </c>
      <c r="F73" s="917">
        <v>-48720</v>
      </c>
      <c r="G73" s="918">
        <v>1898310</v>
      </c>
      <c r="H73" s="916"/>
      <c r="I73" s="67">
        <f t="shared" si="2"/>
        <v>48720</v>
      </c>
    </row>
    <row r="74" spans="1:9" ht="15.75" hidden="1" thickBot="1">
      <c r="A74" s="915" t="s">
        <v>492</v>
      </c>
      <c r="B74" s="916">
        <v>64171</v>
      </c>
      <c r="C74" s="190" t="s">
        <v>493</v>
      </c>
      <c r="D74" s="190" t="s">
        <v>494</v>
      </c>
      <c r="E74" s="190" t="s">
        <v>988</v>
      </c>
      <c r="F74" s="917">
        <v>-19345</v>
      </c>
      <c r="G74" s="918">
        <v>1898301</v>
      </c>
      <c r="H74" s="916"/>
      <c r="I74" s="67">
        <f t="shared" si="2"/>
        <v>19345</v>
      </c>
    </row>
    <row r="75" spans="1:9" ht="15.75" hidden="1" thickBot="1">
      <c r="A75" s="915" t="s">
        <v>492</v>
      </c>
      <c r="B75" s="916">
        <v>64171</v>
      </c>
      <c r="C75" s="193" t="s">
        <v>493</v>
      </c>
      <c r="D75" s="193" t="s">
        <v>504</v>
      </c>
      <c r="E75" s="193" t="s">
        <v>988</v>
      </c>
      <c r="F75" s="917">
        <v>-203076</v>
      </c>
      <c r="G75" s="918">
        <v>1898310</v>
      </c>
      <c r="H75" s="916"/>
      <c r="I75" s="67">
        <f t="shared" si="2"/>
        <v>203076</v>
      </c>
    </row>
    <row r="76" spans="1:9" ht="15.75" hidden="1" thickBot="1">
      <c r="A76" s="915" t="s">
        <v>492</v>
      </c>
      <c r="B76" s="916">
        <v>64171</v>
      </c>
      <c r="C76" s="190" t="s">
        <v>493</v>
      </c>
      <c r="D76" s="190" t="s">
        <v>494</v>
      </c>
      <c r="E76" s="190" t="s">
        <v>509</v>
      </c>
      <c r="F76" s="917">
        <v>-211201</v>
      </c>
      <c r="G76" s="918">
        <v>1898301</v>
      </c>
      <c r="H76" s="916"/>
      <c r="I76" s="67">
        <f t="shared" si="2"/>
        <v>211201</v>
      </c>
    </row>
    <row r="77" spans="1:9" ht="15.75" hidden="1" thickBot="1">
      <c r="A77" s="915" t="s">
        <v>492</v>
      </c>
      <c r="B77" s="916">
        <v>64171</v>
      </c>
      <c r="C77" s="193" t="s">
        <v>493</v>
      </c>
      <c r="D77" s="193" t="s">
        <v>496</v>
      </c>
      <c r="E77" s="193" t="s">
        <v>509</v>
      </c>
      <c r="F77" s="917">
        <v>-358622</v>
      </c>
      <c r="G77" s="918">
        <v>1898302</v>
      </c>
      <c r="H77" s="916"/>
      <c r="I77" s="67">
        <f t="shared" si="2"/>
        <v>358622</v>
      </c>
    </row>
    <row r="78" spans="1:9" ht="15.75" hidden="1" thickBot="1">
      <c r="A78" s="915" t="s">
        <v>492</v>
      </c>
      <c r="B78" s="916">
        <v>64171</v>
      </c>
      <c r="C78" s="190" t="s">
        <v>493</v>
      </c>
      <c r="D78" s="190" t="s">
        <v>497</v>
      </c>
      <c r="E78" s="190" t="s">
        <v>509</v>
      </c>
      <c r="F78" s="917">
        <v>-400720</v>
      </c>
      <c r="G78" s="918">
        <v>1898303</v>
      </c>
      <c r="H78" s="916"/>
      <c r="I78" s="67">
        <f t="shared" si="2"/>
        <v>400720</v>
      </c>
    </row>
    <row r="79" spans="1:9" ht="15.75" hidden="1" thickBot="1">
      <c r="A79" s="915" t="s">
        <v>492</v>
      </c>
      <c r="B79" s="916">
        <v>64171</v>
      </c>
      <c r="C79" s="193" t="s">
        <v>493</v>
      </c>
      <c r="D79" s="193" t="s">
        <v>498</v>
      </c>
      <c r="E79" s="193" t="s">
        <v>509</v>
      </c>
      <c r="F79" s="917">
        <v>-11271</v>
      </c>
      <c r="G79" s="918">
        <v>1898304</v>
      </c>
      <c r="H79" s="916"/>
      <c r="I79" s="67">
        <f t="shared" si="2"/>
        <v>11271</v>
      </c>
    </row>
    <row r="80" spans="1:9" ht="15.75" hidden="1" thickBot="1">
      <c r="A80" s="915" t="s">
        <v>492</v>
      </c>
      <c r="B80" s="916">
        <v>64171</v>
      </c>
      <c r="C80" s="190" t="s">
        <v>493</v>
      </c>
      <c r="D80" s="190" t="s">
        <v>499</v>
      </c>
      <c r="E80" s="190" t="s">
        <v>509</v>
      </c>
      <c r="F80" s="917">
        <v>-155508</v>
      </c>
      <c r="G80" s="918">
        <v>1898305</v>
      </c>
      <c r="H80" s="916"/>
      <c r="I80" s="67">
        <f t="shared" si="2"/>
        <v>155508</v>
      </c>
    </row>
    <row r="81" spans="1:9" ht="15.75" hidden="1" thickBot="1">
      <c r="A81" s="915" t="s">
        <v>492</v>
      </c>
      <c r="B81" s="916">
        <v>64171</v>
      </c>
      <c r="C81" s="193" t="s">
        <v>493</v>
      </c>
      <c r="D81" s="193" t="s">
        <v>501</v>
      </c>
      <c r="E81" s="193" t="s">
        <v>509</v>
      </c>
      <c r="F81" s="917">
        <v>-48608</v>
      </c>
      <c r="G81" s="918">
        <v>1898307</v>
      </c>
      <c r="H81" s="916"/>
      <c r="I81" s="67">
        <f t="shared" si="2"/>
        <v>48608</v>
      </c>
    </row>
    <row r="82" spans="1:9" ht="15.75" hidden="1" thickBot="1">
      <c r="A82" s="915" t="s">
        <v>492</v>
      </c>
      <c r="B82" s="916">
        <v>64171</v>
      </c>
      <c r="C82" s="190" t="s">
        <v>493</v>
      </c>
      <c r="D82" s="190" t="s">
        <v>503</v>
      </c>
      <c r="E82" s="190" t="s">
        <v>509</v>
      </c>
      <c r="F82" s="917">
        <v>-17762</v>
      </c>
      <c r="G82" s="918">
        <v>1898309</v>
      </c>
      <c r="H82" s="916"/>
      <c r="I82" s="67">
        <f t="shared" si="2"/>
        <v>17762</v>
      </c>
    </row>
    <row r="83" spans="1:9" ht="15.75" hidden="1" thickBot="1">
      <c r="A83" s="915" t="s">
        <v>492</v>
      </c>
      <c r="B83" s="916">
        <v>64171</v>
      </c>
      <c r="C83" s="193" t="s">
        <v>493</v>
      </c>
      <c r="D83" s="193" t="s">
        <v>504</v>
      </c>
      <c r="E83" s="193" t="s">
        <v>509</v>
      </c>
      <c r="F83" s="917">
        <v>-554210</v>
      </c>
      <c r="G83" s="918">
        <v>1898310</v>
      </c>
      <c r="H83" s="916"/>
      <c r="I83" s="67">
        <f t="shared" si="2"/>
        <v>554210</v>
      </c>
    </row>
    <row r="84" spans="1:9" ht="15.75" hidden="1" thickBot="1">
      <c r="A84" s="915" t="s">
        <v>492</v>
      </c>
      <c r="B84" s="916">
        <v>64171</v>
      </c>
      <c r="C84" s="190" t="s">
        <v>493</v>
      </c>
      <c r="D84" s="190" t="s">
        <v>494</v>
      </c>
      <c r="E84" s="190" t="s">
        <v>989</v>
      </c>
      <c r="F84" s="917">
        <v>-433432</v>
      </c>
      <c r="G84" s="918">
        <v>1898301</v>
      </c>
      <c r="H84" s="916"/>
      <c r="I84" s="67">
        <f t="shared" si="2"/>
        <v>433432</v>
      </c>
    </row>
    <row r="85" spans="1:9" ht="15.75" hidden="1" thickBot="1">
      <c r="A85" s="915" t="s">
        <v>492</v>
      </c>
      <c r="B85" s="916">
        <v>64171</v>
      </c>
      <c r="C85" s="193" t="s">
        <v>493</v>
      </c>
      <c r="D85" s="193" t="s">
        <v>496</v>
      </c>
      <c r="E85" s="193" t="s">
        <v>989</v>
      </c>
      <c r="F85" s="917">
        <v>-152651</v>
      </c>
      <c r="G85" s="918">
        <v>1898302</v>
      </c>
      <c r="H85" s="916"/>
      <c r="I85" s="67">
        <f t="shared" si="2"/>
        <v>152651</v>
      </c>
    </row>
    <row r="86" spans="1:9" ht="15.75" hidden="1" thickBot="1">
      <c r="A86" s="915" t="s">
        <v>492</v>
      </c>
      <c r="B86" s="916">
        <v>64171</v>
      </c>
      <c r="C86" s="190" t="s">
        <v>493</v>
      </c>
      <c r="D86" s="190" t="s">
        <v>497</v>
      </c>
      <c r="E86" s="190" t="s">
        <v>989</v>
      </c>
      <c r="F86" s="917">
        <v>-189036</v>
      </c>
      <c r="G86" s="918">
        <v>1898303</v>
      </c>
      <c r="H86" s="916"/>
      <c r="I86" s="67">
        <f t="shared" si="2"/>
        <v>189036</v>
      </c>
    </row>
    <row r="87" spans="1:9" ht="15.75" hidden="1" thickBot="1">
      <c r="A87" s="915" t="s">
        <v>492</v>
      </c>
      <c r="B87" s="916">
        <v>64171</v>
      </c>
      <c r="C87" s="193" t="s">
        <v>493</v>
      </c>
      <c r="D87" s="193" t="s">
        <v>498</v>
      </c>
      <c r="E87" s="193" t="s">
        <v>989</v>
      </c>
      <c r="F87" s="917">
        <v>-18640</v>
      </c>
      <c r="G87" s="918">
        <v>1898304</v>
      </c>
      <c r="H87" s="916"/>
      <c r="I87" s="67">
        <f t="shared" si="2"/>
        <v>18640</v>
      </c>
    </row>
    <row r="88" spans="1:9" ht="15.75" hidden="1" thickBot="1">
      <c r="A88" s="915" t="s">
        <v>492</v>
      </c>
      <c r="B88" s="916">
        <v>64171</v>
      </c>
      <c r="C88" s="190" t="s">
        <v>493</v>
      </c>
      <c r="D88" s="190" t="s">
        <v>499</v>
      </c>
      <c r="E88" s="190" t="s">
        <v>989</v>
      </c>
      <c r="F88" s="917">
        <v>-555753</v>
      </c>
      <c r="G88" s="918">
        <v>1898305</v>
      </c>
      <c r="H88" s="916"/>
      <c r="I88" s="67">
        <f t="shared" si="2"/>
        <v>555753</v>
      </c>
    </row>
    <row r="89" spans="1:9" ht="15.75" hidden="1" thickBot="1">
      <c r="A89" s="915" t="s">
        <v>492</v>
      </c>
      <c r="B89" s="916">
        <v>64171</v>
      </c>
      <c r="C89" s="193" t="s">
        <v>493</v>
      </c>
      <c r="D89" s="193" t="s">
        <v>500</v>
      </c>
      <c r="E89" s="193" t="s">
        <v>989</v>
      </c>
      <c r="F89" s="917">
        <v>-267413</v>
      </c>
      <c r="G89" s="918">
        <v>1898306</v>
      </c>
      <c r="H89" s="916"/>
      <c r="I89" s="67">
        <f t="shared" si="2"/>
        <v>267413</v>
      </c>
    </row>
    <row r="90" spans="1:9" ht="15.75" hidden="1" thickBot="1">
      <c r="A90" s="915" t="s">
        <v>492</v>
      </c>
      <c r="B90" s="916">
        <v>64171</v>
      </c>
      <c r="C90" s="190" t="s">
        <v>493</v>
      </c>
      <c r="D90" s="190" t="s">
        <v>501</v>
      </c>
      <c r="E90" s="190" t="s">
        <v>989</v>
      </c>
      <c r="F90" s="917">
        <v>-28281</v>
      </c>
      <c r="G90" s="918">
        <v>1898307</v>
      </c>
      <c r="H90" s="916"/>
      <c r="I90" s="67">
        <f t="shared" si="2"/>
        <v>28281</v>
      </c>
    </row>
    <row r="91" spans="1:9" ht="15.75" hidden="1" thickBot="1">
      <c r="A91" s="915" t="s">
        <v>492</v>
      </c>
      <c r="B91" s="916">
        <v>64171</v>
      </c>
      <c r="C91" s="193" t="s">
        <v>493</v>
      </c>
      <c r="D91" s="193" t="s">
        <v>502</v>
      </c>
      <c r="E91" s="193" t="s">
        <v>989</v>
      </c>
      <c r="F91" s="917">
        <v>-204536</v>
      </c>
      <c r="G91" s="918">
        <v>1898308</v>
      </c>
      <c r="H91" s="916"/>
      <c r="I91" s="67">
        <f t="shared" si="2"/>
        <v>204536</v>
      </c>
    </row>
    <row r="92" spans="1:9" ht="15.75" hidden="1" thickBot="1">
      <c r="A92" s="915" t="s">
        <v>492</v>
      </c>
      <c r="B92" s="916">
        <v>64171</v>
      </c>
      <c r="C92" s="190" t="s">
        <v>493</v>
      </c>
      <c r="D92" s="190" t="s">
        <v>503</v>
      </c>
      <c r="E92" s="190" t="s">
        <v>989</v>
      </c>
      <c r="F92" s="917">
        <v>-194269</v>
      </c>
      <c r="G92" s="918">
        <v>1898309</v>
      </c>
      <c r="H92" s="916"/>
      <c r="I92" s="67">
        <f t="shared" si="2"/>
        <v>194269</v>
      </c>
    </row>
    <row r="93" spans="1:9" ht="15.75" hidden="1" thickBot="1">
      <c r="A93" s="915" t="s">
        <v>492</v>
      </c>
      <c r="B93" s="916">
        <v>64171</v>
      </c>
      <c r="C93" s="193" t="s">
        <v>493</v>
      </c>
      <c r="D93" s="193" t="s">
        <v>504</v>
      </c>
      <c r="E93" s="193" t="s">
        <v>989</v>
      </c>
      <c r="F93" s="917">
        <v>-617549</v>
      </c>
      <c r="G93" s="918">
        <v>1898310</v>
      </c>
      <c r="H93" s="916"/>
      <c r="I93" s="67">
        <f t="shared" si="2"/>
        <v>617549</v>
      </c>
    </row>
    <row r="94" spans="1:9" ht="15.75" hidden="1" thickBot="1">
      <c r="A94" s="915" t="s">
        <v>492</v>
      </c>
      <c r="B94" s="916">
        <v>64171</v>
      </c>
      <c r="C94" s="190" t="s">
        <v>493</v>
      </c>
      <c r="D94" s="190" t="s">
        <v>494</v>
      </c>
      <c r="E94" s="190" t="s">
        <v>994</v>
      </c>
      <c r="F94" s="917">
        <v>-151148</v>
      </c>
      <c r="G94" s="918">
        <v>1898301</v>
      </c>
      <c r="H94" s="916"/>
      <c r="I94" s="67">
        <f t="shared" si="2"/>
        <v>151148</v>
      </c>
    </row>
    <row r="95" spans="1:9" ht="15.75" hidden="1" thickBot="1">
      <c r="A95" s="915" t="s">
        <v>492</v>
      </c>
      <c r="B95" s="916">
        <v>64171</v>
      </c>
      <c r="C95" s="193" t="s">
        <v>493</v>
      </c>
      <c r="D95" s="193" t="s">
        <v>496</v>
      </c>
      <c r="E95" s="193" t="s">
        <v>994</v>
      </c>
      <c r="F95" s="917">
        <v>-4394</v>
      </c>
      <c r="G95" s="918">
        <v>1898302</v>
      </c>
      <c r="H95" s="916"/>
      <c r="I95" s="67">
        <f t="shared" si="2"/>
        <v>4394</v>
      </c>
    </row>
    <row r="96" spans="1:9" ht="15.75" hidden="1" thickBot="1">
      <c r="A96" s="915" t="s">
        <v>492</v>
      </c>
      <c r="B96" s="916">
        <v>64171</v>
      </c>
      <c r="C96" s="190" t="s">
        <v>493</v>
      </c>
      <c r="D96" s="190" t="s">
        <v>497</v>
      </c>
      <c r="E96" s="190" t="s">
        <v>994</v>
      </c>
      <c r="F96" s="917">
        <v>-161892</v>
      </c>
      <c r="G96" s="918">
        <v>1898303</v>
      </c>
      <c r="H96" s="916"/>
      <c r="I96" s="67">
        <f t="shared" si="2"/>
        <v>161892</v>
      </c>
    </row>
    <row r="97" spans="1:9" ht="15.75" hidden="1" thickBot="1">
      <c r="A97" s="915" t="s">
        <v>492</v>
      </c>
      <c r="B97" s="916">
        <v>64171</v>
      </c>
      <c r="C97" s="193" t="s">
        <v>493</v>
      </c>
      <c r="D97" s="193" t="s">
        <v>498</v>
      </c>
      <c r="E97" s="193" t="s">
        <v>994</v>
      </c>
      <c r="F97" s="917">
        <v>-444513</v>
      </c>
      <c r="G97" s="918">
        <v>1898304</v>
      </c>
      <c r="H97" s="916"/>
      <c r="I97" s="67">
        <f t="shared" si="2"/>
        <v>444513</v>
      </c>
    </row>
    <row r="98" spans="1:9" ht="15.75" hidden="1" thickBot="1">
      <c r="A98" s="915" t="s">
        <v>492</v>
      </c>
      <c r="B98" s="916">
        <v>64171</v>
      </c>
      <c r="C98" s="190" t="s">
        <v>493</v>
      </c>
      <c r="D98" s="190" t="s">
        <v>499</v>
      </c>
      <c r="E98" s="190" t="s">
        <v>994</v>
      </c>
      <c r="F98" s="917">
        <v>-4849</v>
      </c>
      <c r="G98" s="918">
        <v>1898305</v>
      </c>
      <c r="H98" s="916"/>
      <c r="I98" s="67">
        <f t="shared" si="2"/>
        <v>4849</v>
      </c>
    </row>
    <row r="99" spans="1:9" ht="15.75" hidden="1" thickBot="1">
      <c r="A99" s="915" t="s">
        <v>492</v>
      </c>
      <c r="B99" s="916">
        <v>64171</v>
      </c>
      <c r="C99" s="193" t="s">
        <v>493</v>
      </c>
      <c r="D99" s="193" t="s">
        <v>500</v>
      </c>
      <c r="E99" s="193" t="s">
        <v>994</v>
      </c>
      <c r="F99" s="917">
        <v>-22019</v>
      </c>
      <c r="G99" s="918">
        <v>1898306</v>
      </c>
      <c r="H99" s="916"/>
      <c r="I99" s="67">
        <f t="shared" si="2"/>
        <v>22019</v>
      </c>
    </row>
    <row r="100" spans="1:9" ht="15.75" hidden="1" thickBot="1">
      <c r="A100" s="915" t="s">
        <v>492</v>
      </c>
      <c r="B100" s="916">
        <v>64171</v>
      </c>
      <c r="C100" s="190" t="s">
        <v>493</v>
      </c>
      <c r="D100" s="190" t="s">
        <v>501</v>
      </c>
      <c r="E100" s="190" t="s">
        <v>994</v>
      </c>
      <c r="F100" s="919">
        <v>-926</v>
      </c>
      <c r="G100" s="918">
        <v>1898307</v>
      </c>
      <c r="H100" s="916"/>
      <c r="I100" s="67">
        <f t="shared" si="2"/>
        <v>926</v>
      </c>
    </row>
    <row r="101" spans="1:9" ht="15.75" hidden="1" thickBot="1">
      <c r="A101" s="915" t="s">
        <v>492</v>
      </c>
      <c r="B101" s="916">
        <v>64171</v>
      </c>
      <c r="C101" s="193" t="s">
        <v>493</v>
      </c>
      <c r="D101" s="193" t="s">
        <v>502</v>
      </c>
      <c r="E101" s="193" t="s">
        <v>994</v>
      </c>
      <c r="F101" s="919">
        <v>-350</v>
      </c>
      <c r="G101" s="918">
        <v>1898308</v>
      </c>
      <c r="H101" s="916"/>
      <c r="I101" s="67">
        <f t="shared" si="2"/>
        <v>350</v>
      </c>
    </row>
    <row r="102" spans="1:9" ht="15.75" hidden="1" thickBot="1">
      <c r="A102" s="915" t="s">
        <v>492</v>
      </c>
      <c r="B102" s="916">
        <v>64171</v>
      </c>
      <c r="C102" s="190" t="s">
        <v>493</v>
      </c>
      <c r="D102" s="190" t="s">
        <v>503</v>
      </c>
      <c r="E102" s="190" t="s">
        <v>994</v>
      </c>
      <c r="F102" s="917">
        <v>-218229</v>
      </c>
      <c r="G102" s="918">
        <v>1898309</v>
      </c>
      <c r="H102" s="916"/>
      <c r="I102" s="67">
        <f t="shared" si="2"/>
        <v>218229</v>
      </c>
    </row>
    <row r="103" spans="1:9" ht="15.75" hidden="1" thickBot="1">
      <c r="A103" s="915" t="s">
        <v>492</v>
      </c>
      <c r="B103" s="916">
        <v>64171</v>
      </c>
      <c r="C103" s="193" t="s">
        <v>493</v>
      </c>
      <c r="D103" s="193" t="s">
        <v>494</v>
      </c>
      <c r="E103" s="193" t="s">
        <v>991</v>
      </c>
      <c r="F103" s="917">
        <v>-388857</v>
      </c>
      <c r="G103" s="918">
        <v>1898301</v>
      </c>
      <c r="H103" s="916"/>
      <c r="I103" s="67">
        <f t="shared" si="2"/>
        <v>388857</v>
      </c>
    </row>
    <row r="104" spans="1:9" ht="15.75" hidden="1" thickBot="1">
      <c r="A104" s="915" t="s">
        <v>492</v>
      </c>
      <c r="B104" s="916">
        <v>64171</v>
      </c>
      <c r="C104" s="190" t="s">
        <v>493</v>
      </c>
      <c r="D104" s="190" t="s">
        <v>496</v>
      </c>
      <c r="E104" s="190" t="s">
        <v>991</v>
      </c>
      <c r="F104" s="917">
        <v>-203149</v>
      </c>
      <c r="G104" s="918">
        <v>1898302</v>
      </c>
      <c r="H104" s="916"/>
      <c r="I104" s="67">
        <f t="shared" si="2"/>
        <v>203149</v>
      </c>
    </row>
    <row r="105" spans="1:9" ht="15.75" hidden="1" thickBot="1">
      <c r="A105" s="915" t="s">
        <v>492</v>
      </c>
      <c r="B105" s="916">
        <v>64171</v>
      </c>
      <c r="C105" s="193" t="s">
        <v>493</v>
      </c>
      <c r="D105" s="193" t="s">
        <v>497</v>
      </c>
      <c r="E105" s="193" t="s">
        <v>991</v>
      </c>
      <c r="F105" s="917">
        <v>-611442</v>
      </c>
      <c r="G105" s="918">
        <v>1898303</v>
      </c>
      <c r="H105" s="916"/>
      <c r="I105" s="67">
        <f t="shared" si="2"/>
        <v>611442</v>
      </c>
    </row>
    <row r="106" spans="1:9" ht="15.75" hidden="1" thickBot="1">
      <c r="A106" s="915" t="s">
        <v>492</v>
      </c>
      <c r="B106" s="916">
        <v>64171</v>
      </c>
      <c r="C106" s="190" t="s">
        <v>493</v>
      </c>
      <c r="D106" s="190" t="s">
        <v>498</v>
      </c>
      <c r="E106" s="190" t="s">
        <v>991</v>
      </c>
      <c r="F106" s="917">
        <v>-76870</v>
      </c>
      <c r="G106" s="918">
        <v>1898304</v>
      </c>
      <c r="H106" s="916"/>
      <c r="I106" s="67">
        <f t="shared" si="2"/>
        <v>76870</v>
      </c>
    </row>
    <row r="107" spans="1:9" ht="15.75" hidden="1" thickBot="1">
      <c r="A107" s="915" t="s">
        <v>492</v>
      </c>
      <c r="B107" s="916">
        <v>64171</v>
      </c>
      <c r="C107" s="193" t="s">
        <v>493</v>
      </c>
      <c r="D107" s="193" t="s">
        <v>499</v>
      </c>
      <c r="E107" s="193" t="s">
        <v>991</v>
      </c>
      <c r="F107" s="917">
        <v>-160675</v>
      </c>
      <c r="G107" s="918">
        <v>1898305</v>
      </c>
      <c r="H107" s="916"/>
      <c r="I107" s="67">
        <f t="shared" si="2"/>
        <v>160675</v>
      </c>
    </row>
    <row r="108" spans="1:9" ht="15.75" hidden="1" thickBot="1">
      <c r="A108" s="915" t="s">
        <v>492</v>
      </c>
      <c r="B108" s="916">
        <v>64171</v>
      </c>
      <c r="C108" s="190" t="s">
        <v>493</v>
      </c>
      <c r="D108" s="190" t="s">
        <v>500</v>
      </c>
      <c r="E108" s="190" t="s">
        <v>991</v>
      </c>
      <c r="F108" s="917">
        <v>-211499</v>
      </c>
      <c r="G108" s="918">
        <v>1898306</v>
      </c>
      <c r="H108" s="916"/>
      <c r="I108" s="67">
        <f t="shared" si="2"/>
        <v>211499</v>
      </c>
    </row>
    <row r="109" spans="1:9" ht="15.75" hidden="1" thickBot="1">
      <c r="A109" s="915" t="s">
        <v>492</v>
      </c>
      <c r="B109" s="916">
        <v>64171</v>
      </c>
      <c r="C109" s="193" t="s">
        <v>493</v>
      </c>
      <c r="D109" s="193" t="s">
        <v>501</v>
      </c>
      <c r="E109" s="193" t="s">
        <v>991</v>
      </c>
      <c r="F109" s="917">
        <v>-79932</v>
      </c>
      <c r="G109" s="918">
        <v>1898307</v>
      </c>
      <c r="H109" s="916"/>
      <c r="I109" s="67">
        <f t="shared" si="2"/>
        <v>79932</v>
      </c>
    </row>
    <row r="110" spans="1:9" ht="15.75" hidden="1" thickBot="1">
      <c r="A110" s="915" t="s">
        <v>492</v>
      </c>
      <c r="B110" s="916">
        <v>64171</v>
      </c>
      <c r="C110" s="190" t="s">
        <v>493</v>
      </c>
      <c r="D110" s="190" t="s">
        <v>502</v>
      </c>
      <c r="E110" s="190" t="s">
        <v>991</v>
      </c>
      <c r="F110" s="917">
        <v>-84521</v>
      </c>
      <c r="G110" s="918">
        <v>1898308</v>
      </c>
      <c r="H110" s="916"/>
      <c r="I110" s="67">
        <f t="shared" si="2"/>
        <v>84521</v>
      </c>
    </row>
    <row r="111" spans="1:9" ht="15.75" hidden="1" thickBot="1">
      <c r="A111" s="915" t="s">
        <v>492</v>
      </c>
      <c r="B111" s="916">
        <v>64171</v>
      </c>
      <c r="C111" s="193" t="s">
        <v>493</v>
      </c>
      <c r="D111" s="193" t="s">
        <v>503</v>
      </c>
      <c r="E111" s="193" t="s">
        <v>991</v>
      </c>
      <c r="F111" s="917">
        <v>-203884</v>
      </c>
      <c r="G111" s="918">
        <v>1898309</v>
      </c>
      <c r="H111" s="916"/>
      <c r="I111" s="67">
        <f t="shared" si="2"/>
        <v>203884</v>
      </c>
    </row>
    <row r="112" spans="1:9" ht="15.75" hidden="1" thickBot="1">
      <c r="A112" s="915" t="s">
        <v>492</v>
      </c>
      <c r="B112" s="916">
        <v>64171</v>
      </c>
      <c r="C112" s="190" t="s">
        <v>493</v>
      </c>
      <c r="D112" s="190" t="s">
        <v>504</v>
      </c>
      <c r="E112" s="190" t="s">
        <v>991</v>
      </c>
      <c r="F112" s="917">
        <v>-1009981</v>
      </c>
      <c r="G112" s="918">
        <v>1898310</v>
      </c>
      <c r="H112" s="916"/>
      <c r="I112" s="67">
        <f t="shared" si="2"/>
        <v>1009981</v>
      </c>
    </row>
    <row r="113" spans="1:9" ht="15.75" hidden="1" thickBot="1">
      <c r="A113" s="915" t="s">
        <v>492</v>
      </c>
      <c r="B113" s="916">
        <v>64171</v>
      </c>
      <c r="C113" s="193" t="s">
        <v>493</v>
      </c>
      <c r="D113" s="193" t="s">
        <v>494</v>
      </c>
      <c r="E113" s="193" t="s">
        <v>506</v>
      </c>
      <c r="F113" s="917">
        <v>-783626</v>
      </c>
      <c r="G113" s="918">
        <v>1898301</v>
      </c>
      <c r="H113" s="916"/>
      <c r="I113" s="67">
        <f t="shared" si="2"/>
        <v>783626</v>
      </c>
    </row>
    <row r="114" spans="1:9" ht="15.75" hidden="1" thickBot="1">
      <c r="A114" s="915" t="s">
        <v>492</v>
      </c>
      <c r="B114" s="916">
        <v>64171</v>
      </c>
      <c r="C114" s="190" t="s">
        <v>493</v>
      </c>
      <c r="D114" s="190" t="s">
        <v>496</v>
      </c>
      <c r="E114" s="190" t="s">
        <v>506</v>
      </c>
      <c r="F114" s="917">
        <v>-287254</v>
      </c>
      <c r="G114" s="918">
        <v>1898302</v>
      </c>
      <c r="H114" s="916"/>
      <c r="I114" s="67">
        <f t="shared" si="2"/>
        <v>287254</v>
      </c>
    </row>
    <row r="115" spans="1:9" ht="15.75" hidden="1" thickBot="1">
      <c r="A115" s="915" t="s">
        <v>492</v>
      </c>
      <c r="B115" s="916">
        <v>64171</v>
      </c>
      <c r="C115" s="193" t="s">
        <v>493</v>
      </c>
      <c r="D115" s="193" t="s">
        <v>497</v>
      </c>
      <c r="E115" s="193" t="s">
        <v>506</v>
      </c>
      <c r="F115" s="917">
        <v>-2220149</v>
      </c>
      <c r="G115" s="918">
        <v>1898303</v>
      </c>
      <c r="H115" s="916"/>
      <c r="I115" s="67">
        <f t="shared" si="2"/>
        <v>2220149</v>
      </c>
    </row>
    <row r="116" spans="1:9" ht="15.75" hidden="1" thickBot="1">
      <c r="A116" s="915" t="s">
        <v>492</v>
      </c>
      <c r="B116" s="916">
        <v>64171</v>
      </c>
      <c r="C116" s="190" t="s">
        <v>493</v>
      </c>
      <c r="D116" s="190" t="s">
        <v>498</v>
      </c>
      <c r="E116" s="190" t="s">
        <v>506</v>
      </c>
      <c r="F116" s="917">
        <v>-130785</v>
      </c>
      <c r="G116" s="918">
        <v>1898304</v>
      </c>
      <c r="H116" s="916"/>
      <c r="I116" s="67">
        <f t="shared" si="2"/>
        <v>130785</v>
      </c>
    </row>
    <row r="117" spans="1:9" ht="15.75" hidden="1" thickBot="1">
      <c r="A117" s="915" t="s">
        <v>492</v>
      </c>
      <c r="B117" s="916">
        <v>64171</v>
      </c>
      <c r="C117" s="193" t="s">
        <v>493</v>
      </c>
      <c r="D117" s="193" t="s">
        <v>499</v>
      </c>
      <c r="E117" s="193" t="s">
        <v>506</v>
      </c>
      <c r="F117" s="917">
        <v>-293245</v>
      </c>
      <c r="G117" s="918">
        <v>1898305</v>
      </c>
      <c r="H117" s="916"/>
      <c r="I117" s="67">
        <f t="shared" si="2"/>
        <v>293245</v>
      </c>
    </row>
    <row r="118" spans="1:9" ht="15.75" hidden="1" thickBot="1">
      <c r="A118" s="915" t="s">
        <v>492</v>
      </c>
      <c r="B118" s="916">
        <v>64171</v>
      </c>
      <c r="C118" s="190" t="s">
        <v>493</v>
      </c>
      <c r="D118" s="190" t="s">
        <v>500</v>
      </c>
      <c r="E118" s="190" t="s">
        <v>506</v>
      </c>
      <c r="F118" s="917">
        <v>-307620</v>
      </c>
      <c r="G118" s="918">
        <v>1898306</v>
      </c>
      <c r="H118" s="916"/>
      <c r="I118" s="67">
        <f t="shared" si="2"/>
        <v>307620</v>
      </c>
    </row>
    <row r="119" spans="1:9" ht="15.75" hidden="1" thickBot="1">
      <c r="A119" s="915" t="s">
        <v>492</v>
      </c>
      <c r="B119" s="916">
        <v>64171</v>
      </c>
      <c r="C119" s="193" t="s">
        <v>493</v>
      </c>
      <c r="D119" s="193" t="s">
        <v>501</v>
      </c>
      <c r="E119" s="193" t="s">
        <v>506</v>
      </c>
      <c r="F119" s="917">
        <v>-161606</v>
      </c>
      <c r="G119" s="918">
        <v>1898307</v>
      </c>
      <c r="H119" s="916"/>
      <c r="I119" s="67">
        <f t="shared" si="2"/>
        <v>161606</v>
      </c>
    </row>
    <row r="120" spans="1:9" ht="15.75" hidden="1" thickBot="1">
      <c r="A120" s="915" t="s">
        <v>492</v>
      </c>
      <c r="B120" s="916">
        <v>64171</v>
      </c>
      <c r="C120" s="190" t="s">
        <v>493</v>
      </c>
      <c r="D120" s="190" t="s">
        <v>502</v>
      </c>
      <c r="E120" s="190" t="s">
        <v>506</v>
      </c>
      <c r="F120" s="917">
        <v>-265053</v>
      </c>
      <c r="G120" s="918">
        <v>1898308</v>
      </c>
      <c r="H120" s="916"/>
      <c r="I120" s="67">
        <f t="shared" si="2"/>
        <v>265053</v>
      </c>
    </row>
    <row r="121" spans="1:9" ht="15.75" hidden="1" thickBot="1">
      <c r="A121" s="915" t="s">
        <v>492</v>
      </c>
      <c r="B121" s="916">
        <v>64171</v>
      </c>
      <c r="C121" s="193" t="s">
        <v>493</v>
      </c>
      <c r="D121" s="193" t="s">
        <v>503</v>
      </c>
      <c r="E121" s="193" t="s">
        <v>506</v>
      </c>
      <c r="F121" s="917">
        <v>-514626</v>
      </c>
      <c r="G121" s="918">
        <v>1898309</v>
      </c>
      <c r="H121" s="916"/>
      <c r="I121" s="67">
        <f t="shared" si="2"/>
        <v>514626</v>
      </c>
    </row>
    <row r="122" spans="1:9" ht="15.75" hidden="1" thickBot="1">
      <c r="A122" s="915" t="s">
        <v>492</v>
      </c>
      <c r="B122" s="916">
        <v>64171</v>
      </c>
      <c r="C122" s="190" t="s">
        <v>493</v>
      </c>
      <c r="D122" s="190" t="s">
        <v>504</v>
      </c>
      <c r="E122" s="190" t="s">
        <v>506</v>
      </c>
      <c r="F122" s="917">
        <v>-808945</v>
      </c>
      <c r="G122" s="918">
        <v>1898310</v>
      </c>
      <c r="H122" s="916"/>
      <c r="I122" s="67">
        <f t="shared" si="2"/>
        <v>808945</v>
      </c>
    </row>
    <row r="123" spans="1:9" ht="15.75" hidden="1" thickBot="1">
      <c r="A123" s="915" t="s">
        <v>492</v>
      </c>
      <c r="B123" s="916">
        <v>64171</v>
      </c>
      <c r="C123" s="193" t="s">
        <v>493</v>
      </c>
      <c r="D123" s="193" t="s">
        <v>494</v>
      </c>
      <c r="E123" s="193" t="s">
        <v>507</v>
      </c>
      <c r="F123" s="917">
        <v>-51712</v>
      </c>
      <c r="G123" s="918">
        <v>1898301</v>
      </c>
      <c r="H123" s="916"/>
      <c r="I123" s="67">
        <f t="shared" si="2"/>
        <v>51712</v>
      </c>
    </row>
    <row r="124" spans="1:9" ht="15.75" hidden="1" thickBot="1">
      <c r="A124" s="915" t="s">
        <v>492</v>
      </c>
      <c r="B124" s="916">
        <v>64171</v>
      </c>
      <c r="C124" s="190" t="s">
        <v>493</v>
      </c>
      <c r="D124" s="190" t="s">
        <v>496</v>
      </c>
      <c r="E124" s="190" t="s">
        <v>507</v>
      </c>
      <c r="F124" s="917">
        <v>-27685</v>
      </c>
      <c r="G124" s="918">
        <v>1898302</v>
      </c>
      <c r="H124" s="916"/>
      <c r="I124" s="67">
        <f t="shared" si="2"/>
        <v>27685</v>
      </c>
    </row>
    <row r="125" spans="1:9" ht="15.75" hidden="1" thickBot="1">
      <c r="A125" s="915" t="s">
        <v>492</v>
      </c>
      <c r="B125" s="916">
        <v>64171</v>
      </c>
      <c r="C125" s="193" t="s">
        <v>493</v>
      </c>
      <c r="D125" s="193" t="s">
        <v>497</v>
      </c>
      <c r="E125" s="193" t="s">
        <v>507</v>
      </c>
      <c r="F125" s="917">
        <v>-65926</v>
      </c>
      <c r="G125" s="918">
        <v>1898303</v>
      </c>
      <c r="H125" s="916"/>
      <c r="I125" s="67">
        <f t="shared" si="2"/>
        <v>65926</v>
      </c>
    </row>
    <row r="126" spans="1:9" ht="15.75" hidden="1" thickBot="1">
      <c r="A126" s="915" t="s">
        <v>492</v>
      </c>
      <c r="B126" s="916">
        <v>64171</v>
      </c>
      <c r="C126" s="190" t="s">
        <v>493</v>
      </c>
      <c r="D126" s="190" t="s">
        <v>498</v>
      </c>
      <c r="E126" s="190" t="s">
        <v>507</v>
      </c>
      <c r="F126" s="917">
        <v>-3348</v>
      </c>
      <c r="G126" s="918">
        <v>1898304</v>
      </c>
      <c r="H126" s="916"/>
      <c r="I126" s="67">
        <f t="shared" si="2"/>
        <v>3348</v>
      </c>
    </row>
    <row r="127" spans="1:9" ht="15.75" hidden="1" thickBot="1">
      <c r="A127" s="915" t="s">
        <v>492</v>
      </c>
      <c r="B127" s="916">
        <v>64171</v>
      </c>
      <c r="C127" s="193" t="s">
        <v>493</v>
      </c>
      <c r="D127" s="193" t="s">
        <v>499</v>
      </c>
      <c r="E127" s="193" t="s">
        <v>507</v>
      </c>
      <c r="F127" s="917">
        <v>-7154</v>
      </c>
      <c r="G127" s="918">
        <v>1898305</v>
      </c>
      <c r="H127" s="916"/>
      <c r="I127" s="67">
        <f t="shared" si="2"/>
        <v>7154</v>
      </c>
    </row>
    <row r="128" spans="1:9" ht="15.75" hidden="1" thickBot="1">
      <c r="A128" s="915" t="s">
        <v>492</v>
      </c>
      <c r="B128" s="916">
        <v>64171</v>
      </c>
      <c r="C128" s="190" t="s">
        <v>493</v>
      </c>
      <c r="D128" s="190" t="s">
        <v>500</v>
      </c>
      <c r="E128" s="190" t="s">
        <v>507</v>
      </c>
      <c r="F128" s="917">
        <v>-8685</v>
      </c>
      <c r="G128" s="918">
        <v>1898306</v>
      </c>
      <c r="H128" s="916"/>
      <c r="I128" s="67">
        <f t="shared" si="2"/>
        <v>8685</v>
      </c>
    </row>
    <row r="129" spans="1:9" ht="15.75" hidden="1" thickBot="1">
      <c r="A129" s="915" t="s">
        <v>492</v>
      </c>
      <c r="B129" s="916">
        <v>64171</v>
      </c>
      <c r="C129" s="193" t="s">
        <v>493</v>
      </c>
      <c r="D129" s="193" t="s">
        <v>501</v>
      </c>
      <c r="E129" s="193" t="s">
        <v>507</v>
      </c>
      <c r="F129" s="917">
        <v>-23614</v>
      </c>
      <c r="G129" s="918">
        <v>1898307</v>
      </c>
      <c r="H129" s="916"/>
      <c r="I129" s="67">
        <f t="shared" si="2"/>
        <v>23614</v>
      </c>
    </row>
    <row r="130" spans="1:9" ht="15.75" hidden="1" thickBot="1">
      <c r="A130" s="915" t="s">
        <v>492</v>
      </c>
      <c r="B130" s="916">
        <v>64171</v>
      </c>
      <c r="C130" s="190" t="s">
        <v>493</v>
      </c>
      <c r="D130" s="190" t="s">
        <v>502</v>
      </c>
      <c r="E130" s="190" t="s">
        <v>507</v>
      </c>
      <c r="F130" s="917">
        <v>-9406</v>
      </c>
      <c r="G130" s="918">
        <v>1898308</v>
      </c>
      <c r="H130" s="916"/>
      <c r="I130" s="67">
        <f t="shared" si="2"/>
        <v>9406</v>
      </c>
    </row>
    <row r="131" spans="1:9" ht="15.75" hidden="1" thickBot="1">
      <c r="A131" s="915" t="s">
        <v>492</v>
      </c>
      <c r="B131" s="916">
        <v>64171</v>
      </c>
      <c r="C131" s="193" t="s">
        <v>493</v>
      </c>
      <c r="D131" s="193" t="s">
        <v>503</v>
      </c>
      <c r="E131" s="193" t="s">
        <v>507</v>
      </c>
      <c r="F131" s="917">
        <v>-18905</v>
      </c>
      <c r="G131" s="918">
        <v>1898309</v>
      </c>
      <c r="H131" s="916"/>
      <c r="I131" s="67">
        <f t="shared" si="2"/>
        <v>18905</v>
      </c>
    </row>
    <row r="132" spans="1:9" ht="15.75" hidden="1" thickBot="1">
      <c r="A132" s="915" t="s">
        <v>492</v>
      </c>
      <c r="B132" s="916">
        <v>64171</v>
      </c>
      <c r="C132" s="190" t="s">
        <v>493</v>
      </c>
      <c r="D132" s="190" t="s">
        <v>504</v>
      </c>
      <c r="E132" s="190" t="s">
        <v>507</v>
      </c>
      <c r="F132" s="917">
        <v>-214518</v>
      </c>
      <c r="G132" s="918">
        <v>1898310</v>
      </c>
      <c r="H132" s="916"/>
      <c r="I132" s="67">
        <f t="shared" si="2"/>
        <v>214518</v>
      </c>
    </row>
    <row r="133" spans="1:9" ht="15.75" hidden="1" thickBot="1">
      <c r="A133" s="915" t="s">
        <v>492</v>
      </c>
      <c r="B133" s="916">
        <v>64171</v>
      </c>
      <c r="C133" s="193" t="s">
        <v>493</v>
      </c>
      <c r="D133" s="193" t="s">
        <v>494</v>
      </c>
      <c r="E133" s="193" t="s">
        <v>992</v>
      </c>
      <c r="F133" s="917">
        <v>-221108</v>
      </c>
      <c r="G133" s="918">
        <v>1898301</v>
      </c>
      <c r="H133" s="916"/>
      <c r="I133" s="67">
        <f t="shared" ref="I133:I143" si="3">-F133</f>
        <v>221108</v>
      </c>
    </row>
    <row r="134" spans="1:9" ht="15.75" hidden="1" thickBot="1">
      <c r="A134" s="915" t="s">
        <v>492</v>
      </c>
      <c r="B134" s="916">
        <v>64171</v>
      </c>
      <c r="C134" s="190" t="s">
        <v>493</v>
      </c>
      <c r="D134" s="190" t="s">
        <v>496</v>
      </c>
      <c r="E134" s="190" t="s">
        <v>992</v>
      </c>
      <c r="F134" s="919">
        <v>-196</v>
      </c>
      <c r="G134" s="918">
        <v>1898302</v>
      </c>
      <c r="H134" s="916"/>
      <c r="I134" s="67">
        <f t="shared" si="3"/>
        <v>196</v>
      </c>
    </row>
    <row r="135" spans="1:9" ht="15.75" hidden="1" thickBot="1">
      <c r="A135" s="915" t="s">
        <v>492</v>
      </c>
      <c r="B135" s="916">
        <v>64171</v>
      </c>
      <c r="C135" s="193" t="s">
        <v>493</v>
      </c>
      <c r="D135" s="193" t="s">
        <v>497</v>
      </c>
      <c r="E135" s="193" t="s">
        <v>992</v>
      </c>
      <c r="F135" s="917">
        <v>-10206</v>
      </c>
      <c r="G135" s="918">
        <v>1898303</v>
      </c>
      <c r="H135" s="916"/>
      <c r="I135" s="67">
        <f t="shared" si="3"/>
        <v>10206</v>
      </c>
    </row>
    <row r="136" spans="1:9" ht="15.75" hidden="1" thickBot="1">
      <c r="A136" s="915" t="s">
        <v>492</v>
      </c>
      <c r="B136" s="916">
        <v>64171</v>
      </c>
      <c r="C136" s="190" t="s">
        <v>493</v>
      </c>
      <c r="D136" s="190" t="s">
        <v>498</v>
      </c>
      <c r="E136" s="190" t="s">
        <v>992</v>
      </c>
      <c r="F136" s="917">
        <v>-522770</v>
      </c>
      <c r="G136" s="918">
        <v>1898304</v>
      </c>
      <c r="H136" s="916"/>
      <c r="I136" s="67">
        <f t="shared" si="3"/>
        <v>522770</v>
      </c>
    </row>
    <row r="137" spans="1:9" ht="15.75" hidden="1" thickBot="1">
      <c r="A137" s="915" t="s">
        <v>492</v>
      </c>
      <c r="B137" s="916">
        <v>64171</v>
      </c>
      <c r="C137" s="193" t="s">
        <v>493</v>
      </c>
      <c r="D137" s="193" t="s">
        <v>499</v>
      </c>
      <c r="E137" s="193" t="s">
        <v>992</v>
      </c>
      <c r="F137" s="917">
        <v>-2260</v>
      </c>
      <c r="G137" s="918">
        <v>1898305</v>
      </c>
      <c r="H137" s="916"/>
      <c r="I137" s="67">
        <f t="shared" si="3"/>
        <v>2260</v>
      </c>
    </row>
    <row r="138" spans="1:9" ht="15.75" hidden="1" thickBot="1">
      <c r="A138" s="915" t="s">
        <v>492</v>
      </c>
      <c r="B138" s="916">
        <v>64171</v>
      </c>
      <c r="C138" s="190" t="s">
        <v>493</v>
      </c>
      <c r="D138" s="190" t="s">
        <v>500</v>
      </c>
      <c r="E138" s="190" t="s">
        <v>992</v>
      </c>
      <c r="F138" s="917">
        <v>-45751</v>
      </c>
      <c r="G138" s="918">
        <v>1898306</v>
      </c>
      <c r="H138" s="916"/>
      <c r="I138" s="67">
        <f t="shared" si="3"/>
        <v>45751</v>
      </c>
    </row>
    <row r="139" spans="1:9" ht="15.75" hidden="1" thickBot="1">
      <c r="A139" s="915" t="s">
        <v>492</v>
      </c>
      <c r="B139" s="916">
        <v>64171</v>
      </c>
      <c r="C139" s="193" t="s">
        <v>493</v>
      </c>
      <c r="D139" s="193" t="s">
        <v>501</v>
      </c>
      <c r="E139" s="193" t="s">
        <v>992</v>
      </c>
      <c r="F139" s="919">
        <v>-69</v>
      </c>
      <c r="G139" s="918">
        <v>1898307</v>
      </c>
      <c r="H139" s="916"/>
      <c r="I139" s="67">
        <f t="shared" si="3"/>
        <v>69</v>
      </c>
    </row>
    <row r="140" spans="1:9" ht="15.75" hidden="1" thickBot="1">
      <c r="A140" s="915" t="s">
        <v>492</v>
      </c>
      <c r="B140" s="916">
        <v>64171</v>
      </c>
      <c r="C140" s="190" t="s">
        <v>493</v>
      </c>
      <c r="D140" s="190" t="s">
        <v>502</v>
      </c>
      <c r="E140" s="190" t="s">
        <v>992</v>
      </c>
      <c r="F140" s="919">
        <v>-627</v>
      </c>
      <c r="G140" s="918">
        <v>1898308</v>
      </c>
      <c r="H140" s="916"/>
      <c r="I140" s="67">
        <f t="shared" si="3"/>
        <v>627</v>
      </c>
    </row>
    <row r="141" spans="1:9" ht="15.75" hidden="1" thickBot="1">
      <c r="A141" s="915" t="s">
        <v>492</v>
      </c>
      <c r="B141" s="916">
        <v>64171</v>
      </c>
      <c r="C141" s="193" t="s">
        <v>493</v>
      </c>
      <c r="D141" s="193" t="s">
        <v>503</v>
      </c>
      <c r="E141" s="193" t="s">
        <v>992</v>
      </c>
      <c r="F141" s="917">
        <v>-5717</v>
      </c>
      <c r="G141" s="918">
        <v>1898309</v>
      </c>
      <c r="H141" s="916"/>
      <c r="I141" s="67">
        <f t="shared" si="3"/>
        <v>5717</v>
      </c>
    </row>
    <row r="142" spans="1:9" ht="15.75" hidden="1" thickBot="1">
      <c r="A142" s="915" t="s">
        <v>492</v>
      </c>
      <c r="B142" s="916">
        <v>64171</v>
      </c>
      <c r="C142" s="190" t="s">
        <v>493</v>
      </c>
      <c r="D142" s="190" t="s">
        <v>504</v>
      </c>
      <c r="E142" s="190" t="s">
        <v>992</v>
      </c>
      <c r="F142" s="917">
        <v>-1043675</v>
      </c>
      <c r="G142" s="918">
        <v>1898310</v>
      </c>
      <c r="H142" s="916"/>
      <c r="I142" s="67">
        <f t="shared" si="3"/>
        <v>1043675</v>
      </c>
    </row>
    <row r="143" spans="1:9" ht="15.75" hidden="1" thickBot="1">
      <c r="A143" s="915" t="s">
        <v>224</v>
      </c>
      <c r="B143" s="916">
        <v>3358</v>
      </c>
      <c r="C143" s="193">
        <v>8</v>
      </c>
      <c r="D143" s="193" t="s">
        <v>494</v>
      </c>
      <c r="E143" s="197"/>
      <c r="F143" s="917">
        <v>-400613014</v>
      </c>
      <c r="G143" s="198">
        <v>1898301</v>
      </c>
      <c r="H143" s="920"/>
      <c r="I143" s="67">
        <f t="shared" si="3"/>
        <v>400613014</v>
      </c>
    </row>
    <row r="153" spans="2:9" ht="15.75" thickBot="1">
      <c r="B153" s="199" t="s">
        <v>492</v>
      </c>
      <c r="C153" s="200">
        <v>64171</v>
      </c>
      <c r="D153" s="201" t="s">
        <v>493</v>
      </c>
      <c r="E153" s="201" t="s">
        <v>498</v>
      </c>
      <c r="F153" s="201" t="s">
        <v>991</v>
      </c>
      <c r="G153" s="202">
        <f>I153</f>
        <v>-5310400</v>
      </c>
      <c r="H153" s="203" t="s">
        <v>1389</v>
      </c>
      <c r="I153" s="67">
        <v>-5310400</v>
      </c>
    </row>
    <row r="154" spans="2:9" ht="15.75" thickBot="1">
      <c r="B154" s="199" t="s">
        <v>492</v>
      </c>
      <c r="C154" s="200">
        <v>64171</v>
      </c>
      <c r="D154" s="201" t="s">
        <v>493</v>
      </c>
      <c r="E154" s="201" t="s">
        <v>500</v>
      </c>
      <c r="F154" s="201" t="s">
        <v>991</v>
      </c>
      <c r="G154" s="202">
        <f t="shared" ref="G154:G156" si="4">I154</f>
        <v>-13949400</v>
      </c>
      <c r="H154" s="203" t="s">
        <v>1390</v>
      </c>
      <c r="I154" s="67">
        <v>-13949400</v>
      </c>
    </row>
    <row r="155" spans="2:9" ht="15.75" thickBot="1">
      <c r="B155" s="199" t="s">
        <v>492</v>
      </c>
      <c r="C155" s="200">
        <v>64171</v>
      </c>
      <c r="D155" s="201" t="s">
        <v>493</v>
      </c>
      <c r="E155" s="201" t="s">
        <v>502</v>
      </c>
      <c r="F155" s="201" t="s">
        <v>991</v>
      </c>
      <c r="G155" s="202">
        <f t="shared" si="4"/>
        <v>-3817480</v>
      </c>
      <c r="H155" s="203" t="s">
        <v>1391</v>
      </c>
      <c r="I155" s="67">
        <v>-3817480</v>
      </c>
    </row>
    <row r="156" spans="2:9" ht="15.75" thickBot="1">
      <c r="B156" s="199" t="s">
        <v>492</v>
      </c>
      <c r="C156" s="200">
        <v>64171</v>
      </c>
      <c r="D156" s="201" t="s">
        <v>493</v>
      </c>
      <c r="E156" s="201" t="s">
        <v>497</v>
      </c>
      <c r="F156" s="201" t="s">
        <v>991</v>
      </c>
      <c r="G156" s="202">
        <f t="shared" si="4"/>
        <v>-18091640</v>
      </c>
      <c r="H156" s="203" t="s">
        <v>1388</v>
      </c>
      <c r="I156" s="67">
        <v>-18091640</v>
      </c>
    </row>
  </sheetData>
  <autoFilter ref="A35:R143">
    <filterColumn colId="14">
      <filters>
        <filter val="SBUSAB1VITVIT003"/>
      </filters>
    </filterColumn>
  </autoFilter>
  <pageMargins left="0.7" right="0.7" top="0.75" bottom="0.75" header="0.3" footer="0.3"/>
  <pageSetup paperSize="9" orientation="portrait" horizontalDpi="300" verticalDpi="3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6"/>
  <sheetViews>
    <sheetView topLeftCell="A14" workbookViewId="0">
      <selection activeCell="C23" sqref="C23"/>
    </sheetView>
  </sheetViews>
  <sheetFormatPr defaultRowHeight="15"/>
  <cols>
    <col min="2" max="2" width="23.7109375" customWidth="1"/>
    <col min="5" max="5" width="15" customWidth="1"/>
    <col min="8" max="8" width="11.5703125" style="68" bestFit="1" customWidth="1"/>
    <col min="9" max="9" width="11.5703125" bestFit="1" customWidth="1"/>
  </cols>
  <sheetData>
    <row r="1" spans="1:8">
      <c r="A1" s="330"/>
    </row>
    <row r="2" spans="1:8" ht="16.5">
      <c r="A2" s="324" t="s">
        <v>868</v>
      </c>
    </row>
    <row r="3" spans="1:8">
      <c r="A3" s="331"/>
    </row>
    <row r="4" spans="1:8" ht="15.75">
      <c r="A4" s="295" t="s">
        <v>630</v>
      </c>
    </row>
    <row r="5" spans="1:8" ht="15.75">
      <c r="A5" s="296" t="s">
        <v>1394</v>
      </c>
    </row>
    <row r="6" spans="1:8" ht="17.25" thickBot="1">
      <c r="A6" s="297"/>
    </row>
    <row r="7" spans="1:8" ht="28.5" customHeight="1" thickBot="1">
      <c r="A7" s="353" t="s">
        <v>0</v>
      </c>
      <c r="B7" s="353" t="s">
        <v>121</v>
      </c>
      <c r="C7" s="353" t="s">
        <v>632</v>
      </c>
      <c r="D7" s="325" t="s">
        <v>633</v>
      </c>
      <c r="E7" s="354"/>
      <c r="F7" s="353" t="s">
        <v>634</v>
      </c>
    </row>
    <row r="8" spans="1:8" ht="33.75" thickBot="1">
      <c r="A8" s="355"/>
      <c r="B8" s="355"/>
      <c r="C8" s="355"/>
      <c r="D8" s="299" t="s">
        <v>739</v>
      </c>
      <c r="E8" s="300" t="s">
        <v>740</v>
      </c>
      <c r="F8" s="355"/>
    </row>
    <row r="9" spans="1:8" ht="16.5" thickBot="1">
      <c r="A9" s="255">
        <v>1</v>
      </c>
      <c r="B9" s="256" t="s">
        <v>39</v>
      </c>
      <c r="C9" s="255" t="s">
        <v>668</v>
      </c>
      <c r="D9" s="413"/>
      <c r="E9" s="921">
        <v>1101000</v>
      </c>
      <c r="F9" s="258"/>
      <c r="H9" s="926">
        <f>E9</f>
        <v>1101000</v>
      </c>
    </row>
    <row r="10" spans="1:8" ht="32.25" customHeight="1" thickBot="1">
      <c r="A10" s="255">
        <v>2</v>
      </c>
      <c r="B10" s="256" t="s">
        <v>29</v>
      </c>
      <c r="C10" s="255" t="s">
        <v>668</v>
      </c>
      <c r="D10" s="413"/>
      <c r="E10" s="921">
        <v>612000</v>
      </c>
      <c r="F10" s="258"/>
      <c r="H10" s="926">
        <f t="shared" ref="H10:H42" si="0">E10</f>
        <v>612000</v>
      </c>
    </row>
    <row r="11" spans="1:8" ht="48" customHeight="1" thickBot="1">
      <c r="A11" s="255">
        <v>3</v>
      </c>
      <c r="B11" s="256" t="s">
        <v>31</v>
      </c>
      <c r="C11" s="255" t="s">
        <v>668</v>
      </c>
      <c r="D11" s="413"/>
      <c r="E11" s="921">
        <v>336000</v>
      </c>
      <c r="F11" s="258"/>
      <c r="H11" s="926">
        <f t="shared" si="0"/>
        <v>336000</v>
      </c>
    </row>
    <row r="12" spans="1:8" ht="48" customHeight="1" thickBot="1">
      <c r="A12" s="255">
        <v>4</v>
      </c>
      <c r="B12" s="256" t="s">
        <v>213</v>
      </c>
      <c r="C12" s="255" t="s">
        <v>668</v>
      </c>
      <c r="D12" s="413"/>
      <c r="E12" s="921">
        <v>538500</v>
      </c>
      <c r="F12" s="258"/>
      <c r="H12" s="926">
        <f t="shared" si="0"/>
        <v>538500</v>
      </c>
    </row>
    <row r="13" spans="1:8" ht="48" customHeight="1" thickBot="1">
      <c r="A13" s="255">
        <v>5</v>
      </c>
      <c r="B13" s="256" t="s">
        <v>262</v>
      </c>
      <c r="C13" s="255" t="s">
        <v>668</v>
      </c>
      <c r="D13" s="413"/>
      <c r="E13" s="921">
        <v>676500</v>
      </c>
      <c r="F13" s="258"/>
      <c r="H13" s="926">
        <f t="shared" si="0"/>
        <v>676500</v>
      </c>
    </row>
    <row r="14" spans="1:8" ht="63.75" customHeight="1" thickBot="1">
      <c r="A14" s="255">
        <v>6</v>
      </c>
      <c r="B14" s="256" t="s">
        <v>435</v>
      </c>
      <c r="C14" s="255" t="s">
        <v>668</v>
      </c>
      <c r="D14" s="413"/>
      <c r="E14" s="921">
        <v>508500</v>
      </c>
      <c r="F14" s="258"/>
      <c r="H14" s="926">
        <f t="shared" si="0"/>
        <v>508500</v>
      </c>
    </row>
    <row r="15" spans="1:8" ht="48" customHeight="1" thickBot="1">
      <c r="A15" s="255">
        <v>7</v>
      </c>
      <c r="B15" s="256" t="s">
        <v>295</v>
      </c>
      <c r="C15" s="255" t="s">
        <v>668</v>
      </c>
      <c r="D15" s="413"/>
      <c r="E15" s="921">
        <v>501000</v>
      </c>
      <c r="F15" s="258"/>
      <c r="H15" s="926">
        <f t="shared" si="0"/>
        <v>501000</v>
      </c>
    </row>
    <row r="16" spans="1:8" ht="32.25" customHeight="1" thickBot="1">
      <c r="A16" s="255">
        <v>8</v>
      </c>
      <c r="B16" s="256" t="s">
        <v>151</v>
      </c>
      <c r="C16" s="255" t="s">
        <v>653</v>
      </c>
      <c r="D16" s="413"/>
      <c r="E16" s="921">
        <v>103000</v>
      </c>
      <c r="F16" s="258"/>
      <c r="H16" s="926">
        <f t="shared" si="0"/>
        <v>103000</v>
      </c>
    </row>
    <row r="17" spans="1:8" ht="48" customHeight="1" thickBot="1">
      <c r="A17" s="255">
        <v>9</v>
      </c>
      <c r="B17" s="256" t="s">
        <v>52</v>
      </c>
      <c r="C17" s="255" t="s">
        <v>653</v>
      </c>
      <c r="D17" s="413"/>
      <c r="E17" s="921">
        <v>228000</v>
      </c>
      <c r="F17" s="258"/>
      <c r="H17" s="926">
        <f t="shared" si="0"/>
        <v>228000</v>
      </c>
    </row>
    <row r="18" spans="1:8" ht="48" customHeight="1" thickBot="1">
      <c r="A18" s="255">
        <v>10</v>
      </c>
      <c r="B18" s="256" t="s">
        <v>138</v>
      </c>
      <c r="C18" s="255" t="s">
        <v>653</v>
      </c>
      <c r="D18" s="413"/>
      <c r="E18" s="921">
        <v>302400</v>
      </c>
      <c r="F18" s="258"/>
      <c r="H18" s="926">
        <f t="shared" si="0"/>
        <v>302400</v>
      </c>
    </row>
    <row r="19" spans="1:8" ht="32.25" customHeight="1" thickBot="1">
      <c r="A19" s="255">
        <v>11</v>
      </c>
      <c r="B19" s="256" t="s">
        <v>659</v>
      </c>
      <c r="C19" s="255" t="s">
        <v>653</v>
      </c>
      <c r="D19" s="257">
        <v>293000</v>
      </c>
      <c r="E19" s="258"/>
      <c r="F19" s="258"/>
      <c r="H19" s="926">
        <f t="shared" si="0"/>
        <v>0</v>
      </c>
    </row>
    <row r="20" spans="1:8" ht="48" customHeight="1" thickBot="1">
      <c r="A20" s="255">
        <v>12</v>
      </c>
      <c r="B20" s="256" t="s">
        <v>65</v>
      </c>
      <c r="C20" s="255" t="s">
        <v>646</v>
      </c>
      <c r="D20" s="413"/>
      <c r="E20" s="921">
        <v>244000</v>
      </c>
      <c r="F20" s="258"/>
      <c r="H20" s="926">
        <f t="shared" si="0"/>
        <v>244000</v>
      </c>
    </row>
    <row r="21" spans="1:8" ht="63.75" customHeight="1" thickBot="1">
      <c r="A21" s="255">
        <v>13</v>
      </c>
      <c r="B21" s="256" t="s">
        <v>289</v>
      </c>
      <c r="C21" s="255" t="s">
        <v>646</v>
      </c>
      <c r="D21" s="413"/>
      <c r="E21" s="921">
        <v>565500</v>
      </c>
      <c r="F21" s="258"/>
      <c r="H21" s="926">
        <f t="shared" si="0"/>
        <v>565500</v>
      </c>
    </row>
    <row r="22" spans="1:8" ht="32.25" customHeight="1" thickBot="1">
      <c r="A22" s="255">
        <v>14</v>
      </c>
      <c r="B22" s="256" t="s">
        <v>72</v>
      </c>
      <c r="C22" s="255" t="s">
        <v>674</v>
      </c>
      <c r="D22" s="413"/>
      <c r="E22" s="921">
        <v>237000</v>
      </c>
      <c r="F22" s="258"/>
      <c r="H22" s="926">
        <f t="shared" si="0"/>
        <v>237000</v>
      </c>
    </row>
    <row r="23" spans="1:8" ht="48" customHeight="1" thickBot="1">
      <c r="A23" s="255">
        <v>15</v>
      </c>
      <c r="B23" s="256" t="s">
        <v>81</v>
      </c>
      <c r="C23" s="255" t="s">
        <v>649</v>
      </c>
      <c r="D23" s="413"/>
      <c r="E23" s="921">
        <v>322800</v>
      </c>
      <c r="F23" s="258"/>
      <c r="H23" s="926">
        <f t="shared" si="0"/>
        <v>322800</v>
      </c>
    </row>
    <row r="24" spans="1:8" ht="48" customHeight="1" thickBot="1">
      <c r="A24" s="255">
        <v>16</v>
      </c>
      <c r="B24" s="256" t="s">
        <v>27</v>
      </c>
      <c r="C24" s="255" t="s">
        <v>649</v>
      </c>
      <c r="D24" s="413"/>
      <c r="E24" s="921">
        <v>306000</v>
      </c>
      <c r="F24" s="258"/>
      <c r="H24" s="926">
        <f t="shared" si="0"/>
        <v>306000</v>
      </c>
    </row>
    <row r="25" spans="1:8" ht="32.25" customHeight="1" thickBot="1">
      <c r="A25" s="255">
        <v>17</v>
      </c>
      <c r="B25" s="256" t="s">
        <v>221</v>
      </c>
      <c r="C25" s="255" t="s">
        <v>649</v>
      </c>
      <c r="D25" s="413"/>
      <c r="E25" s="921">
        <v>240000</v>
      </c>
      <c r="F25" s="258"/>
      <c r="H25" s="926">
        <f t="shared" si="0"/>
        <v>240000</v>
      </c>
    </row>
    <row r="26" spans="1:8" ht="48" customHeight="1" thickBot="1">
      <c r="A26" s="255">
        <v>18</v>
      </c>
      <c r="B26" s="256" t="s">
        <v>685</v>
      </c>
      <c r="C26" s="255" t="s">
        <v>649</v>
      </c>
      <c r="D26" s="257">
        <v>199000</v>
      </c>
      <c r="E26" s="258"/>
      <c r="F26" s="258"/>
      <c r="H26" s="926">
        <f t="shared" si="0"/>
        <v>0</v>
      </c>
    </row>
    <row r="27" spans="1:8" ht="32.25" customHeight="1" thickBot="1">
      <c r="A27" s="255">
        <v>19</v>
      </c>
      <c r="B27" s="256" t="s">
        <v>91</v>
      </c>
      <c r="C27" s="255" t="s">
        <v>650</v>
      </c>
      <c r="D27" s="413"/>
      <c r="E27" s="921">
        <v>337200</v>
      </c>
      <c r="F27" s="258"/>
      <c r="H27" s="926">
        <f t="shared" si="0"/>
        <v>337200</v>
      </c>
    </row>
    <row r="28" spans="1:8" ht="48" customHeight="1" thickBot="1">
      <c r="A28" s="255">
        <v>20</v>
      </c>
      <c r="B28" s="256" t="s">
        <v>83</v>
      </c>
      <c r="C28" s="255" t="s">
        <v>650</v>
      </c>
      <c r="D28" s="413"/>
      <c r="E28" s="921">
        <v>331200</v>
      </c>
      <c r="F28" s="258"/>
      <c r="H28" s="926">
        <f t="shared" si="0"/>
        <v>331200</v>
      </c>
    </row>
    <row r="29" spans="1:8" ht="48" customHeight="1" thickBot="1">
      <c r="A29" s="255">
        <v>21</v>
      </c>
      <c r="B29" s="256" t="s">
        <v>727</v>
      </c>
      <c r="C29" s="255" t="s">
        <v>650</v>
      </c>
      <c r="D29" s="257">
        <v>839000</v>
      </c>
      <c r="E29" s="258"/>
      <c r="F29" s="258"/>
      <c r="H29" s="926">
        <f t="shared" si="0"/>
        <v>0</v>
      </c>
    </row>
    <row r="30" spans="1:8" ht="48" customHeight="1" thickBot="1">
      <c r="A30" s="255">
        <v>22</v>
      </c>
      <c r="B30" s="256" t="s">
        <v>94</v>
      </c>
      <c r="C30" s="255" t="s">
        <v>642</v>
      </c>
      <c r="D30" s="413"/>
      <c r="E30" s="921">
        <v>102000</v>
      </c>
      <c r="F30" s="258"/>
      <c r="H30" s="926">
        <f t="shared" si="0"/>
        <v>102000</v>
      </c>
    </row>
    <row r="31" spans="1:8" ht="48" customHeight="1" thickBot="1">
      <c r="A31" s="255">
        <v>23</v>
      </c>
      <c r="B31" s="256" t="s">
        <v>86</v>
      </c>
      <c r="C31" s="255" t="s">
        <v>642</v>
      </c>
      <c r="D31" s="413"/>
      <c r="E31" s="921">
        <v>652500</v>
      </c>
      <c r="F31" s="258"/>
      <c r="H31" s="926">
        <f t="shared" si="0"/>
        <v>652500</v>
      </c>
    </row>
    <row r="32" spans="1:8" ht="32.25" customHeight="1" thickBot="1">
      <c r="A32" s="742">
        <v>24</v>
      </c>
      <c r="B32" s="743" t="s">
        <v>644</v>
      </c>
      <c r="C32" s="742" t="s">
        <v>642</v>
      </c>
      <c r="D32" s="922"/>
      <c r="E32" s="923">
        <v>320400</v>
      </c>
      <c r="F32" s="745"/>
      <c r="H32" s="926">
        <f t="shared" si="0"/>
        <v>320400</v>
      </c>
    </row>
    <row r="33" spans="1:8" ht="32.25" customHeight="1" thickBot="1">
      <c r="A33" s="746">
        <v>25</v>
      </c>
      <c r="B33" s="687" t="s">
        <v>98</v>
      </c>
      <c r="C33" s="688" t="s">
        <v>636</v>
      </c>
      <c r="D33" s="386"/>
      <c r="E33" s="689">
        <v>333600</v>
      </c>
      <c r="F33" s="386"/>
      <c r="H33" s="926">
        <f t="shared" si="0"/>
        <v>333600</v>
      </c>
    </row>
    <row r="34" spans="1:8" ht="48" customHeight="1" thickBot="1">
      <c r="A34" s="746">
        <v>26</v>
      </c>
      <c r="B34" s="687" t="s">
        <v>747</v>
      </c>
      <c r="C34" s="688" t="s">
        <v>746</v>
      </c>
      <c r="D34" s="689">
        <v>231600</v>
      </c>
      <c r="E34" s="386"/>
      <c r="F34" s="386"/>
      <c r="H34" s="926">
        <f t="shared" si="0"/>
        <v>0</v>
      </c>
    </row>
    <row r="35" spans="1:8" ht="48" customHeight="1" thickBot="1">
      <c r="A35" s="746">
        <v>27</v>
      </c>
      <c r="B35" s="687" t="s">
        <v>662</v>
      </c>
      <c r="C35" s="688" t="s">
        <v>746</v>
      </c>
      <c r="D35" s="689">
        <v>194400</v>
      </c>
      <c r="E35" s="386"/>
      <c r="F35" s="386"/>
      <c r="H35" s="926">
        <f t="shared" si="0"/>
        <v>0</v>
      </c>
    </row>
    <row r="36" spans="1:8" ht="63.75" customHeight="1" thickBot="1">
      <c r="A36" s="255">
        <v>28</v>
      </c>
      <c r="B36" s="256" t="s">
        <v>748</v>
      </c>
      <c r="C36" s="255" t="s">
        <v>746</v>
      </c>
      <c r="D36" s="257">
        <v>98400</v>
      </c>
      <c r="E36" s="258"/>
      <c r="F36" s="258"/>
      <c r="H36" s="926">
        <f t="shared" si="0"/>
        <v>0</v>
      </c>
    </row>
    <row r="37" spans="1:8" ht="48" customHeight="1" thickBot="1">
      <c r="A37" s="255">
        <v>29</v>
      </c>
      <c r="B37" s="256" t="s">
        <v>663</v>
      </c>
      <c r="C37" s="255" t="s">
        <v>746</v>
      </c>
      <c r="D37" s="413"/>
      <c r="E37" s="921">
        <v>105600</v>
      </c>
      <c r="F37" s="258"/>
      <c r="H37" s="926">
        <f t="shared" si="0"/>
        <v>105600</v>
      </c>
    </row>
    <row r="38" spans="1:8" ht="48" customHeight="1" thickBot="1">
      <c r="A38" s="255">
        <v>30</v>
      </c>
      <c r="B38" s="256" t="s">
        <v>665</v>
      </c>
      <c r="C38" s="255" t="s">
        <v>746</v>
      </c>
      <c r="D38" s="413"/>
      <c r="E38" s="921">
        <v>81000</v>
      </c>
      <c r="F38" s="258"/>
      <c r="H38" s="926">
        <f t="shared" si="0"/>
        <v>81000</v>
      </c>
    </row>
    <row r="39" spans="1:8" ht="32.25" customHeight="1" thickBot="1">
      <c r="A39" s="255">
        <v>31</v>
      </c>
      <c r="B39" s="256" t="s">
        <v>750</v>
      </c>
      <c r="C39" s="255" t="s">
        <v>746</v>
      </c>
      <c r="D39" s="413"/>
      <c r="E39" s="921">
        <v>151500</v>
      </c>
      <c r="F39" s="258"/>
      <c r="H39" s="926">
        <f t="shared" si="0"/>
        <v>151500</v>
      </c>
    </row>
    <row r="40" spans="1:8" ht="48" customHeight="1" thickBot="1">
      <c r="A40" s="255">
        <v>32</v>
      </c>
      <c r="B40" s="256" t="s">
        <v>751</v>
      </c>
      <c r="C40" s="255" t="s">
        <v>746</v>
      </c>
      <c r="D40" s="413"/>
      <c r="E40" s="921">
        <v>72000</v>
      </c>
      <c r="F40" s="258"/>
      <c r="H40" s="926">
        <f t="shared" si="0"/>
        <v>72000</v>
      </c>
    </row>
    <row r="41" spans="1:8" ht="32.25" customHeight="1" thickBot="1">
      <c r="A41" s="255">
        <v>32</v>
      </c>
      <c r="B41" s="256" t="s">
        <v>144</v>
      </c>
      <c r="C41" s="255" t="s">
        <v>1224</v>
      </c>
      <c r="D41" s="413"/>
      <c r="E41" s="921">
        <v>10000</v>
      </c>
      <c r="F41" s="258"/>
      <c r="H41" s="926">
        <f t="shared" si="0"/>
        <v>10000</v>
      </c>
    </row>
    <row r="42" spans="1:8" ht="16.5" thickBot="1">
      <c r="A42" s="255">
        <v>33</v>
      </c>
      <c r="B42" s="256" t="s">
        <v>870</v>
      </c>
      <c r="C42" s="255" t="s">
        <v>642</v>
      </c>
      <c r="D42" s="257">
        <v>34000</v>
      </c>
      <c r="E42" s="258"/>
      <c r="F42" s="258"/>
      <c r="H42" s="926">
        <f t="shared" si="0"/>
        <v>0</v>
      </c>
    </row>
    <row r="43" spans="1:8" ht="16.5" thickBot="1">
      <c r="A43" s="360" t="s">
        <v>676</v>
      </c>
      <c r="B43" s="361"/>
      <c r="C43" s="747"/>
      <c r="D43" s="748">
        <v>1889400</v>
      </c>
      <c r="E43" s="748">
        <v>9319200</v>
      </c>
      <c r="F43" s="337"/>
    </row>
    <row r="44" spans="1:8" ht="16.5" customHeight="1" thickBot="1">
      <c r="A44" s="360" t="s">
        <v>753</v>
      </c>
      <c r="B44" s="361"/>
      <c r="C44" s="336"/>
      <c r="D44" s="773">
        <v>11208600</v>
      </c>
      <c r="E44" s="927"/>
      <c r="F44" s="337"/>
    </row>
    <row r="45" spans="1:8" ht="15.75">
      <c r="A45" s="338" t="s">
        <v>1395</v>
      </c>
    </row>
    <row r="46" spans="1:8" ht="16.5">
      <c r="A46" s="749"/>
      <c r="B46" s="248"/>
    </row>
    <row r="47" spans="1:8">
      <c r="A47" s="320"/>
    </row>
    <row r="48" spans="1:8">
      <c r="A48" s="320"/>
    </row>
    <row r="49" spans="1:9" ht="16.5">
      <c r="A49" s="324" t="s">
        <v>1256</v>
      </c>
      <c r="I49" s="66">
        <f>E43+H90</f>
        <v>10599200</v>
      </c>
    </row>
    <row r="50" spans="1:9">
      <c r="A50" s="331"/>
    </row>
    <row r="51" spans="1:9" ht="15.75">
      <c r="A51" s="295" t="s">
        <v>679</v>
      </c>
    </row>
    <row r="52" spans="1:9" ht="15.75">
      <c r="A52" s="296" t="s">
        <v>1396</v>
      </c>
    </row>
    <row r="53" spans="1:9" ht="15.75" thickBot="1">
      <c r="A53" s="329"/>
    </row>
    <row r="54" spans="1:9" ht="28.5" customHeight="1" thickBot="1">
      <c r="A54" s="353" t="s">
        <v>0</v>
      </c>
      <c r="B54" s="353" t="s">
        <v>121</v>
      </c>
      <c r="C54" s="353" t="s">
        <v>632</v>
      </c>
      <c r="D54" s="325" t="s">
        <v>633</v>
      </c>
      <c r="E54" s="354"/>
      <c r="F54" s="353" t="s">
        <v>634</v>
      </c>
    </row>
    <row r="55" spans="1:9" ht="33.75" thickBot="1">
      <c r="A55" s="355"/>
      <c r="B55" s="355"/>
      <c r="C55" s="355"/>
      <c r="D55" s="299" t="s">
        <v>739</v>
      </c>
      <c r="E55" s="300" t="s">
        <v>740</v>
      </c>
      <c r="F55" s="355"/>
    </row>
    <row r="56" spans="1:9" ht="16.5" thickBot="1">
      <c r="A56" s="255">
        <v>1</v>
      </c>
      <c r="B56" s="256" t="s">
        <v>213</v>
      </c>
      <c r="C56" s="255" t="s">
        <v>668</v>
      </c>
      <c r="D56" s="413"/>
      <c r="E56" s="258">
        <v>40</v>
      </c>
      <c r="F56" s="258"/>
      <c r="G56">
        <v>1000</v>
      </c>
      <c r="H56" s="562">
        <f>E56*G56</f>
        <v>40000</v>
      </c>
    </row>
    <row r="57" spans="1:9" ht="63.75" customHeight="1" thickBot="1">
      <c r="A57" s="255">
        <v>2</v>
      </c>
      <c r="B57" s="256" t="s">
        <v>273</v>
      </c>
      <c r="C57" s="255" t="s">
        <v>668</v>
      </c>
      <c r="D57" s="413"/>
      <c r="E57" s="258">
        <v>20</v>
      </c>
      <c r="F57" s="258"/>
      <c r="G57">
        <v>1000</v>
      </c>
      <c r="H57" s="562">
        <f t="shared" ref="H57:H89" si="1">E57*G57</f>
        <v>20000</v>
      </c>
    </row>
    <row r="58" spans="1:9" ht="48" customHeight="1" thickBot="1">
      <c r="A58" s="255">
        <v>3</v>
      </c>
      <c r="B58" s="256" t="s">
        <v>670</v>
      </c>
      <c r="C58" s="255" t="s">
        <v>668</v>
      </c>
      <c r="D58" s="413">
        <v>120</v>
      </c>
      <c r="E58" s="258"/>
      <c r="F58" s="258"/>
      <c r="G58">
        <v>1000</v>
      </c>
      <c r="H58" s="562">
        <f t="shared" si="1"/>
        <v>0</v>
      </c>
    </row>
    <row r="59" spans="1:9" ht="32.25" customHeight="1" thickBot="1">
      <c r="A59" s="255">
        <v>4</v>
      </c>
      <c r="B59" s="256" t="s">
        <v>693</v>
      </c>
      <c r="C59" s="255" t="s">
        <v>668</v>
      </c>
      <c r="D59" s="413">
        <v>320</v>
      </c>
      <c r="E59" s="258"/>
      <c r="F59" s="258"/>
      <c r="G59">
        <v>1000</v>
      </c>
      <c r="H59" s="562">
        <f t="shared" si="1"/>
        <v>0</v>
      </c>
    </row>
    <row r="60" spans="1:9" ht="48" customHeight="1" thickBot="1">
      <c r="A60" s="255">
        <v>5</v>
      </c>
      <c r="B60" s="256" t="s">
        <v>672</v>
      </c>
      <c r="C60" s="255" t="s">
        <v>668</v>
      </c>
      <c r="D60" s="413">
        <v>80</v>
      </c>
      <c r="E60" s="258"/>
      <c r="F60" s="258"/>
      <c r="G60">
        <v>1000</v>
      </c>
      <c r="H60" s="562">
        <f t="shared" si="1"/>
        <v>0</v>
      </c>
    </row>
    <row r="61" spans="1:9" ht="48" customHeight="1" thickBot="1">
      <c r="A61" s="255">
        <v>6</v>
      </c>
      <c r="B61" s="256" t="s">
        <v>732</v>
      </c>
      <c r="C61" s="255" t="s">
        <v>668</v>
      </c>
      <c r="D61" s="413">
        <v>80</v>
      </c>
      <c r="E61" s="258"/>
      <c r="F61" s="258"/>
      <c r="G61">
        <v>1000</v>
      </c>
      <c r="H61" s="562">
        <f t="shared" si="1"/>
        <v>0</v>
      </c>
    </row>
    <row r="62" spans="1:9" ht="63.75" customHeight="1" thickBot="1">
      <c r="A62" s="255">
        <v>7</v>
      </c>
      <c r="B62" s="256" t="s">
        <v>692</v>
      </c>
      <c r="C62" s="255" t="s">
        <v>668</v>
      </c>
      <c r="D62" s="413">
        <v>220</v>
      </c>
      <c r="E62" s="258"/>
      <c r="F62" s="258"/>
      <c r="G62">
        <v>1000</v>
      </c>
      <c r="H62" s="562">
        <f t="shared" si="1"/>
        <v>0</v>
      </c>
    </row>
    <row r="63" spans="1:9" ht="48" customHeight="1" thickBot="1">
      <c r="A63" s="255">
        <v>8</v>
      </c>
      <c r="B63" s="256" t="s">
        <v>669</v>
      </c>
      <c r="C63" s="255" t="s">
        <v>668</v>
      </c>
      <c r="D63" s="413">
        <v>80</v>
      </c>
      <c r="E63" s="258"/>
      <c r="F63" s="258"/>
      <c r="G63">
        <v>1000</v>
      </c>
      <c r="H63" s="562">
        <f t="shared" si="1"/>
        <v>0</v>
      </c>
    </row>
    <row r="64" spans="1:9" ht="48" customHeight="1" thickBot="1">
      <c r="A64" s="255">
        <v>9</v>
      </c>
      <c r="B64" s="256" t="s">
        <v>691</v>
      </c>
      <c r="C64" s="255" t="s">
        <v>668</v>
      </c>
      <c r="D64" s="413">
        <v>160</v>
      </c>
      <c r="E64" s="924"/>
      <c r="F64" s="258"/>
      <c r="G64">
        <v>1000</v>
      </c>
      <c r="H64" s="562">
        <f t="shared" si="1"/>
        <v>0</v>
      </c>
    </row>
    <row r="65" spans="1:8" ht="32.25" customHeight="1" thickBot="1">
      <c r="A65" s="255">
        <v>10</v>
      </c>
      <c r="B65" s="256" t="s">
        <v>655</v>
      </c>
      <c r="C65" s="255" t="s">
        <v>653</v>
      </c>
      <c r="D65" s="413">
        <v>40</v>
      </c>
      <c r="E65" s="924"/>
      <c r="F65" s="258"/>
      <c r="G65">
        <v>1000</v>
      </c>
      <c r="H65" s="562">
        <f t="shared" si="1"/>
        <v>0</v>
      </c>
    </row>
    <row r="66" spans="1:8" ht="32.25" customHeight="1" thickBot="1">
      <c r="A66" s="255">
        <v>11</v>
      </c>
      <c r="B66" s="256" t="s">
        <v>731</v>
      </c>
      <c r="C66" s="255" t="s">
        <v>653</v>
      </c>
      <c r="D66" s="413">
        <v>120</v>
      </c>
      <c r="E66" s="924"/>
      <c r="F66" s="258"/>
      <c r="G66">
        <v>1000</v>
      </c>
      <c r="H66" s="562">
        <f t="shared" si="1"/>
        <v>0</v>
      </c>
    </row>
    <row r="67" spans="1:8" ht="48" customHeight="1" thickBot="1">
      <c r="A67" s="255">
        <v>12</v>
      </c>
      <c r="B67" s="256" t="s">
        <v>656</v>
      </c>
      <c r="C67" s="255" t="s">
        <v>653</v>
      </c>
      <c r="D67" s="413">
        <v>160</v>
      </c>
      <c r="E67" s="924"/>
      <c r="F67" s="258"/>
      <c r="G67">
        <v>1000</v>
      </c>
      <c r="H67" s="562">
        <f t="shared" si="1"/>
        <v>0</v>
      </c>
    </row>
    <row r="68" spans="1:8" ht="32.25" customHeight="1" thickBot="1">
      <c r="A68" s="255">
        <v>13</v>
      </c>
      <c r="B68" s="256" t="s">
        <v>146</v>
      </c>
      <c r="C68" s="255" t="s">
        <v>653</v>
      </c>
      <c r="D68" s="413"/>
      <c r="E68" s="258">
        <v>40</v>
      </c>
      <c r="F68" s="258"/>
      <c r="G68">
        <v>1000</v>
      </c>
      <c r="H68" s="562">
        <f t="shared" si="1"/>
        <v>40000</v>
      </c>
    </row>
    <row r="69" spans="1:8" ht="32.25" customHeight="1" thickBot="1">
      <c r="A69" s="255">
        <v>14</v>
      </c>
      <c r="B69" s="256" t="s">
        <v>147</v>
      </c>
      <c r="C69" s="255" t="s">
        <v>653</v>
      </c>
      <c r="D69" s="413"/>
      <c r="E69" s="258">
        <v>580</v>
      </c>
      <c r="F69" s="258"/>
      <c r="G69">
        <v>1000</v>
      </c>
      <c r="H69" s="562">
        <f t="shared" si="1"/>
        <v>580000</v>
      </c>
    </row>
    <row r="70" spans="1:8" ht="48" customHeight="1" thickBot="1">
      <c r="A70" s="255">
        <v>15</v>
      </c>
      <c r="B70" s="256" t="s">
        <v>60</v>
      </c>
      <c r="C70" s="255" t="s">
        <v>653</v>
      </c>
      <c r="D70" s="413"/>
      <c r="E70" s="258">
        <v>160</v>
      </c>
      <c r="F70" s="258"/>
      <c r="G70">
        <v>1000</v>
      </c>
      <c r="H70" s="562">
        <f t="shared" si="1"/>
        <v>160000</v>
      </c>
    </row>
    <row r="71" spans="1:8" ht="48" customHeight="1" thickBot="1">
      <c r="A71" s="255">
        <v>16</v>
      </c>
      <c r="B71" s="256" t="s">
        <v>56</v>
      </c>
      <c r="C71" s="255" t="s">
        <v>653</v>
      </c>
      <c r="D71" s="413"/>
      <c r="E71" s="258">
        <v>80</v>
      </c>
      <c r="F71" s="258"/>
      <c r="G71">
        <v>1000</v>
      </c>
      <c r="H71" s="562">
        <f t="shared" si="1"/>
        <v>80000</v>
      </c>
    </row>
    <row r="72" spans="1:8" ht="48" customHeight="1" thickBot="1">
      <c r="A72" s="255">
        <v>17</v>
      </c>
      <c r="B72" s="256" t="s">
        <v>50</v>
      </c>
      <c r="C72" s="255" t="s">
        <v>653</v>
      </c>
      <c r="D72" s="413"/>
      <c r="E72" s="258">
        <v>40</v>
      </c>
      <c r="F72" s="258"/>
      <c r="G72">
        <v>1000</v>
      </c>
      <c r="H72" s="562">
        <f t="shared" si="1"/>
        <v>40000</v>
      </c>
    </row>
    <row r="73" spans="1:8" ht="32.25" customHeight="1" thickBot="1">
      <c r="A73" s="255">
        <v>18</v>
      </c>
      <c r="B73" s="256" t="s">
        <v>876</v>
      </c>
      <c r="C73" s="255" t="s">
        <v>653</v>
      </c>
      <c r="D73" s="413">
        <v>80</v>
      </c>
      <c r="E73" s="924"/>
      <c r="F73" s="258"/>
      <c r="G73">
        <v>1000</v>
      </c>
      <c r="H73" s="562">
        <f t="shared" si="1"/>
        <v>0</v>
      </c>
    </row>
    <row r="74" spans="1:8" ht="48" customHeight="1" thickBot="1">
      <c r="A74" s="255">
        <v>19</v>
      </c>
      <c r="B74" s="256" t="s">
        <v>722</v>
      </c>
      <c r="C74" s="255" t="s">
        <v>646</v>
      </c>
      <c r="D74" s="413">
        <v>20</v>
      </c>
      <c r="E74" s="924"/>
      <c r="F74" s="258"/>
      <c r="G74">
        <v>1000</v>
      </c>
      <c r="H74" s="562">
        <f t="shared" si="1"/>
        <v>0</v>
      </c>
    </row>
    <row r="75" spans="1:8" ht="32.25" customHeight="1" thickBot="1">
      <c r="A75" s="255">
        <v>20</v>
      </c>
      <c r="B75" s="256" t="s">
        <v>723</v>
      </c>
      <c r="C75" s="255" t="s">
        <v>646</v>
      </c>
      <c r="D75" s="413">
        <v>760</v>
      </c>
      <c r="E75" s="924"/>
      <c r="F75" s="258"/>
      <c r="G75">
        <v>1000</v>
      </c>
      <c r="H75" s="562">
        <f t="shared" si="1"/>
        <v>0</v>
      </c>
    </row>
    <row r="76" spans="1:8" ht="32.25" customHeight="1" thickBot="1">
      <c r="A76" s="255">
        <v>21</v>
      </c>
      <c r="B76" s="256" t="s">
        <v>72</v>
      </c>
      <c r="C76" s="255" t="s">
        <v>674</v>
      </c>
      <c r="D76" s="413"/>
      <c r="E76" s="258">
        <v>80</v>
      </c>
      <c r="F76" s="258"/>
      <c r="G76">
        <v>1000</v>
      </c>
      <c r="H76" s="562">
        <f t="shared" si="1"/>
        <v>80000</v>
      </c>
    </row>
    <row r="77" spans="1:8" ht="32.25" customHeight="1" thickBot="1">
      <c r="A77" s="255">
        <v>22</v>
      </c>
      <c r="B77" s="256" t="s">
        <v>149</v>
      </c>
      <c r="C77" s="255" t="s">
        <v>674</v>
      </c>
      <c r="D77" s="413"/>
      <c r="E77" s="258">
        <v>60</v>
      </c>
      <c r="F77" s="258"/>
      <c r="G77">
        <v>1000</v>
      </c>
      <c r="H77" s="562">
        <f t="shared" si="1"/>
        <v>60000</v>
      </c>
    </row>
    <row r="78" spans="1:8" ht="48" customHeight="1" thickBot="1">
      <c r="A78" s="255">
        <v>23</v>
      </c>
      <c r="B78" s="256" t="s">
        <v>78</v>
      </c>
      <c r="C78" s="255" t="s">
        <v>649</v>
      </c>
      <c r="D78" s="413"/>
      <c r="E78" s="258">
        <v>40</v>
      </c>
      <c r="F78" s="258"/>
      <c r="G78">
        <v>1000</v>
      </c>
      <c r="H78" s="562">
        <f t="shared" si="1"/>
        <v>40000</v>
      </c>
    </row>
    <row r="79" spans="1:8" ht="48" customHeight="1" thickBot="1">
      <c r="A79" s="255">
        <v>24</v>
      </c>
      <c r="B79" s="256" t="s">
        <v>684</v>
      </c>
      <c r="C79" s="255" t="s">
        <v>649</v>
      </c>
      <c r="D79" s="413">
        <v>100</v>
      </c>
      <c r="E79" s="924"/>
      <c r="F79" s="258"/>
      <c r="G79">
        <v>1000</v>
      </c>
      <c r="H79" s="562">
        <f t="shared" si="1"/>
        <v>0</v>
      </c>
    </row>
    <row r="80" spans="1:8" ht="32.25" customHeight="1" thickBot="1">
      <c r="A80" s="255">
        <v>25</v>
      </c>
      <c r="B80" s="256" t="s">
        <v>688</v>
      </c>
      <c r="C80" s="255" t="s">
        <v>650</v>
      </c>
      <c r="D80" s="413">
        <v>60</v>
      </c>
      <c r="E80" s="924"/>
      <c r="F80" s="258"/>
      <c r="G80">
        <v>1000</v>
      </c>
      <c r="H80" s="562">
        <f t="shared" si="1"/>
        <v>0</v>
      </c>
    </row>
    <row r="81" spans="1:8" ht="48" customHeight="1" thickBot="1">
      <c r="A81" s="255">
        <v>26</v>
      </c>
      <c r="B81" s="256" t="s">
        <v>727</v>
      </c>
      <c r="C81" s="255" t="s">
        <v>650</v>
      </c>
      <c r="D81" s="413">
        <v>80</v>
      </c>
      <c r="E81" s="924"/>
      <c r="F81" s="258"/>
      <c r="G81">
        <v>1000</v>
      </c>
      <c r="H81" s="562">
        <f t="shared" si="1"/>
        <v>0</v>
      </c>
    </row>
    <row r="82" spans="1:8" ht="32.25" customHeight="1" thickBot="1">
      <c r="A82" s="255">
        <v>27</v>
      </c>
      <c r="B82" s="256" t="s">
        <v>652</v>
      </c>
      <c r="C82" s="255" t="s">
        <v>650</v>
      </c>
      <c r="D82" s="413">
        <v>160</v>
      </c>
      <c r="E82" s="258"/>
      <c r="F82" s="258"/>
      <c r="G82">
        <v>1000</v>
      </c>
      <c r="H82" s="562">
        <f t="shared" si="1"/>
        <v>0</v>
      </c>
    </row>
    <row r="83" spans="1:8" ht="48" customHeight="1" thickBot="1">
      <c r="A83" s="255">
        <v>28</v>
      </c>
      <c r="B83" s="256" t="s">
        <v>728</v>
      </c>
      <c r="C83" s="255" t="s">
        <v>650</v>
      </c>
      <c r="D83" s="413">
        <v>120</v>
      </c>
      <c r="E83" s="258"/>
      <c r="F83" s="258"/>
      <c r="G83">
        <v>1000</v>
      </c>
      <c r="H83" s="562">
        <f t="shared" si="1"/>
        <v>0</v>
      </c>
    </row>
    <row r="84" spans="1:8" ht="48" customHeight="1" thickBot="1">
      <c r="A84" s="255">
        <v>29</v>
      </c>
      <c r="B84" s="256" t="s">
        <v>682</v>
      </c>
      <c r="C84" s="255" t="s">
        <v>642</v>
      </c>
      <c r="D84" s="413">
        <v>60</v>
      </c>
      <c r="E84" s="258"/>
      <c r="F84" s="258"/>
      <c r="G84">
        <v>1000</v>
      </c>
      <c r="H84" s="562">
        <f t="shared" si="1"/>
        <v>0</v>
      </c>
    </row>
    <row r="85" spans="1:8" ht="32.25" customHeight="1" thickBot="1">
      <c r="A85" s="255">
        <v>30</v>
      </c>
      <c r="B85" s="256" t="s">
        <v>645</v>
      </c>
      <c r="C85" s="255" t="s">
        <v>642</v>
      </c>
      <c r="D85" s="413">
        <v>80</v>
      </c>
      <c r="E85" s="258"/>
      <c r="F85" s="258"/>
      <c r="G85">
        <v>1000</v>
      </c>
      <c r="H85" s="562">
        <f t="shared" si="1"/>
        <v>0</v>
      </c>
    </row>
    <row r="86" spans="1:8" ht="32.25" customHeight="1" thickBot="1">
      <c r="A86" s="255">
        <v>31</v>
      </c>
      <c r="B86" s="256" t="s">
        <v>639</v>
      </c>
      <c r="C86" s="255" t="s">
        <v>636</v>
      </c>
      <c r="D86" s="413"/>
      <c r="E86" s="258">
        <v>140</v>
      </c>
      <c r="F86" s="258"/>
      <c r="G86">
        <v>1000</v>
      </c>
      <c r="H86" s="562">
        <f t="shared" si="1"/>
        <v>140000</v>
      </c>
    </row>
    <row r="87" spans="1:8" ht="48" customHeight="1" thickBot="1">
      <c r="A87" s="255">
        <v>32</v>
      </c>
      <c r="B87" s="256" t="s">
        <v>638</v>
      </c>
      <c r="C87" s="255" t="s">
        <v>636</v>
      </c>
      <c r="D87" s="413">
        <v>80</v>
      </c>
      <c r="E87" s="924"/>
      <c r="F87" s="258"/>
      <c r="G87">
        <v>1000</v>
      </c>
      <c r="H87" s="562">
        <f t="shared" si="1"/>
        <v>0</v>
      </c>
    </row>
    <row r="88" spans="1:8" ht="48" customHeight="1" thickBot="1">
      <c r="A88" s="255">
        <v>33</v>
      </c>
      <c r="B88" s="256" t="s">
        <v>734</v>
      </c>
      <c r="C88" s="255" t="s">
        <v>756</v>
      </c>
      <c r="D88" s="413">
        <v>40</v>
      </c>
      <c r="E88" s="924"/>
      <c r="F88" s="258"/>
      <c r="G88">
        <v>1000</v>
      </c>
      <c r="H88" s="562">
        <f t="shared" si="1"/>
        <v>0</v>
      </c>
    </row>
    <row r="89" spans="1:8" ht="16.5" thickBot="1">
      <c r="A89" s="255">
        <v>34</v>
      </c>
      <c r="B89" s="256" t="s">
        <v>757</v>
      </c>
      <c r="C89" s="255" t="s">
        <v>756</v>
      </c>
      <c r="D89" s="413">
        <v>80</v>
      </c>
      <c r="E89" s="924"/>
      <c r="F89" s="258"/>
      <c r="G89">
        <v>1000</v>
      </c>
      <c r="H89" s="562">
        <f t="shared" si="1"/>
        <v>0</v>
      </c>
    </row>
    <row r="90" spans="1:8" ht="32.25" thickBot="1">
      <c r="A90" s="360" t="s">
        <v>676</v>
      </c>
      <c r="B90" s="361"/>
      <c r="C90" s="336"/>
      <c r="D90" s="337" t="s">
        <v>1397</v>
      </c>
      <c r="E90" s="337" t="s">
        <v>1398</v>
      </c>
      <c r="F90" s="337"/>
      <c r="H90" s="70">
        <f>SUM(H56:H89)</f>
        <v>1280000</v>
      </c>
    </row>
    <row r="91" spans="1:8" ht="16.5" customHeight="1" thickBot="1">
      <c r="A91" s="360" t="s">
        <v>753</v>
      </c>
      <c r="B91" s="361"/>
      <c r="C91" s="336"/>
      <c r="D91" s="362" t="s">
        <v>1399</v>
      </c>
      <c r="E91" s="363"/>
      <c r="F91" s="337"/>
    </row>
    <row r="92" spans="1:8" ht="15.75">
      <c r="A92" s="338" t="s">
        <v>1400</v>
      </c>
    </row>
    <row r="93" spans="1:8" ht="16.5">
      <c r="A93" s="749"/>
      <c r="B93" s="248"/>
    </row>
    <row r="94" spans="1:8">
      <c r="A94" s="319"/>
    </row>
    <row r="95" spans="1:8">
      <c r="A95" s="320"/>
    </row>
    <row r="96" spans="1:8">
      <c r="A96" s="341"/>
    </row>
  </sheetData>
  <pageMargins left="0.7" right="0.7" top="0.75" bottom="0.75" header="0.3" footer="0.3"/>
  <pageSetup paperSize="9" orientation="portrait" horizontalDpi="300" verticalDpi="3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34"/>
  <sheetViews>
    <sheetView topLeftCell="A4" workbookViewId="0">
      <selection activeCell="C23" sqref="C23"/>
    </sheetView>
  </sheetViews>
  <sheetFormatPr defaultRowHeight="15"/>
  <cols>
    <col min="2" max="2" width="35.7109375" customWidth="1"/>
    <col min="3" max="3" width="14.5703125" customWidth="1"/>
    <col min="5" max="5" width="14.7109375" customWidth="1"/>
    <col min="7" max="7" width="13.28515625" bestFit="1" customWidth="1"/>
    <col min="9" max="9" width="10.5703125" bestFit="1" customWidth="1"/>
  </cols>
  <sheetData>
    <row r="1" spans="1:6" ht="15.75">
      <c r="A1" s="205" t="s">
        <v>1161</v>
      </c>
    </row>
    <row r="2" spans="1:6" ht="15.75">
      <c r="A2" s="205"/>
    </row>
    <row r="3" spans="1:6">
      <c r="A3" s="686" t="s">
        <v>1162</v>
      </c>
    </row>
    <row r="4" spans="1:6" ht="15.75">
      <c r="A4" s="232" t="s">
        <v>1402</v>
      </c>
    </row>
    <row r="5" spans="1:6" ht="16.5" thickBot="1">
      <c r="A5" s="232"/>
    </row>
    <row r="6" spans="1:6" ht="31.5" customHeight="1" thickBot="1">
      <c r="A6" s="380" t="s">
        <v>0</v>
      </c>
      <c r="B6" s="380" t="s">
        <v>121</v>
      </c>
      <c r="C6" s="380" t="s">
        <v>632</v>
      </c>
      <c r="D6" s="398" t="s">
        <v>894</v>
      </c>
      <c r="E6" s="399"/>
      <c r="F6" s="380" t="s">
        <v>699</v>
      </c>
    </row>
    <row r="7" spans="1:6" ht="16.5" thickBot="1">
      <c r="A7" s="400"/>
      <c r="B7" s="400"/>
      <c r="C7" s="400"/>
      <c r="D7" s="381" t="s">
        <v>828</v>
      </c>
      <c r="E7" s="381" t="s">
        <v>829</v>
      </c>
      <c r="F7" s="400"/>
    </row>
    <row r="8" spans="1:6" ht="16.5" hidden="1" thickBot="1">
      <c r="A8" s="382">
        <v>1</v>
      </c>
      <c r="B8" s="687" t="s">
        <v>39</v>
      </c>
      <c r="C8" s="688" t="s">
        <v>668</v>
      </c>
      <c r="D8" s="386"/>
      <c r="E8" s="689">
        <v>527700</v>
      </c>
      <c r="F8" s="386"/>
    </row>
    <row r="9" spans="1:6" ht="63.75" hidden="1" customHeight="1" thickBot="1">
      <c r="A9" s="382">
        <v>2</v>
      </c>
      <c r="B9" s="687" t="s">
        <v>435</v>
      </c>
      <c r="C9" s="688" t="s">
        <v>668</v>
      </c>
      <c r="D9" s="386"/>
      <c r="E9" s="689">
        <v>66000</v>
      </c>
      <c r="F9" s="386"/>
    </row>
    <row r="10" spans="1:6" ht="32.25" hidden="1" customHeight="1" thickBot="1">
      <c r="A10" s="382">
        <v>3</v>
      </c>
      <c r="B10" s="687" t="s">
        <v>693</v>
      </c>
      <c r="C10" s="688" t="s">
        <v>668</v>
      </c>
      <c r="D10" s="689">
        <v>157000</v>
      </c>
      <c r="E10" s="386"/>
      <c r="F10" s="387"/>
    </row>
    <row r="11" spans="1:6" ht="48" hidden="1" customHeight="1" thickBot="1">
      <c r="A11" s="382">
        <v>4</v>
      </c>
      <c r="B11" s="687" t="s">
        <v>671</v>
      </c>
      <c r="C11" s="688" t="s">
        <v>668</v>
      </c>
      <c r="D11" s="689">
        <v>30000</v>
      </c>
      <c r="E11" s="386"/>
      <c r="F11" s="386"/>
    </row>
    <row r="12" spans="1:6" ht="32.25" hidden="1" customHeight="1" thickBot="1">
      <c r="A12" s="382">
        <v>5</v>
      </c>
      <c r="B12" s="687" t="s">
        <v>655</v>
      </c>
      <c r="C12" s="688" t="s">
        <v>653</v>
      </c>
      <c r="D12" s="689">
        <v>60000</v>
      </c>
      <c r="E12" s="386"/>
      <c r="F12" s="386"/>
    </row>
    <row r="13" spans="1:6" ht="48" hidden="1" customHeight="1" thickBot="1">
      <c r="A13" s="382">
        <v>6</v>
      </c>
      <c r="B13" s="687" t="s">
        <v>48</v>
      </c>
      <c r="C13" s="688" t="s">
        <v>653</v>
      </c>
      <c r="D13" s="386"/>
      <c r="E13" s="689">
        <v>70000</v>
      </c>
      <c r="F13" s="386"/>
    </row>
    <row r="14" spans="1:6" ht="48" hidden="1" customHeight="1" thickBot="1">
      <c r="A14" s="382">
        <v>7</v>
      </c>
      <c r="B14" s="687" t="s">
        <v>52</v>
      </c>
      <c r="C14" s="688" t="s">
        <v>653</v>
      </c>
      <c r="D14" s="386"/>
      <c r="E14" s="689">
        <v>318000</v>
      </c>
      <c r="F14" s="387"/>
    </row>
    <row r="15" spans="1:6" ht="32.25" hidden="1" customHeight="1" thickBot="1">
      <c r="A15" s="382">
        <v>8</v>
      </c>
      <c r="B15" s="687" t="s">
        <v>46</v>
      </c>
      <c r="C15" s="688" t="s">
        <v>653</v>
      </c>
      <c r="D15" s="386"/>
      <c r="E15" s="689">
        <v>30000</v>
      </c>
      <c r="F15" s="387"/>
    </row>
    <row r="16" spans="1:6" ht="48" hidden="1" customHeight="1" thickBot="1">
      <c r="A16" s="382">
        <v>9</v>
      </c>
      <c r="B16" s="687" t="s">
        <v>138</v>
      </c>
      <c r="C16" s="688" t="s">
        <v>653</v>
      </c>
      <c r="D16" s="386"/>
      <c r="E16" s="689">
        <v>61000</v>
      </c>
      <c r="F16" s="386"/>
    </row>
    <row r="17" spans="1:6" ht="48" hidden="1" customHeight="1" thickBot="1">
      <c r="A17" s="382">
        <v>10</v>
      </c>
      <c r="B17" s="687" t="s">
        <v>148</v>
      </c>
      <c r="C17" s="688" t="s">
        <v>646</v>
      </c>
      <c r="D17" s="386"/>
      <c r="E17" s="689">
        <v>150000</v>
      </c>
      <c r="F17" s="387"/>
    </row>
    <row r="18" spans="1:6" ht="48" hidden="1" customHeight="1" thickBot="1">
      <c r="A18" s="382">
        <v>11</v>
      </c>
      <c r="B18" s="687" t="s">
        <v>647</v>
      </c>
      <c r="C18" s="688" t="s">
        <v>646</v>
      </c>
      <c r="D18" s="689">
        <v>64350</v>
      </c>
      <c r="E18" s="386"/>
      <c r="F18" s="387"/>
    </row>
    <row r="19" spans="1:6" ht="48" hidden="1" customHeight="1" thickBot="1">
      <c r="A19" s="382">
        <v>12</v>
      </c>
      <c r="B19" s="687" t="s">
        <v>168</v>
      </c>
      <c r="C19" s="688" t="s">
        <v>646</v>
      </c>
      <c r="D19" s="386"/>
      <c r="E19" s="689">
        <v>98500</v>
      </c>
      <c r="F19" s="387"/>
    </row>
    <row r="20" spans="1:6" ht="32.25" hidden="1" customHeight="1" thickBot="1">
      <c r="A20" s="382">
        <v>13</v>
      </c>
      <c r="B20" s="687" t="s">
        <v>72</v>
      </c>
      <c r="C20" s="688" t="s">
        <v>674</v>
      </c>
      <c r="D20" s="386"/>
      <c r="E20" s="689">
        <v>270000</v>
      </c>
      <c r="F20" s="387"/>
    </row>
    <row r="21" spans="1:6" ht="32.25" customHeight="1" thickBot="1">
      <c r="A21" s="933">
        <v>14</v>
      </c>
      <c r="B21" s="934" t="s">
        <v>742</v>
      </c>
      <c r="C21" s="935" t="s">
        <v>674</v>
      </c>
      <c r="D21" s="936"/>
      <c r="E21" s="937">
        <v>175000</v>
      </c>
      <c r="F21" s="936"/>
    </row>
    <row r="22" spans="1:6" ht="48" hidden="1" customHeight="1" thickBot="1">
      <c r="A22" s="382">
        <v>15</v>
      </c>
      <c r="B22" s="687" t="s">
        <v>743</v>
      </c>
      <c r="C22" s="688" t="s">
        <v>674</v>
      </c>
      <c r="D22" s="689">
        <v>225000</v>
      </c>
      <c r="E22" s="386"/>
      <c r="F22" s="387"/>
    </row>
    <row r="23" spans="1:6" ht="48" hidden="1" customHeight="1" thickBot="1">
      <c r="A23" s="382">
        <v>16</v>
      </c>
      <c r="B23" s="687" t="s">
        <v>78</v>
      </c>
      <c r="C23" s="688" t="s">
        <v>649</v>
      </c>
      <c r="D23" s="386"/>
      <c r="E23" s="689">
        <v>75000</v>
      </c>
      <c r="F23" s="387"/>
    </row>
    <row r="24" spans="1:6" ht="48" hidden="1" customHeight="1" thickBot="1">
      <c r="A24" s="382">
        <v>17</v>
      </c>
      <c r="B24" s="687" t="s">
        <v>81</v>
      </c>
      <c r="C24" s="688" t="s">
        <v>649</v>
      </c>
      <c r="D24" s="386"/>
      <c r="E24" s="689">
        <v>61400</v>
      </c>
      <c r="F24" s="387"/>
    </row>
    <row r="25" spans="1:6" ht="48" hidden="1" customHeight="1" thickBot="1">
      <c r="A25" s="382">
        <v>18</v>
      </c>
      <c r="B25" s="687" t="s">
        <v>27</v>
      </c>
      <c r="C25" s="688" t="s">
        <v>649</v>
      </c>
      <c r="D25" s="386"/>
      <c r="E25" s="689">
        <v>120000</v>
      </c>
      <c r="F25" s="387"/>
    </row>
    <row r="26" spans="1:6" ht="48" hidden="1" customHeight="1" thickBot="1">
      <c r="A26" s="382">
        <v>19</v>
      </c>
      <c r="B26" s="687" t="s">
        <v>684</v>
      </c>
      <c r="C26" s="688" t="s">
        <v>649</v>
      </c>
      <c r="D26" s="689">
        <v>60000</v>
      </c>
      <c r="E26" s="386"/>
      <c r="F26" s="387"/>
    </row>
    <row r="27" spans="1:6" ht="48" hidden="1" customHeight="1" thickBot="1">
      <c r="A27" s="382">
        <v>20</v>
      </c>
      <c r="B27" s="687" t="s">
        <v>685</v>
      </c>
      <c r="C27" s="688" t="s">
        <v>649</v>
      </c>
      <c r="D27" s="689">
        <v>120000</v>
      </c>
      <c r="E27" s="386"/>
      <c r="F27" s="387"/>
    </row>
    <row r="28" spans="1:6" ht="32.25" hidden="1" customHeight="1" thickBot="1">
      <c r="A28" s="382">
        <v>21</v>
      </c>
      <c r="B28" s="687" t="s">
        <v>187</v>
      </c>
      <c r="C28" s="688" t="s">
        <v>649</v>
      </c>
      <c r="D28" s="386"/>
      <c r="E28" s="689">
        <v>345000</v>
      </c>
      <c r="F28" s="387"/>
    </row>
    <row r="29" spans="1:6" s="342" customFormat="1" ht="32.25" customHeight="1" thickBot="1">
      <c r="A29" s="933">
        <v>22</v>
      </c>
      <c r="B29" s="934" t="s">
        <v>765</v>
      </c>
      <c r="C29" s="935" t="s">
        <v>650</v>
      </c>
      <c r="D29" s="936"/>
      <c r="E29" s="937">
        <v>63000</v>
      </c>
      <c r="F29" s="936"/>
    </row>
    <row r="30" spans="1:6" ht="32.25" hidden="1" customHeight="1" thickBot="1">
      <c r="A30" s="382">
        <v>23</v>
      </c>
      <c r="B30" s="687" t="s">
        <v>91</v>
      </c>
      <c r="C30" s="688" t="s">
        <v>650</v>
      </c>
      <c r="D30" s="386"/>
      <c r="E30" s="689">
        <v>75000</v>
      </c>
      <c r="F30" s="387"/>
    </row>
    <row r="31" spans="1:6" ht="48" hidden="1" customHeight="1" thickBot="1">
      <c r="A31" s="382">
        <v>24</v>
      </c>
      <c r="B31" s="687" t="s">
        <v>83</v>
      </c>
      <c r="C31" s="688" t="s">
        <v>650</v>
      </c>
      <c r="D31" s="386"/>
      <c r="E31" s="689">
        <v>63900</v>
      </c>
      <c r="F31" s="387"/>
    </row>
    <row r="32" spans="1:6" ht="32.25" hidden="1" customHeight="1" thickBot="1">
      <c r="A32" s="382">
        <v>25</v>
      </c>
      <c r="B32" s="687" t="s">
        <v>688</v>
      </c>
      <c r="C32" s="688" t="s">
        <v>650</v>
      </c>
      <c r="D32" s="689">
        <v>126000</v>
      </c>
      <c r="E32" s="386"/>
      <c r="F32" s="387"/>
    </row>
    <row r="33" spans="1:9" ht="48" hidden="1" customHeight="1" thickBot="1">
      <c r="A33" s="382">
        <v>26</v>
      </c>
      <c r="B33" s="687" t="s">
        <v>727</v>
      </c>
      <c r="C33" s="688" t="s">
        <v>650</v>
      </c>
      <c r="D33" s="689">
        <v>121250</v>
      </c>
      <c r="E33" s="386"/>
      <c r="F33" s="387"/>
    </row>
    <row r="34" spans="1:9" ht="48" hidden="1" customHeight="1" thickBot="1">
      <c r="A34" s="382">
        <v>27</v>
      </c>
      <c r="B34" s="687" t="s">
        <v>94</v>
      </c>
      <c r="C34" s="688" t="s">
        <v>642</v>
      </c>
      <c r="D34" s="386"/>
      <c r="E34" s="689">
        <v>60000</v>
      </c>
      <c r="F34" s="387"/>
    </row>
    <row r="35" spans="1:9" s="342" customFormat="1" ht="48" customHeight="1" thickBot="1">
      <c r="A35" s="933">
        <v>28</v>
      </c>
      <c r="B35" s="934" t="s">
        <v>716</v>
      </c>
      <c r="C35" s="935" t="s">
        <v>642</v>
      </c>
      <c r="D35" s="936"/>
      <c r="E35" s="937">
        <v>108000</v>
      </c>
      <c r="F35" s="936"/>
    </row>
    <row r="36" spans="1:9" ht="48" hidden="1" customHeight="1" thickBot="1">
      <c r="A36" s="382">
        <v>29</v>
      </c>
      <c r="B36" s="687" t="s">
        <v>755</v>
      </c>
      <c r="C36" s="688" t="s">
        <v>642</v>
      </c>
      <c r="D36" s="689">
        <v>168000</v>
      </c>
      <c r="E36" s="386"/>
      <c r="F36" s="387"/>
    </row>
    <row r="37" spans="1:9" ht="48" hidden="1" customHeight="1" thickBot="1">
      <c r="A37" s="382">
        <v>30</v>
      </c>
      <c r="B37" s="687" t="s">
        <v>86</v>
      </c>
      <c r="C37" s="688" t="s">
        <v>642</v>
      </c>
      <c r="D37" s="386"/>
      <c r="E37" s="689">
        <v>111300</v>
      </c>
      <c r="F37" s="387"/>
    </row>
    <row r="38" spans="1:9" ht="48" hidden="1" customHeight="1" thickBot="1">
      <c r="A38" s="382">
        <v>31</v>
      </c>
      <c r="B38" s="687" t="s">
        <v>210</v>
      </c>
      <c r="C38" s="688" t="s">
        <v>636</v>
      </c>
      <c r="D38" s="386"/>
      <c r="E38" s="689">
        <v>60000</v>
      </c>
      <c r="F38" s="387"/>
    </row>
    <row r="39" spans="1:9" ht="48" hidden="1" customHeight="1" thickBot="1">
      <c r="A39" s="382">
        <v>32</v>
      </c>
      <c r="B39" s="687" t="s">
        <v>96</v>
      </c>
      <c r="C39" s="688" t="s">
        <v>636</v>
      </c>
      <c r="D39" s="386"/>
      <c r="E39" s="689">
        <v>204000</v>
      </c>
      <c r="F39" s="387"/>
    </row>
    <row r="40" spans="1:9" ht="48" hidden="1" customHeight="1" thickBot="1">
      <c r="A40" s="382">
        <v>33</v>
      </c>
      <c r="B40" s="687" t="s">
        <v>641</v>
      </c>
      <c r="C40" s="688" t="s">
        <v>636</v>
      </c>
      <c r="D40" s="689">
        <v>150000</v>
      </c>
      <c r="E40" s="386"/>
      <c r="F40" s="387"/>
    </row>
    <row r="41" spans="1:9" s="342" customFormat="1" ht="32.25" customHeight="1" thickBot="1">
      <c r="A41" s="933">
        <v>34</v>
      </c>
      <c r="B41" s="934" t="s">
        <v>639</v>
      </c>
      <c r="C41" s="935" t="s">
        <v>636</v>
      </c>
      <c r="D41" s="936"/>
      <c r="E41" s="937">
        <v>30000</v>
      </c>
      <c r="F41" s="936"/>
    </row>
    <row r="42" spans="1:9" ht="32.25" hidden="1" customHeight="1" thickBot="1">
      <c r="A42" s="382">
        <v>35</v>
      </c>
      <c r="B42" s="687" t="s">
        <v>744</v>
      </c>
      <c r="C42" s="688" t="s">
        <v>636</v>
      </c>
      <c r="D42" s="689">
        <v>207000</v>
      </c>
      <c r="E42" s="387"/>
      <c r="F42" s="387"/>
    </row>
    <row r="43" spans="1:9" ht="48" hidden="1" customHeight="1" thickBot="1">
      <c r="A43" s="382">
        <v>36</v>
      </c>
      <c r="B43" s="687" t="s">
        <v>662</v>
      </c>
      <c r="C43" s="688" t="s">
        <v>1403</v>
      </c>
      <c r="D43" s="689">
        <v>150000</v>
      </c>
      <c r="E43" s="386"/>
      <c r="F43" s="387"/>
    </row>
    <row r="44" spans="1:9" ht="63.75" hidden="1" customHeight="1" thickBot="1">
      <c r="A44" s="382">
        <v>37</v>
      </c>
      <c r="B44" s="687" t="s">
        <v>748</v>
      </c>
      <c r="C44" s="688" t="s">
        <v>1403</v>
      </c>
      <c r="D44" s="689">
        <v>150000</v>
      </c>
      <c r="E44" s="386"/>
      <c r="F44" s="387"/>
    </row>
    <row r="45" spans="1:9" ht="32.25" hidden="1" customHeight="1" thickBot="1">
      <c r="A45" s="382">
        <v>38</v>
      </c>
      <c r="B45" s="687" t="s">
        <v>1316</v>
      </c>
      <c r="C45" s="688" t="s">
        <v>668</v>
      </c>
      <c r="D45" s="386"/>
      <c r="E45" s="689">
        <v>64500</v>
      </c>
      <c r="F45" s="387"/>
    </row>
    <row r="46" spans="1:9" s="342" customFormat="1" ht="16.5" thickBot="1">
      <c r="A46" s="933">
        <v>39</v>
      </c>
      <c r="B46" s="934" t="s">
        <v>831</v>
      </c>
      <c r="C46" s="935" t="s">
        <v>649</v>
      </c>
      <c r="D46" s="936"/>
      <c r="E46" s="937">
        <v>30000</v>
      </c>
      <c r="F46" s="936"/>
      <c r="G46" s="342">
        <v>3237300</v>
      </c>
      <c r="I46" s="938">
        <f>G46+G121</f>
        <v>3372300</v>
      </c>
    </row>
    <row r="47" spans="1:9" ht="32.25" hidden="1" thickBot="1">
      <c r="A47" s="401" t="s">
        <v>758</v>
      </c>
      <c r="B47" s="402"/>
      <c r="C47" s="336"/>
      <c r="D47" s="389" t="s">
        <v>1404</v>
      </c>
      <c r="E47" s="389" t="s">
        <v>1405</v>
      </c>
      <c r="F47" s="389"/>
    </row>
    <row r="48" spans="1:9" ht="16.5" hidden="1" customHeight="1" thickBot="1">
      <c r="A48" s="700" t="s">
        <v>864</v>
      </c>
      <c r="B48" s="701"/>
      <c r="C48" s="318"/>
      <c r="D48" s="401" t="s">
        <v>1406</v>
      </c>
      <c r="E48" s="402"/>
      <c r="F48" s="697"/>
    </row>
    <row r="49" spans="1:5" hidden="1">
      <c r="A49" s="244" t="s">
        <v>1407</v>
      </c>
    </row>
    <row r="50" spans="1:5">
      <c r="A50" s="244"/>
    </row>
    <row r="51" spans="1:5" ht="16.5">
      <c r="A51" s="246"/>
      <c r="B51" s="248"/>
    </row>
    <row r="52" spans="1:5" ht="15.75">
      <c r="A52" s="205" t="s">
        <v>678</v>
      </c>
    </row>
    <row r="53" spans="1:5" ht="15.75">
      <c r="A53" s="205"/>
    </row>
    <row r="54" spans="1:5" ht="15.75">
      <c r="A54" s="205" t="s">
        <v>1168</v>
      </c>
    </row>
    <row r="55" spans="1:5" ht="15.75">
      <c r="A55" s="232" t="s">
        <v>1408</v>
      </c>
    </row>
    <row r="56" spans="1:5" ht="16.5" thickBot="1">
      <c r="A56" s="232"/>
    </row>
    <row r="57" spans="1:5" ht="57.75" thickBot="1">
      <c r="A57" s="233" t="s">
        <v>0</v>
      </c>
      <c r="B57" s="234" t="s">
        <v>121</v>
      </c>
      <c r="C57" s="234" t="s">
        <v>632</v>
      </c>
      <c r="D57" s="234" t="s">
        <v>633</v>
      </c>
      <c r="E57" s="235" t="s">
        <v>634</v>
      </c>
    </row>
    <row r="58" spans="1:5" ht="48" customHeight="1" thickBot="1">
      <c r="A58" s="255">
        <v>1</v>
      </c>
      <c r="B58" s="256" t="s">
        <v>842</v>
      </c>
      <c r="C58" s="255" t="s">
        <v>1409</v>
      </c>
      <c r="D58" s="257">
        <v>10000</v>
      </c>
      <c r="E58" s="258"/>
    </row>
    <row r="59" spans="1:5" ht="48" customHeight="1" thickBot="1">
      <c r="A59" s="255">
        <v>2</v>
      </c>
      <c r="B59" s="256" t="s">
        <v>1410</v>
      </c>
      <c r="C59" s="255" t="s">
        <v>1409</v>
      </c>
      <c r="D59" s="257">
        <v>60000</v>
      </c>
      <c r="E59" s="258"/>
    </row>
    <row r="60" spans="1:5" ht="48" customHeight="1" thickBot="1">
      <c r="A60" s="255">
        <v>3</v>
      </c>
      <c r="B60" s="256" t="s">
        <v>896</v>
      </c>
      <c r="C60" s="255" t="s">
        <v>1409</v>
      </c>
      <c r="D60" s="257">
        <v>10000</v>
      </c>
      <c r="E60" s="258"/>
    </row>
    <row r="61" spans="1:5" ht="48" customHeight="1" thickBot="1">
      <c r="A61" s="255">
        <v>4</v>
      </c>
      <c r="B61" s="256" t="s">
        <v>770</v>
      </c>
      <c r="C61" s="255" t="s">
        <v>1411</v>
      </c>
      <c r="D61" s="257">
        <v>7000</v>
      </c>
      <c r="E61" s="258"/>
    </row>
    <row r="62" spans="1:5" ht="48" customHeight="1" thickBot="1">
      <c r="A62" s="255">
        <v>5</v>
      </c>
      <c r="B62" s="256" t="s">
        <v>1185</v>
      </c>
      <c r="C62" s="255" t="s">
        <v>1412</v>
      </c>
      <c r="D62" s="257">
        <v>7000</v>
      </c>
      <c r="E62" s="258"/>
    </row>
    <row r="63" spans="1:5" ht="48" customHeight="1" thickBot="1">
      <c r="A63" s="255">
        <v>6</v>
      </c>
      <c r="B63" s="256" t="s">
        <v>858</v>
      </c>
      <c r="C63" s="255" t="s">
        <v>1412</v>
      </c>
      <c r="D63" s="257">
        <v>21000</v>
      </c>
      <c r="E63" s="258"/>
    </row>
    <row r="64" spans="1:5" ht="48" customHeight="1" thickBot="1">
      <c r="A64" s="255">
        <v>7</v>
      </c>
      <c r="B64" s="256" t="s">
        <v>1195</v>
      </c>
      <c r="C64" s="255" t="s">
        <v>1413</v>
      </c>
      <c r="D64" s="257">
        <v>21000</v>
      </c>
      <c r="E64" s="258"/>
    </row>
    <row r="65" spans="1:5" ht="32.25" customHeight="1" thickBot="1">
      <c r="A65" s="255">
        <v>8</v>
      </c>
      <c r="B65" s="256" t="s">
        <v>861</v>
      </c>
      <c r="C65" s="255" t="s">
        <v>1414</v>
      </c>
      <c r="D65" s="257">
        <v>9000</v>
      </c>
      <c r="E65" s="258"/>
    </row>
    <row r="66" spans="1:5" ht="48" customHeight="1" thickBot="1">
      <c r="A66" s="255">
        <v>9</v>
      </c>
      <c r="B66" s="256" t="s">
        <v>1415</v>
      </c>
      <c r="C66" s="255" t="s">
        <v>1414</v>
      </c>
      <c r="D66" s="257">
        <v>10000</v>
      </c>
      <c r="E66" s="258"/>
    </row>
    <row r="67" spans="1:5" ht="48" customHeight="1" thickBot="1">
      <c r="A67" s="255">
        <v>10</v>
      </c>
      <c r="B67" s="256" t="s">
        <v>879</v>
      </c>
      <c r="C67" s="255" t="s">
        <v>1416</v>
      </c>
      <c r="D67" s="257">
        <v>7000</v>
      </c>
      <c r="E67" s="258"/>
    </row>
    <row r="68" spans="1:5" ht="48" customHeight="1" thickBot="1">
      <c r="A68" s="255">
        <v>11</v>
      </c>
      <c r="B68" s="256" t="s">
        <v>1232</v>
      </c>
      <c r="C68" s="255" t="s">
        <v>1416</v>
      </c>
      <c r="D68" s="257">
        <v>14000</v>
      </c>
      <c r="E68" s="258"/>
    </row>
    <row r="69" spans="1:5" ht="48" customHeight="1" thickBot="1">
      <c r="A69" s="255">
        <v>12</v>
      </c>
      <c r="B69" s="256" t="s">
        <v>1201</v>
      </c>
      <c r="C69" s="255" t="s">
        <v>1416</v>
      </c>
      <c r="D69" s="257">
        <v>63000</v>
      </c>
      <c r="E69" s="258"/>
    </row>
    <row r="70" spans="1:5" ht="48" customHeight="1" thickBot="1">
      <c r="A70" s="255">
        <v>13</v>
      </c>
      <c r="B70" s="256" t="s">
        <v>1202</v>
      </c>
      <c r="C70" s="255" t="s">
        <v>1416</v>
      </c>
      <c r="D70" s="257">
        <v>10000</v>
      </c>
      <c r="E70" s="258"/>
    </row>
    <row r="71" spans="1:5" ht="48" customHeight="1" thickBot="1">
      <c r="A71" s="255">
        <v>14</v>
      </c>
      <c r="B71" s="256" t="s">
        <v>1203</v>
      </c>
      <c r="C71" s="255" t="s">
        <v>1416</v>
      </c>
      <c r="D71" s="257">
        <v>9000</v>
      </c>
      <c r="E71" s="258"/>
    </row>
    <row r="72" spans="1:5" ht="48" customHeight="1" thickBot="1">
      <c r="A72" s="255">
        <v>15</v>
      </c>
      <c r="B72" s="256" t="s">
        <v>1204</v>
      </c>
      <c r="C72" s="255" t="s">
        <v>1416</v>
      </c>
      <c r="D72" s="257">
        <v>7000</v>
      </c>
      <c r="E72" s="258"/>
    </row>
    <row r="73" spans="1:5" ht="16.5" thickBot="1">
      <c r="A73" s="255">
        <v>16</v>
      </c>
      <c r="B73" s="256" t="s">
        <v>1205</v>
      </c>
      <c r="C73" s="255" t="s">
        <v>1416</v>
      </c>
      <c r="D73" s="257">
        <v>7000</v>
      </c>
      <c r="E73" s="258"/>
    </row>
    <row r="74" spans="1:5" ht="15.75" thickBot="1">
      <c r="A74" s="286" t="s">
        <v>758</v>
      </c>
      <c r="B74" s="287"/>
      <c r="C74" s="241"/>
      <c r="D74" s="928">
        <v>272</v>
      </c>
      <c r="E74" s="243"/>
    </row>
    <row r="75" spans="1:5">
      <c r="A75" s="244" t="s">
        <v>1417</v>
      </c>
    </row>
    <row r="76" spans="1:5">
      <c r="A76" s="244"/>
    </row>
    <row r="77" spans="1:5">
      <c r="A77" s="691"/>
      <c r="B77" s="248"/>
    </row>
    <row r="78" spans="1:5" ht="15.75">
      <c r="A78" s="205" t="s">
        <v>696</v>
      </c>
    </row>
    <row r="79" spans="1:5" ht="15.75">
      <c r="A79" s="205"/>
    </row>
    <row r="80" spans="1:5" ht="15.75">
      <c r="A80" s="205" t="s">
        <v>1212</v>
      </c>
    </row>
    <row r="81" spans="1:6" ht="15.75">
      <c r="A81" s="232" t="s">
        <v>1408</v>
      </c>
    </row>
    <row r="82" spans="1:6" ht="16.5" thickBot="1">
      <c r="A82" s="232"/>
    </row>
    <row r="83" spans="1:6" ht="31.5" customHeight="1" thickBot="1">
      <c r="A83" s="380" t="s">
        <v>0</v>
      </c>
      <c r="B83" s="380" t="s">
        <v>121</v>
      </c>
      <c r="C83" s="380" t="s">
        <v>632</v>
      </c>
      <c r="D83" s="398" t="s">
        <v>894</v>
      </c>
      <c r="E83" s="399"/>
      <c r="F83" s="380" t="s">
        <v>699</v>
      </c>
    </row>
    <row r="84" spans="1:6" ht="16.5" thickBot="1">
      <c r="A84" s="400"/>
      <c r="B84" s="400"/>
      <c r="C84" s="400"/>
      <c r="D84" s="381" t="s">
        <v>828</v>
      </c>
      <c r="E84" s="381" t="s">
        <v>829</v>
      </c>
      <c r="F84" s="400"/>
    </row>
    <row r="85" spans="1:6" ht="17.25" thickBot="1">
      <c r="A85" s="382">
        <v>1</v>
      </c>
      <c r="B85" s="929" t="s">
        <v>640</v>
      </c>
      <c r="C85" s="407" t="s">
        <v>717</v>
      </c>
      <c r="D85" s="930">
        <v>3000</v>
      </c>
      <c r="E85" s="386"/>
      <c r="F85" s="386"/>
    </row>
    <row r="86" spans="1:6" ht="50.25" customHeight="1" thickBot="1">
      <c r="A86" s="382">
        <v>2</v>
      </c>
      <c r="B86" s="929" t="s">
        <v>682</v>
      </c>
      <c r="C86" s="407" t="s">
        <v>642</v>
      </c>
      <c r="D86" s="930">
        <v>3000</v>
      </c>
      <c r="E86" s="386"/>
      <c r="F86" s="386"/>
    </row>
    <row r="87" spans="1:6" ht="50.25" customHeight="1" thickBot="1">
      <c r="A87" s="382">
        <v>3</v>
      </c>
      <c r="B87" s="929" t="s">
        <v>168</v>
      </c>
      <c r="C87" s="407" t="s">
        <v>646</v>
      </c>
      <c r="D87" s="312"/>
      <c r="E87" s="930">
        <v>6000</v>
      </c>
      <c r="F87" s="387"/>
    </row>
    <row r="88" spans="1:6" ht="50.25" customHeight="1" thickBot="1">
      <c r="A88" s="382">
        <v>4</v>
      </c>
      <c r="B88" s="929" t="s">
        <v>722</v>
      </c>
      <c r="C88" s="407" t="s">
        <v>646</v>
      </c>
      <c r="D88" s="930">
        <v>3000</v>
      </c>
      <c r="E88" s="386"/>
      <c r="F88" s="386"/>
    </row>
    <row r="89" spans="1:6" ht="50.25" customHeight="1" thickBot="1">
      <c r="A89" s="382">
        <v>5</v>
      </c>
      <c r="B89" s="929" t="s">
        <v>647</v>
      </c>
      <c r="C89" s="407" t="s">
        <v>646</v>
      </c>
      <c r="D89" s="930">
        <v>3000</v>
      </c>
      <c r="E89" s="386"/>
      <c r="F89" s="386"/>
    </row>
    <row r="90" spans="1:6" ht="50.25" customHeight="1" thickBot="1">
      <c r="A90" s="382">
        <v>6</v>
      </c>
      <c r="B90" s="929" t="s">
        <v>65</v>
      </c>
      <c r="C90" s="407" t="s">
        <v>646</v>
      </c>
      <c r="D90" s="312"/>
      <c r="E90" s="930">
        <v>3000</v>
      </c>
      <c r="F90" s="386"/>
    </row>
    <row r="91" spans="1:6" ht="50.25" customHeight="1" thickBot="1">
      <c r="A91" s="382">
        <v>7</v>
      </c>
      <c r="B91" s="929" t="s">
        <v>684</v>
      </c>
      <c r="C91" s="407" t="s">
        <v>649</v>
      </c>
      <c r="D91" s="930">
        <v>12000</v>
      </c>
      <c r="E91" s="387"/>
      <c r="F91" s="387"/>
    </row>
    <row r="92" spans="1:6" ht="50.25" customHeight="1" thickBot="1">
      <c r="A92" s="382">
        <v>8</v>
      </c>
      <c r="B92" s="929" t="s">
        <v>205</v>
      </c>
      <c r="C92" s="407" t="s">
        <v>649</v>
      </c>
      <c r="D92" s="312"/>
      <c r="E92" s="930">
        <v>15000</v>
      </c>
      <c r="F92" s="387"/>
    </row>
    <row r="93" spans="1:6" ht="33.75" customHeight="1" thickBot="1">
      <c r="A93" s="382">
        <v>9</v>
      </c>
      <c r="B93" s="929" t="s">
        <v>651</v>
      </c>
      <c r="C93" s="407" t="s">
        <v>650</v>
      </c>
      <c r="D93" s="930">
        <v>3000</v>
      </c>
      <c r="E93" s="386"/>
      <c r="F93" s="386"/>
    </row>
    <row r="94" spans="1:6" ht="33.75" customHeight="1" thickBot="1">
      <c r="A94" s="382">
        <v>10</v>
      </c>
      <c r="B94" s="929" t="s">
        <v>688</v>
      </c>
      <c r="C94" s="407" t="s">
        <v>650</v>
      </c>
      <c r="D94" s="930">
        <v>30000</v>
      </c>
      <c r="E94" s="386"/>
      <c r="F94" s="387"/>
    </row>
    <row r="95" spans="1:6" ht="50.25" customHeight="1" thickBot="1">
      <c r="A95" s="382">
        <v>11</v>
      </c>
      <c r="B95" s="929" t="s">
        <v>91</v>
      </c>
      <c r="C95" s="407" t="s">
        <v>650</v>
      </c>
      <c r="D95" s="312"/>
      <c r="E95" s="930">
        <v>36000</v>
      </c>
      <c r="F95" s="387"/>
    </row>
    <row r="96" spans="1:6" ht="50.25" customHeight="1" thickBot="1">
      <c r="A96" s="382">
        <v>12</v>
      </c>
      <c r="B96" s="929" t="s">
        <v>269</v>
      </c>
      <c r="C96" s="407" t="s">
        <v>650</v>
      </c>
      <c r="D96" s="312"/>
      <c r="E96" s="930">
        <v>6000</v>
      </c>
      <c r="F96" s="387"/>
    </row>
    <row r="97" spans="1:6" ht="50.25" customHeight="1" thickBot="1">
      <c r="A97" s="382">
        <v>13</v>
      </c>
      <c r="B97" s="929" t="s">
        <v>728</v>
      </c>
      <c r="C97" s="407" t="s">
        <v>650</v>
      </c>
      <c r="D97" s="930">
        <v>6000</v>
      </c>
      <c r="E97" s="386"/>
      <c r="F97" s="387"/>
    </row>
    <row r="98" spans="1:6" ht="66.75" customHeight="1" thickBot="1">
      <c r="A98" s="382">
        <v>14</v>
      </c>
      <c r="B98" s="929" t="s">
        <v>83</v>
      </c>
      <c r="C98" s="407" t="s">
        <v>650</v>
      </c>
      <c r="D98" s="312"/>
      <c r="E98" s="930">
        <v>3000</v>
      </c>
      <c r="F98" s="387"/>
    </row>
    <row r="99" spans="1:6" ht="66.75" customHeight="1" thickBot="1">
      <c r="A99" s="382">
        <v>15</v>
      </c>
      <c r="B99" s="929" t="s">
        <v>138</v>
      </c>
      <c r="C99" s="407" t="s">
        <v>653</v>
      </c>
      <c r="D99" s="312"/>
      <c r="E99" s="930">
        <v>3000</v>
      </c>
      <c r="F99" s="387"/>
    </row>
    <row r="100" spans="1:6" ht="50.25" customHeight="1" thickBot="1">
      <c r="A100" s="382">
        <v>16</v>
      </c>
      <c r="B100" s="929" t="s">
        <v>147</v>
      </c>
      <c r="C100" s="407" t="s">
        <v>653</v>
      </c>
      <c r="D100" s="312"/>
      <c r="E100" s="930">
        <v>3000</v>
      </c>
      <c r="F100" s="387"/>
    </row>
    <row r="101" spans="1:6" ht="50.25" customHeight="1" thickBot="1">
      <c r="A101" s="382">
        <v>17</v>
      </c>
      <c r="B101" s="929" t="s">
        <v>876</v>
      </c>
      <c r="C101" s="407" t="s">
        <v>653</v>
      </c>
      <c r="D101" s="930">
        <v>9000</v>
      </c>
      <c r="E101" s="386"/>
      <c r="F101" s="387"/>
    </row>
    <row r="102" spans="1:6" ht="50.25" customHeight="1" thickBot="1">
      <c r="A102" s="382">
        <v>18</v>
      </c>
      <c r="B102" s="929" t="s">
        <v>689</v>
      </c>
      <c r="C102" s="407" t="s">
        <v>653</v>
      </c>
      <c r="D102" s="930">
        <v>3000</v>
      </c>
      <c r="E102" s="386"/>
      <c r="F102" s="387"/>
    </row>
    <row r="103" spans="1:6" ht="50.25" customHeight="1" thickBot="1">
      <c r="A103" s="382">
        <v>19</v>
      </c>
      <c r="B103" s="929" t="s">
        <v>60</v>
      </c>
      <c r="C103" s="407" t="s">
        <v>653</v>
      </c>
      <c r="D103" s="312"/>
      <c r="E103" s="930">
        <v>12000</v>
      </c>
      <c r="F103" s="387"/>
    </row>
    <row r="104" spans="1:6" ht="50.25" customHeight="1" thickBot="1">
      <c r="A104" s="382">
        <v>20</v>
      </c>
      <c r="B104" s="929" t="s">
        <v>48</v>
      </c>
      <c r="C104" s="407" t="s">
        <v>653</v>
      </c>
      <c r="D104" s="312"/>
      <c r="E104" s="930">
        <v>3000</v>
      </c>
      <c r="F104" s="387"/>
    </row>
    <row r="105" spans="1:6" ht="66.75" customHeight="1" thickBot="1">
      <c r="A105" s="382">
        <v>21</v>
      </c>
      <c r="B105" s="929" t="s">
        <v>690</v>
      </c>
      <c r="C105" s="407" t="s">
        <v>653</v>
      </c>
      <c r="D105" s="312"/>
      <c r="E105" s="930">
        <v>9000</v>
      </c>
      <c r="F105" s="387"/>
    </row>
    <row r="106" spans="1:6" ht="50.25" customHeight="1" thickBot="1">
      <c r="A106" s="382">
        <v>22</v>
      </c>
      <c r="B106" s="929" t="s">
        <v>146</v>
      </c>
      <c r="C106" s="407" t="s">
        <v>653</v>
      </c>
      <c r="D106" s="312"/>
      <c r="E106" s="930">
        <v>6000</v>
      </c>
      <c r="F106" s="387"/>
    </row>
    <row r="107" spans="1:6" ht="66.75" customHeight="1" thickBot="1">
      <c r="A107" s="382">
        <v>23</v>
      </c>
      <c r="B107" s="929" t="s">
        <v>50</v>
      </c>
      <c r="C107" s="407" t="s">
        <v>653</v>
      </c>
      <c r="D107" s="312"/>
      <c r="E107" s="930">
        <v>3000</v>
      </c>
      <c r="F107" s="387"/>
    </row>
    <row r="108" spans="1:6" ht="50.25" customHeight="1" thickBot="1">
      <c r="A108" s="382">
        <v>24</v>
      </c>
      <c r="B108" s="929" t="s">
        <v>52</v>
      </c>
      <c r="C108" s="407" t="s">
        <v>653</v>
      </c>
      <c r="D108" s="312"/>
      <c r="E108" s="930">
        <v>3000</v>
      </c>
      <c r="F108" s="387"/>
    </row>
    <row r="109" spans="1:6" ht="50.25" customHeight="1" thickBot="1">
      <c r="A109" s="382">
        <v>25</v>
      </c>
      <c r="B109" s="929" t="s">
        <v>730</v>
      </c>
      <c r="C109" s="407" t="s">
        <v>653</v>
      </c>
      <c r="D109" s="930">
        <v>3000</v>
      </c>
      <c r="E109" s="386"/>
      <c r="F109" s="387"/>
    </row>
    <row r="110" spans="1:6" ht="66.75" customHeight="1" thickBot="1">
      <c r="A110" s="382">
        <v>26</v>
      </c>
      <c r="B110" s="929" t="s">
        <v>273</v>
      </c>
      <c r="C110" s="407" t="s">
        <v>668</v>
      </c>
      <c r="D110" s="312"/>
      <c r="E110" s="930">
        <v>3000</v>
      </c>
      <c r="F110" s="387"/>
    </row>
    <row r="111" spans="1:6" ht="66.75" customHeight="1" thickBot="1">
      <c r="A111" s="382">
        <v>27</v>
      </c>
      <c r="B111" s="929" t="s">
        <v>262</v>
      </c>
      <c r="C111" s="407" t="s">
        <v>668</v>
      </c>
      <c r="D111" s="312"/>
      <c r="E111" s="930">
        <v>9000</v>
      </c>
      <c r="F111" s="387"/>
    </row>
    <row r="112" spans="1:6" ht="50.25" customHeight="1" thickBot="1">
      <c r="A112" s="382">
        <v>28</v>
      </c>
      <c r="B112" s="929" t="s">
        <v>672</v>
      </c>
      <c r="C112" s="407" t="s">
        <v>668</v>
      </c>
      <c r="D112" s="930">
        <v>3000</v>
      </c>
      <c r="E112" s="386"/>
      <c r="F112" s="387"/>
    </row>
    <row r="113" spans="1:7" ht="50.25" customHeight="1" thickBot="1">
      <c r="A113" s="382">
        <v>29</v>
      </c>
      <c r="B113" s="929" t="s">
        <v>732</v>
      </c>
      <c r="C113" s="407" t="s">
        <v>668</v>
      </c>
      <c r="D113" s="930">
        <v>9000</v>
      </c>
      <c r="E113" s="386"/>
      <c r="F113" s="387"/>
    </row>
    <row r="114" spans="1:7" ht="50.25" customHeight="1" thickBot="1">
      <c r="A114" s="382">
        <v>30</v>
      </c>
      <c r="B114" s="929" t="s">
        <v>693</v>
      </c>
      <c r="C114" s="407" t="s">
        <v>668</v>
      </c>
      <c r="D114" s="930">
        <v>6000</v>
      </c>
      <c r="E114" s="386"/>
      <c r="F114" s="387"/>
    </row>
    <row r="115" spans="1:7" ht="50.25" customHeight="1" thickBot="1">
      <c r="A115" s="382">
        <v>31</v>
      </c>
      <c r="B115" s="929" t="s">
        <v>39</v>
      </c>
      <c r="C115" s="407" t="s">
        <v>668</v>
      </c>
      <c r="D115" s="312"/>
      <c r="E115" s="930">
        <v>6000</v>
      </c>
      <c r="F115" s="387"/>
    </row>
    <row r="116" spans="1:7" ht="50.25" customHeight="1" thickBot="1">
      <c r="A116" s="382">
        <v>32</v>
      </c>
      <c r="B116" s="929" t="s">
        <v>671</v>
      </c>
      <c r="C116" s="407" t="s">
        <v>668</v>
      </c>
      <c r="D116" s="930">
        <v>6000</v>
      </c>
      <c r="E116" s="386"/>
      <c r="F116" s="387"/>
    </row>
    <row r="117" spans="1:7" ht="50.25" customHeight="1" thickBot="1">
      <c r="A117" s="382">
        <v>33</v>
      </c>
      <c r="B117" s="929" t="s">
        <v>670</v>
      </c>
      <c r="C117" s="407" t="s">
        <v>668</v>
      </c>
      <c r="D117" s="930">
        <v>6000</v>
      </c>
      <c r="E117" s="386"/>
      <c r="F117" s="387"/>
    </row>
    <row r="118" spans="1:7" ht="50.25" customHeight="1" thickBot="1">
      <c r="A118" s="382">
        <v>34</v>
      </c>
      <c r="B118" s="929" t="s">
        <v>741</v>
      </c>
      <c r="C118" s="407" t="s">
        <v>674</v>
      </c>
      <c r="D118" s="930">
        <v>36000</v>
      </c>
      <c r="E118" s="386"/>
      <c r="F118" s="387"/>
    </row>
    <row r="119" spans="1:7" ht="33.75" customHeight="1" thickBot="1">
      <c r="A119" s="382">
        <v>35</v>
      </c>
      <c r="B119" s="929" t="s">
        <v>72</v>
      </c>
      <c r="C119" s="407" t="s">
        <v>674</v>
      </c>
      <c r="D119" s="312"/>
      <c r="E119" s="930">
        <v>3000</v>
      </c>
      <c r="F119" s="387"/>
    </row>
    <row r="120" spans="1:7" ht="17.25" thickBot="1">
      <c r="A120" s="382">
        <v>36</v>
      </c>
      <c r="B120" s="929" t="s">
        <v>149</v>
      </c>
      <c r="C120" s="407" t="s">
        <v>674</v>
      </c>
      <c r="D120" s="312"/>
      <c r="E120" s="930">
        <v>3000</v>
      </c>
      <c r="F120" s="387"/>
    </row>
    <row r="121" spans="1:7" ht="16.5" thickBot="1">
      <c r="A121" s="401" t="s">
        <v>758</v>
      </c>
      <c r="B121" s="402"/>
      <c r="C121" s="336"/>
      <c r="D121" s="389">
        <v>144</v>
      </c>
      <c r="E121" s="389">
        <v>135</v>
      </c>
      <c r="F121" s="389"/>
      <c r="G121" s="561">
        <v>135000</v>
      </c>
    </row>
    <row r="122" spans="1:7" ht="16.5" customHeight="1" thickBot="1">
      <c r="A122" s="401" t="s">
        <v>833</v>
      </c>
      <c r="B122" s="402"/>
      <c r="C122" s="336"/>
      <c r="D122" s="401">
        <v>279</v>
      </c>
      <c r="E122" s="402"/>
      <c r="F122" s="390"/>
    </row>
    <row r="123" spans="1:7" ht="15.75">
      <c r="A123" s="365" t="s">
        <v>1418</v>
      </c>
    </row>
    <row r="124" spans="1:7" ht="16.5">
      <c r="A124" s="594"/>
      <c r="B124" s="248"/>
    </row>
    <row r="125" spans="1:7" ht="15.75">
      <c r="A125" s="205" t="s">
        <v>704</v>
      </c>
    </row>
    <row r="126" spans="1:7" ht="15.75">
      <c r="A126" s="205"/>
    </row>
    <row r="127" spans="1:7" ht="15.75">
      <c r="A127" s="205" t="s">
        <v>1419</v>
      </c>
    </row>
    <row r="128" spans="1:7" ht="15.75">
      <c r="A128" s="232" t="s">
        <v>1408</v>
      </c>
    </row>
    <row r="129" spans="1:5" ht="16.5" thickBot="1">
      <c r="A129" s="232"/>
    </row>
    <row r="130" spans="1:5" ht="29.25" thickBot="1">
      <c r="A130" s="233" t="s">
        <v>0</v>
      </c>
      <c r="B130" s="234" t="s">
        <v>632</v>
      </c>
      <c r="C130" s="234" t="s">
        <v>633</v>
      </c>
      <c r="D130" s="233" t="s">
        <v>634</v>
      </c>
      <c r="E130" s="375"/>
    </row>
    <row r="131" spans="1:5" ht="16.5" thickBot="1">
      <c r="A131" s="255">
        <v>1</v>
      </c>
      <c r="B131" s="256" t="s">
        <v>708</v>
      </c>
      <c r="C131" s="257">
        <v>1500000</v>
      </c>
      <c r="D131" s="759"/>
      <c r="E131" s="932"/>
    </row>
    <row r="132" spans="1:5" ht="17.25" thickBot="1">
      <c r="A132" s="288" t="s">
        <v>676</v>
      </c>
      <c r="B132" s="289"/>
      <c r="C132" s="931">
        <v>1500000</v>
      </c>
      <c r="D132" s="262"/>
      <c r="E132" s="551"/>
    </row>
    <row r="133" spans="1:5">
      <c r="A133" s="244" t="s">
        <v>1420</v>
      </c>
    </row>
    <row r="134" spans="1:5">
      <c r="A134" s="244"/>
    </row>
  </sheetData>
  <autoFilter ref="A7:I49">
    <filterColumn colId="2">
      <colorFilter dxfId="4" cellColor="0"/>
    </filterColumn>
    <filterColumn colId="4">
      <customFilters>
        <customFilter operator="notEqual" val=" "/>
      </customFilters>
    </filterColumn>
  </autoFilter>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5"/>
  <sheetViews>
    <sheetView topLeftCell="A19" workbookViewId="0">
      <selection activeCell="C23" sqref="C23"/>
    </sheetView>
  </sheetViews>
  <sheetFormatPr defaultRowHeight="15"/>
  <cols>
    <col min="2" max="2" width="31.85546875" customWidth="1"/>
    <col min="8" max="8" width="11.5703125" bestFit="1" customWidth="1"/>
  </cols>
  <sheetData>
    <row r="1" spans="1:8" ht="15.75">
      <c r="A1" s="691"/>
      <c r="B1" s="247"/>
    </row>
    <row r="2" spans="1:8" ht="16.5">
      <c r="A2" s="246"/>
      <c r="B2" s="248"/>
    </row>
    <row r="3" spans="1:8" ht="15.75">
      <c r="A3" s="205" t="s">
        <v>1285</v>
      </c>
    </row>
    <row r="4" spans="1:8" ht="15.75">
      <c r="A4" s="205"/>
    </row>
    <row r="5" spans="1:8" ht="15.75">
      <c r="A5" s="205" t="s">
        <v>1218</v>
      </c>
    </row>
    <row r="6" spans="1:8" ht="15.75">
      <c r="A6" s="232" t="s">
        <v>1421</v>
      </c>
    </row>
    <row r="7" spans="1:8" ht="15.75" thickBot="1">
      <c r="A7" s="264"/>
    </row>
    <row r="8" spans="1:8" ht="28.5" customHeight="1" thickBot="1">
      <c r="A8" s="939" t="s">
        <v>0</v>
      </c>
      <c r="B8" s="939" t="s">
        <v>121</v>
      </c>
      <c r="C8" s="939" t="s">
        <v>632</v>
      </c>
      <c r="D8" s="941" t="s">
        <v>894</v>
      </c>
      <c r="E8" s="942"/>
      <c r="F8" s="939" t="s">
        <v>699</v>
      </c>
    </row>
    <row r="9" spans="1:8" ht="15.75" thickBot="1">
      <c r="A9" s="943"/>
      <c r="B9" s="943"/>
      <c r="C9" s="943"/>
      <c r="D9" s="940" t="s">
        <v>828</v>
      </c>
      <c r="E9" s="940" t="s">
        <v>829</v>
      </c>
      <c r="F9" s="943"/>
    </row>
    <row r="10" spans="1:8" ht="15.75" thickBot="1">
      <c r="A10" s="694">
        <v>1</v>
      </c>
      <c r="B10" s="383" t="s">
        <v>715</v>
      </c>
      <c r="C10" s="384" t="s">
        <v>642</v>
      </c>
      <c r="D10" s="314">
        <v>20</v>
      </c>
      <c r="E10" s="314"/>
      <c r="F10" s="314"/>
      <c r="G10">
        <v>1000</v>
      </c>
      <c r="H10" s="561">
        <f>E10*G10</f>
        <v>0</v>
      </c>
    </row>
    <row r="11" spans="1:8" ht="15.75" thickBot="1">
      <c r="A11" s="694">
        <v>2</v>
      </c>
      <c r="B11" s="383" t="s">
        <v>641</v>
      </c>
      <c r="C11" s="384" t="s">
        <v>717</v>
      </c>
      <c r="D11" s="314">
        <v>50</v>
      </c>
      <c r="E11" s="314"/>
      <c r="F11" s="314"/>
      <c r="G11">
        <v>1000</v>
      </c>
      <c r="H11" s="561">
        <f t="shared" ref="H11:H40" si="0">E11*G11</f>
        <v>0</v>
      </c>
    </row>
    <row r="12" spans="1:8" ht="15.75" thickBot="1">
      <c r="A12" s="694">
        <v>3</v>
      </c>
      <c r="B12" s="383" t="s">
        <v>744</v>
      </c>
      <c r="C12" s="384" t="s">
        <v>717</v>
      </c>
      <c r="D12" s="314">
        <v>40</v>
      </c>
      <c r="E12" s="314"/>
      <c r="F12" s="449"/>
      <c r="G12">
        <v>1000</v>
      </c>
      <c r="H12" s="561">
        <f t="shared" si="0"/>
        <v>0</v>
      </c>
    </row>
    <row r="13" spans="1:8" ht="15.75" thickBot="1">
      <c r="A13" s="694">
        <v>4</v>
      </c>
      <c r="B13" s="383" t="s">
        <v>96</v>
      </c>
      <c r="C13" s="384" t="s">
        <v>717</v>
      </c>
      <c r="D13" s="314"/>
      <c r="E13" s="314">
        <v>10</v>
      </c>
      <c r="F13" s="314"/>
      <c r="G13">
        <v>1000</v>
      </c>
      <c r="H13" s="561">
        <f t="shared" si="0"/>
        <v>10000</v>
      </c>
    </row>
    <row r="14" spans="1:8" ht="15.75" thickBot="1">
      <c r="A14" s="694">
        <v>5</v>
      </c>
      <c r="B14" s="383" t="s">
        <v>210</v>
      </c>
      <c r="C14" s="384" t="s">
        <v>717</v>
      </c>
      <c r="D14" s="314"/>
      <c r="E14" s="314">
        <v>60</v>
      </c>
      <c r="F14" s="314"/>
      <c r="G14">
        <v>1000</v>
      </c>
      <c r="H14" s="561">
        <f t="shared" si="0"/>
        <v>60000</v>
      </c>
    </row>
    <row r="15" spans="1:8" ht="15.75" thickBot="1">
      <c r="A15" s="694">
        <v>6</v>
      </c>
      <c r="B15" s="383" t="s">
        <v>648</v>
      </c>
      <c r="C15" s="384" t="s">
        <v>649</v>
      </c>
      <c r="D15" s="314">
        <v>40</v>
      </c>
      <c r="E15" s="314"/>
      <c r="F15" s="314"/>
      <c r="G15">
        <v>1000</v>
      </c>
      <c r="H15" s="561">
        <f t="shared" si="0"/>
        <v>0</v>
      </c>
    </row>
    <row r="16" spans="1:8" ht="15.75" thickBot="1">
      <c r="A16" s="694">
        <v>7</v>
      </c>
      <c r="B16" s="383" t="s">
        <v>687</v>
      </c>
      <c r="C16" s="384" t="s">
        <v>649</v>
      </c>
      <c r="D16" s="314">
        <v>150</v>
      </c>
      <c r="E16" s="314"/>
      <c r="F16" s="314"/>
      <c r="G16">
        <v>1000</v>
      </c>
      <c r="H16" s="561">
        <f t="shared" si="0"/>
        <v>0</v>
      </c>
    </row>
    <row r="17" spans="1:8" ht="15.75" thickBot="1">
      <c r="A17" s="694">
        <v>8</v>
      </c>
      <c r="B17" s="383" t="s">
        <v>685</v>
      </c>
      <c r="C17" s="384" t="s">
        <v>649</v>
      </c>
      <c r="D17" s="314">
        <v>110</v>
      </c>
      <c r="E17" s="314"/>
      <c r="F17" s="314"/>
      <c r="G17">
        <v>1000</v>
      </c>
      <c r="H17" s="561">
        <f t="shared" si="0"/>
        <v>0</v>
      </c>
    </row>
    <row r="18" spans="1:8" ht="15.75" thickBot="1">
      <c r="A18" s="694">
        <v>9</v>
      </c>
      <c r="B18" s="383" t="s">
        <v>686</v>
      </c>
      <c r="C18" s="384" t="s">
        <v>649</v>
      </c>
      <c r="D18" s="314">
        <v>130</v>
      </c>
      <c r="E18" s="314"/>
      <c r="F18" s="314"/>
      <c r="G18">
        <v>1000</v>
      </c>
      <c r="H18" s="561">
        <f t="shared" si="0"/>
        <v>0</v>
      </c>
    </row>
    <row r="19" spans="1:8" ht="15.75" thickBot="1">
      <c r="A19" s="694">
        <v>10</v>
      </c>
      <c r="B19" s="383" t="s">
        <v>684</v>
      </c>
      <c r="C19" s="384" t="s">
        <v>649</v>
      </c>
      <c r="D19" s="314">
        <v>90</v>
      </c>
      <c r="E19" s="314"/>
      <c r="F19" s="314"/>
      <c r="G19">
        <v>1000</v>
      </c>
      <c r="H19" s="561">
        <f t="shared" si="0"/>
        <v>0</v>
      </c>
    </row>
    <row r="20" spans="1:8" ht="15.75" thickBot="1">
      <c r="A20" s="694">
        <v>11</v>
      </c>
      <c r="B20" s="383" t="s">
        <v>205</v>
      </c>
      <c r="C20" s="384" t="s">
        <v>649</v>
      </c>
      <c r="D20" s="314"/>
      <c r="E20" s="314">
        <v>140</v>
      </c>
      <c r="F20" s="314"/>
      <c r="G20">
        <v>1000</v>
      </c>
      <c r="H20" s="561">
        <f t="shared" si="0"/>
        <v>140000</v>
      </c>
    </row>
    <row r="21" spans="1:8" ht="15.75" thickBot="1">
      <c r="A21" s="694">
        <v>12</v>
      </c>
      <c r="B21" s="383" t="s">
        <v>721</v>
      </c>
      <c r="C21" s="384" t="s">
        <v>649</v>
      </c>
      <c r="D21" s="314"/>
      <c r="E21" s="314">
        <v>120</v>
      </c>
      <c r="F21" s="314"/>
      <c r="G21">
        <v>1000</v>
      </c>
      <c r="H21" s="561">
        <f t="shared" si="0"/>
        <v>120000</v>
      </c>
    </row>
    <row r="22" spans="1:8" ht="15.75" thickBot="1">
      <c r="A22" s="694">
        <v>13</v>
      </c>
      <c r="B22" s="383" t="s">
        <v>168</v>
      </c>
      <c r="C22" s="384" t="s">
        <v>646</v>
      </c>
      <c r="D22" s="314"/>
      <c r="E22" s="314">
        <v>10</v>
      </c>
      <c r="F22" s="314"/>
      <c r="G22">
        <v>1000</v>
      </c>
      <c r="H22" s="561">
        <f t="shared" si="0"/>
        <v>10000</v>
      </c>
    </row>
    <row r="23" spans="1:8" ht="15.75" thickBot="1">
      <c r="A23" s="694">
        <v>14</v>
      </c>
      <c r="B23" s="383" t="s">
        <v>289</v>
      </c>
      <c r="C23" s="384" t="s">
        <v>646</v>
      </c>
      <c r="D23" s="314"/>
      <c r="E23" s="314">
        <v>30</v>
      </c>
      <c r="F23" s="314"/>
      <c r="G23">
        <v>1000</v>
      </c>
      <c r="H23" s="561">
        <f t="shared" si="0"/>
        <v>30000</v>
      </c>
    </row>
    <row r="24" spans="1:8" ht="15.75" thickBot="1">
      <c r="A24" s="694">
        <v>15</v>
      </c>
      <c r="B24" s="383" t="s">
        <v>651</v>
      </c>
      <c r="C24" s="384" t="s">
        <v>650</v>
      </c>
      <c r="D24" s="314">
        <v>30</v>
      </c>
      <c r="E24" s="314"/>
      <c r="F24" s="314"/>
      <c r="G24">
        <v>1000</v>
      </c>
      <c r="H24" s="561">
        <f t="shared" si="0"/>
        <v>0</v>
      </c>
    </row>
    <row r="25" spans="1:8" ht="15.75" thickBot="1">
      <c r="A25" s="694">
        <v>16</v>
      </c>
      <c r="B25" s="383" t="s">
        <v>688</v>
      </c>
      <c r="C25" s="384" t="s">
        <v>650</v>
      </c>
      <c r="D25" s="314">
        <v>140</v>
      </c>
      <c r="E25" s="314"/>
      <c r="F25" s="314"/>
      <c r="G25">
        <v>1000</v>
      </c>
      <c r="H25" s="561">
        <f t="shared" si="0"/>
        <v>0</v>
      </c>
    </row>
    <row r="26" spans="1:8" ht="15.75" thickBot="1">
      <c r="A26" s="694">
        <v>17</v>
      </c>
      <c r="B26" s="383" t="s">
        <v>269</v>
      </c>
      <c r="C26" s="384" t="s">
        <v>650</v>
      </c>
      <c r="D26" s="314"/>
      <c r="E26" s="314">
        <v>60</v>
      </c>
      <c r="F26" s="314"/>
      <c r="G26">
        <v>1000</v>
      </c>
      <c r="H26" s="561">
        <f t="shared" si="0"/>
        <v>60000</v>
      </c>
    </row>
    <row r="27" spans="1:8" ht="15.75" thickBot="1">
      <c r="A27" s="694">
        <v>18</v>
      </c>
      <c r="B27" s="383" t="s">
        <v>91</v>
      </c>
      <c r="C27" s="384" t="s">
        <v>650</v>
      </c>
      <c r="D27" s="314"/>
      <c r="E27" s="314">
        <v>40</v>
      </c>
      <c r="F27" s="314"/>
      <c r="G27">
        <v>1000</v>
      </c>
      <c r="H27" s="561">
        <f t="shared" si="0"/>
        <v>40000</v>
      </c>
    </row>
    <row r="28" spans="1:8" ht="15.75" thickBot="1">
      <c r="A28" s="694">
        <v>19</v>
      </c>
      <c r="B28" s="383" t="s">
        <v>655</v>
      </c>
      <c r="C28" s="384" t="s">
        <v>653</v>
      </c>
      <c r="D28" s="314">
        <v>40</v>
      </c>
      <c r="E28" s="314"/>
      <c r="F28" s="314"/>
      <c r="G28">
        <v>1000</v>
      </c>
      <c r="H28" s="561">
        <f t="shared" si="0"/>
        <v>0</v>
      </c>
    </row>
    <row r="29" spans="1:8" ht="15.75" thickBot="1">
      <c r="A29" s="694">
        <v>20</v>
      </c>
      <c r="B29" s="383" t="s">
        <v>731</v>
      </c>
      <c r="C29" s="384" t="s">
        <v>653</v>
      </c>
      <c r="D29" s="314">
        <v>30</v>
      </c>
      <c r="E29" s="314"/>
      <c r="F29" s="314"/>
      <c r="G29">
        <v>1000</v>
      </c>
      <c r="H29" s="561">
        <f t="shared" si="0"/>
        <v>0</v>
      </c>
    </row>
    <row r="30" spans="1:8" ht="15.75" thickBot="1">
      <c r="A30" s="694">
        <v>21</v>
      </c>
      <c r="B30" s="383" t="s">
        <v>146</v>
      </c>
      <c r="C30" s="384" t="s">
        <v>653</v>
      </c>
      <c r="D30" s="314"/>
      <c r="E30" s="314">
        <v>120</v>
      </c>
      <c r="F30" s="314"/>
      <c r="G30">
        <v>1000</v>
      </c>
      <c r="H30" s="561">
        <f t="shared" si="0"/>
        <v>120000</v>
      </c>
    </row>
    <row r="31" spans="1:8" ht="15.75" thickBot="1">
      <c r="A31" s="694">
        <v>22</v>
      </c>
      <c r="B31" s="383" t="s">
        <v>147</v>
      </c>
      <c r="C31" s="384" t="s">
        <v>653</v>
      </c>
      <c r="D31" s="314"/>
      <c r="E31" s="314">
        <v>20</v>
      </c>
      <c r="F31" s="314"/>
      <c r="G31">
        <v>1000</v>
      </c>
      <c r="H31" s="561">
        <f t="shared" si="0"/>
        <v>20000</v>
      </c>
    </row>
    <row r="32" spans="1:8" ht="15.75" thickBot="1">
      <c r="A32" s="694">
        <v>23</v>
      </c>
      <c r="B32" s="383" t="s">
        <v>138</v>
      </c>
      <c r="C32" s="384" t="s">
        <v>653</v>
      </c>
      <c r="D32" s="314"/>
      <c r="E32" s="314">
        <v>30</v>
      </c>
      <c r="F32" s="314"/>
      <c r="G32">
        <v>1000</v>
      </c>
      <c r="H32" s="561">
        <f t="shared" si="0"/>
        <v>30000</v>
      </c>
    </row>
    <row r="33" spans="1:8" ht="15.75" thickBot="1">
      <c r="A33" s="694">
        <v>24</v>
      </c>
      <c r="B33" s="383" t="s">
        <v>48</v>
      </c>
      <c r="C33" s="384" t="s">
        <v>653</v>
      </c>
      <c r="D33" s="314"/>
      <c r="E33" s="314">
        <v>30</v>
      </c>
      <c r="F33" s="314"/>
      <c r="G33">
        <v>1000</v>
      </c>
      <c r="H33" s="561">
        <f t="shared" si="0"/>
        <v>30000</v>
      </c>
    </row>
    <row r="34" spans="1:8" ht="15.75" thickBot="1">
      <c r="A34" s="694">
        <v>25</v>
      </c>
      <c r="B34" s="383" t="s">
        <v>52</v>
      </c>
      <c r="C34" s="384" t="s">
        <v>653</v>
      </c>
      <c r="D34" s="314"/>
      <c r="E34" s="314">
        <v>60</v>
      </c>
      <c r="F34" s="314"/>
      <c r="G34">
        <v>1000</v>
      </c>
      <c r="H34" s="561">
        <f t="shared" si="0"/>
        <v>60000</v>
      </c>
    </row>
    <row r="35" spans="1:8" ht="15.75" thickBot="1">
      <c r="A35" s="694">
        <v>26</v>
      </c>
      <c r="B35" s="383" t="s">
        <v>670</v>
      </c>
      <c r="C35" s="384" t="s">
        <v>668</v>
      </c>
      <c r="D35" s="314">
        <v>60</v>
      </c>
      <c r="E35" s="314"/>
      <c r="F35" s="314"/>
      <c r="G35">
        <v>1000</v>
      </c>
      <c r="H35" s="561">
        <f t="shared" si="0"/>
        <v>0</v>
      </c>
    </row>
    <row r="36" spans="1:8" ht="15.75" thickBot="1">
      <c r="A36" s="694">
        <v>27</v>
      </c>
      <c r="B36" s="383" t="s">
        <v>669</v>
      </c>
      <c r="C36" s="384" t="s">
        <v>668</v>
      </c>
      <c r="D36" s="314">
        <v>40</v>
      </c>
      <c r="E36" s="314"/>
      <c r="F36" s="314"/>
      <c r="G36">
        <v>1000</v>
      </c>
      <c r="H36" s="561">
        <f t="shared" si="0"/>
        <v>0</v>
      </c>
    </row>
    <row r="37" spans="1:8" ht="15.75" thickBot="1">
      <c r="A37" s="694"/>
      <c r="B37" s="383" t="s">
        <v>693</v>
      </c>
      <c r="C37" s="384" t="s">
        <v>668</v>
      </c>
      <c r="D37" s="314">
        <v>30</v>
      </c>
      <c r="E37" s="314"/>
      <c r="F37" s="314"/>
      <c r="G37">
        <v>1000</v>
      </c>
      <c r="H37" s="561">
        <f t="shared" si="0"/>
        <v>0</v>
      </c>
    </row>
    <row r="38" spans="1:8" ht="15.75" thickBot="1">
      <c r="A38" s="694"/>
      <c r="B38" s="383" t="s">
        <v>671</v>
      </c>
      <c r="C38" s="384" t="s">
        <v>668</v>
      </c>
      <c r="D38" s="314">
        <v>30</v>
      </c>
      <c r="E38" s="314"/>
      <c r="F38" s="314"/>
      <c r="G38">
        <v>1000</v>
      </c>
      <c r="H38" s="561">
        <f t="shared" si="0"/>
        <v>0</v>
      </c>
    </row>
    <row r="39" spans="1:8" ht="15.75" thickBot="1">
      <c r="A39" s="694"/>
      <c r="B39" s="383" t="s">
        <v>262</v>
      </c>
      <c r="C39" s="384" t="s">
        <v>668</v>
      </c>
      <c r="D39" s="314"/>
      <c r="E39" s="314">
        <v>50</v>
      </c>
      <c r="F39" s="314"/>
      <c r="G39">
        <v>1000</v>
      </c>
      <c r="H39" s="561">
        <f t="shared" si="0"/>
        <v>50000</v>
      </c>
    </row>
    <row r="40" spans="1:8" ht="15.75" thickBot="1">
      <c r="A40" s="694"/>
      <c r="B40" s="383" t="s">
        <v>149</v>
      </c>
      <c r="C40" s="384" t="s">
        <v>674</v>
      </c>
      <c r="D40" s="314"/>
      <c r="E40" s="314">
        <v>70</v>
      </c>
      <c r="F40" s="314"/>
      <c r="G40">
        <v>1000</v>
      </c>
      <c r="H40" s="561">
        <f t="shared" si="0"/>
        <v>70000</v>
      </c>
    </row>
    <row r="41" spans="1:8" ht="29.25" thickBot="1">
      <c r="A41" s="700" t="s">
        <v>758</v>
      </c>
      <c r="B41" s="701"/>
      <c r="C41" s="318"/>
      <c r="D41" s="696" t="s">
        <v>1422</v>
      </c>
      <c r="E41" s="696">
        <v>850</v>
      </c>
      <c r="F41" s="696"/>
    </row>
    <row r="42" spans="1:8" ht="15.75" customHeight="1" thickBot="1">
      <c r="A42" s="700" t="s">
        <v>864</v>
      </c>
      <c r="B42" s="701"/>
      <c r="C42" s="318"/>
      <c r="D42" s="700" t="s">
        <v>1423</v>
      </c>
      <c r="E42" s="701"/>
      <c r="F42" s="697"/>
    </row>
    <row r="43" spans="1:8">
      <c r="A43" s="244" t="s">
        <v>1424</v>
      </c>
    </row>
    <row r="44" spans="1:8">
      <c r="A44" s="244"/>
    </row>
    <row r="45" spans="1:8">
      <c r="A45" s="244"/>
    </row>
    <row r="46" spans="1:8">
      <c r="A46" s="244"/>
    </row>
    <row r="47" spans="1:8">
      <c r="A47" s="244"/>
    </row>
    <row r="48" spans="1:8">
      <c r="A48" s="244"/>
    </row>
    <row r="49" spans="1:1">
      <c r="A49" s="244"/>
    </row>
    <row r="50" spans="1:1">
      <c r="A50" s="244"/>
    </row>
    <row r="51" spans="1:1">
      <c r="A51" s="244"/>
    </row>
    <row r="52" spans="1:1">
      <c r="A52" s="244"/>
    </row>
    <row r="53" spans="1:1">
      <c r="A53" s="244"/>
    </row>
    <row r="54" spans="1:1">
      <c r="A54" s="244"/>
    </row>
    <row r="55" spans="1:1">
      <c r="A55" s="244"/>
    </row>
    <row r="56" spans="1:1">
      <c r="A56" s="244"/>
    </row>
    <row r="57" spans="1:1">
      <c r="A57" s="244"/>
    </row>
    <row r="58" spans="1:1">
      <c r="A58" s="244"/>
    </row>
    <row r="59" spans="1:1">
      <c r="A59" s="244"/>
    </row>
    <row r="60" spans="1:1">
      <c r="A60" s="244"/>
    </row>
    <row r="61" spans="1:1">
      <c r="A61" s="244"/>
    </row>
    <row r="62" spans="1:1">
      <c r="A62" s="244"/>
    </row>
    <row r="63" spans="1:1">
      <c r="A63" s="244"/>
    </row>
    <row r="64" spans="1:1">
      <c r="A64" s="244"/>
    </row>
    <row r="65" spans="1:1">
      <c r="A65" s="244"/>
    </row>
    <row r="66" spans="1:1">
      <c r="A66" s="244"/>
    </row>
    <row r="67" spans="1:1">
      <c r="A67" s="244"/>
    </row>
    <row r="68" spans="1:1">
      <c r="A68" s="244"/>
    </row>
    <row r="69" spans="1:1">
      <c r="A69" s="244"/>
    </row>
    <row r="70" spans="1:1">
      <c r="A70" s="244"/>
    </row>
    <row r="71" spans="1:1">
      <c r="A71" s="244"/>
    </row>
    <row r="72" spans="1:1">
      <c r="A72" s="244"/>
    </row>
    <row r="73" spans="1:1">
      <c r="A73" s="244"/>
    </row>
    <row r="74" spans="1:1">
      <c r="A74" s="244"/>
    </row>
    <row r="75" spans="1:1">
      <c r="A75" s="284"/>
    </row>
  </sheetData>
  <pageMargins left="0.7" right="0.7" top="0.75" bottom="0.75" header="0.3" footer="0.3"/>
  <pageSetup paperSize="9" orientation="portrait" horizontalDpi="300" verticalDpi="3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5"/>
  <sheetViews>
    <sheetView topLeftCell="A55" workbookViewId="0">
      <selection activeCell="C23" sqref="C23"/>
    </sheetView>
  </sheetViews>
  <sheetFormatPr defaultRowHeight="15"/>
  <cols>
    <col min="2" max="2" width="32.85546875" customWidth="1"/>
  </cols>
  <sheetData>
    <row r="1" spans="1:6" ht="15.75">
      <c r="A1" s="205" t="s">
        <v>1161</v>
      </c>
    </row>
    <row r="2" spans="1:6">
      <c r="A2" s="944"/>
    </row>
    <row r="3" spans="1:6">
      <c r="A3" s="686" t="s">
        <v>1162</v>
      </c>
    </row>
    <row r="4" spans="1:6" ht="16.5" thickBot="1">
      <c r="A4" s="232" t="s">
        <v>1425</v>
      </c>
    </row>
    <row r="5" spans="1:6" ht="31.5" customHeight="1" thickBot="1">
      <c r="A5" s="380" t="s">
        <v>0</v>
      </c>
      <c r="B5" s="380" t="s">
        <v>121</v>
      </c>
      <c r="C5" s="380" t="s">
        <v>632</v>
      </c>
      <c r="D5" s="398" t="s">
        <v>894</v>
      </c>
      <c r="E5" s="399"/>
      <c r="F5" s="380" t="s">
        <v>699</v>
      </c>
    </row>
    <row r="6" spans="1:6" ht="16.5" thickBot="1">
      <c r="A6" s="400"/>
      <c r="B6" s="400"/>
      <c r="C6" s="400"/>
      <c r="D6" s="381" t="s">
        <v>828</v>
      </c>
      <c r="E6" s="381" t="s">
        <v>829</v>
      </c>
      <c r="F6" s="400"/>
    </row>
    <row r="7" spans="1:6" ht="16.5" thickBot="1">
      <c r="A7" s="382">
        <v>1</v>
      </c>
      <c r="B7" s="687" t="s">
        <v>39</v>
      </c>
      <c r="C7" s="688" t="s">
        <v>668</v>
      </c>
      <c r="D7" s="386"/>
      <c r="E7" s="689">
        <v>10000</v>
      </c>
      <c r="F7" s="386"/>
    </row>
    <row r="8" spans="1:6" ht="32.25" customHeight="1" thickBot="1">
      <c r="A8" s="382">
        <v>2</v>
      </c>
      <c r="B8" s="687" t="s">
        <v>29</v>
      </c>
      <c r="C8" s="688" t="s">
        <v>668</v>
      </c>
      <c r="D8" s="386"/>
      <c r="E8" s="689">
        <v>50000</v>
      </c>
      <c r="F8" s="386"/>
    </row>
    <row r="9" spans="1:6" ht="63.75" customHeight="1" thickBot="1">
      <c r="A9" s="382">
        <v>3</v>
      </c>
      <c r="B9" s="687" t="s">
        <v>262</v>
      </c>
      <c r="C9" s="688" t="s">
        <v>668</v>
      </c>
      <c r="D9" s="386"/>
      <c r="E9" s="689">
        <v>20000</v>
      </c>
      <c r="F9" s="387"/>
    </row>
    <row r="10" spans="1:6" ht="63.75" customHeight="1" thickBot="1">
      <c r="A10" s="382">
        <v>4</v>
      </c>
      <c r="B10" s="687" t="s">
        <v>56</v>
      </c>
      <c r="C10" s="688" t="s">
        <v>653</v>
      </c>
      <c r="D10" s="386"/>
      <c r="E10" s="689">
        <v>80000</v>
      </c>
      <c r="F10" s="386"/>
    </row>
    <row r="11" spans="1:6" ht="48" customHeight="1" thickBot="1">
      <c r="A11" s="382">
        <v>5</v>
      </c>
      <c r="B11" s="687" t="s">
        <v>50</v>
      </c>
      <c r="C11" s="688" t="s">
        <v>653</v>
      </c>
      <c r="D11" s="386"/>
      <c r="E11" s="689">
        <v>150000</v>
      </c>
      <c r="F11" s="386"/>
    </row>
    <row r="12" spans="1:6" ht="48" customHeight="1" thickBot="1">
      <c r="A12" s="382">
        <v>6</v>
      </c>
      <c r="B12" s="687" t="s">
        <v>282</v>
      </c>
      <c r="C12" s="688" t="s">
        <v>646</v>
      </c>
      <c r="D12" s="386"/>
      <c r="E12" s="689">
        <v>30000</v>
      </c>
      <c r="F12" s="386"/>
    </row>
    <row r="13" spans="1:6" ht="48" customHeight="1" thickBot="1">
      <c r="A13" s="382">
        <v>7</v>
      </c>
      <c r="B13" s="687" t="s">
        <v>683</v>
      </c>
      <c r="C13" s="688" t="s">
        <v>646</v>
      </c>
      <c r="D13" s="689">
        <v>30000</v>
      </c>
      <c r="E13" s="386"/>
      <c r="F13" s="387"/>
    </row>
    <row r="14" spans="1:6" ht="48" customHeight="1" thickBot="1">
      <c r="A14" s="382">
        <v>8</v>
      </c>
      <c r="B14" s="687" t="s">
        <v>722</v>
      </c>
      <c r="C14" s="688" t="s">
        <v>646</v>
      </c>
      <c r="D14" s="689">
        <v>30000</v>
      </c>
      <c r="E14" s="386"/>
      <c r="F14" s="387"/>
    </row>
    <row r="15" spans="1:6" ht="48" customHeight="1" thickBot="1">
      <c r="A15" s="382">
        <v>9</v>
      </c>
      <c r="B15" s="687" t="s">
        <v>148</v>
      </c>
      <c r="C15" s="688" t="s">
        <v>646</v>
      </c>
      <c r="D15" s="386"/>
      <c r="E15" s="689">
        <v>20000</v>
      </c>
      <c r="F15" s="386"/>
    </row>
    <row r="16" spans="1:6" ht="48" customHeight="1" thickBot="1">
      <c r="A16" s="382">
        <v>10</v>
      </c>
      <c r="B16" s="687" t="s">
        <v>725</v>
      </c>
      <c r="C16" s="688" t="s">
        <v>646</v>
      </c>
      <c r="D16" s="386"/>
      <c r="E16" s="689">
        <v>30000</v>
      </c>
      <c r="F16" s="387"/>
    </row>
    <row r="17" spans="1:6" ht="48" customHeight="1" thickBot="1">
      <c r="A17" s="382">
        <v>11</v>
      </c>
      <c r="B17" s="687" t="s">
        <v>647</v>
      </c>
      <c r="C17" s="688" t="s">
        <v>646</v>
      </c>
      <c r="D17" s="689">
        <v>60000</v>
      </c>
      <c r="E17" s="386"/>
      <c r="F17" s="387"/>
    </row>
    <row r="18" spans="1:6" ht="48" customHeight="1" thickBot="1">
      <c r="A18" s="382">
        <v>12</v>
      </c>
      <c r="B18" s="687" t="s">
        <v>741</v>
      </c>
      <c r="C18" s="688" t="s">
        <v>674</v>
      </c>
      <c r="D18" s="689">
        <v>60000</v>
      </c>
      <c r="E18" s="386"/>
      <c r="F18" s="387"/>
    </row>
    <row r="19" spans="1:6" ht="32.25" customHeight="1" thickBot="1">
      <c r="A19" s="382">
        <v>13</v>
      </c>
      <c r="B19" s="687" t="s">
        <v>742</v>
      </c>
      <c r="C19" s="688" t="s">
        <v>674</v>
      </c>
      <c r="D19" s="689">
        <v>180000</v>
      </c>
      <c r="E19" s="386"/>
      <c r="F19" s="387"/>
    </row>
    <row r="20" spans="1:6" ht="48" customHeight="1" thickBot="1">
      <c r="A20" s="382">
        <v>14</v>
      </c>
      <c r="B20" s="687" t="s">
        <v>743</v>
      </c>
      <c r="C20" s="688" t="s">
        <v>674</v>
      </c>
      <c r="D20" s="689">
        <v>40000</v>
      </c>
      <c r="E20" s="386"/>
      <c r="F20" s="387"/>
    </row>
    <row r="21" spans="1:6" ht="48" customHeight="1" thickBot="1">
      <c r="A21" s="382">
        <v>15</v>
      </c>
      <c r="B21" s="687" t="s">
        <v>205</v>
      </c>
      <c r="C21" s="688" t="s">
        <v>649</v>
      </c>
      <c r="D21" s="386"/>
      <c r="E21" s="689">
        <v>60000</v>
      </c>
      <c r="F21" s="387"/>
    </row>
    <row r="22" spans="1:6" ht="48" customHeight="1" thickBot="1">
      <c r="A22" s="382">
        <v>16</v>
      </c>
      <c r="B22" s="687" t="s">
        <v>187</v>
      </c>
      <c r="C22" s="688" t="s">
        <v>649</v>
      </c>
      <c r="D22" s="386"/>
      <c r="E22" s="689">
        <v>40000</v>
      </c>
      <c r="F22" s="387"/>
    </row>
    <row r="23" spans="1:6" ht="32.25" customHeight="1" thickBot="1">
      <c r="A23" s="382">
        <v>17</v>
      </c>
      <c r="B23" s="687" t="s">
        <v>152</v>
      </c>
      <c r="C23" s="688" t="s">
        <v>649</v>
      </c>
      <c r="D23" s="386"/>
      <c r="E23" s="689">
        <v>40000</v>
      </c>
      <c r="F23" s="387"/>
    </row>
    <row r="24" spans="1:6" ht="32.25" customHeight="1" thickBot="1">
      <c r="A24" s="382">
        <v>18</v>
      </c>
      <c r="B24" s="687" t="s">
        <v>765</v>
      </c>
      <c r="C24" s="688" t="s">
        <v>650</v>
      </c>
      <c r="D24" s="386"/>
      <c r="E24" s="689">
        <v>30000</v>
      </c>
      <c r="F24" s="387"/>
    </row>
    <row r="25" spans="1:6" ht="48" customHeight="1" thickBot="1">
      <c r="A25" s="382">
        <v>19</v>
      </c>
      <c r="B25" s="687" t="s">
        <v>269</v>
      </c>
      <c r="C25" s="688" t="s">
        <v>650</v>
      </c>
      <c r="D25" s="386"/>
      <c r="E25" s="689">
        <v>60000</v>
      </c>
      <c r="F25" s="387"/>
    </row>
    <row r="26" spans="1:6" ht="48" customHeight="1" thickBot="1">
      <c r="A26" s="382">
        <v>20</v>
      </c>
      <c r="B26" s="687" t="s">
        <v>715</v>
      </c>
      <c r="C26" s="688" t="s">
        <v>642</v>
      </c>
      <c r="D26" s="689">
        <v>70000</v>
      </c>
      <c r="E26" s="386"/>
      <c r="F26" s="387"/>
    </row>
    <row r="27" spans="1:6" ht="48" customHeight="1" thickBot="1">
      <c r="A27" s="382">
        <v>21</v>
      </c>
      <c r="B27" s="687" t="s">
        <v>637</v>
      </c>
      <c r="C27" s="688" t="s">
        <v>636</v>
      </c>
      <c r="D27" s="689">
        <v>60000</v>
      </c>
      <c r="E27" s="386"/>
      <c r="F27" s="387"/>
    </row>
    <row r="28" spans="1:6" ht="32.25" customHeight="1" thickBot="1">
      <c r="A28" s="382">
        <v>22</v>
      </c>
      <c r="B28" s="687" t="s">
        <v>98</v>
      </c>
      <c r="C28" s="688" t="s">
        <v>636</v>
      </c>
      <c r="D28" s="386"/>
      <c r="E28" s="689">
        <v>20000</v>
      </c>
      <c r="F28" s="387"/>
    </row>
    <row r="29" spans="1:6" ht="48" customHeight="1" thickBot="1">
      <c r="A29" s="382">
        <v>23</v>
      </c>
      <c r="B29" s="687" t="s">
        <v>210</v>
      </c>
      <c r="C29" s="688" t="s">
        <v>636</v>
      </c>
      <c r="D29" s="386"/>
      <c r="E29" s="689">
        <v>140000</v>
      </c>
      <c r="F29" s="387"/>
    </row>
    <row r="30" spans="1:6" ht="48" customHeight="1" thickBot="1">
      <c r="A30" s="382">
        <v>24</v>
      </c>
      <c r="B30" s="687" t="s">
        <v>640</v>
      </c>
      <c r="C30" s="688" t="s">
        <v>636</v>
      </c>
      <c r="D30" s="689">
        <v>30000</v>
      </c>
      <c r="E30" s="386"/>
      <c r="F30" s="387"/>
    </row>
    <row r="31" spans="1:6" ht="48" customHeight="1" thickBot="1">
      <c r="A31" s="382">
        <v>25</v>
      </c>
      <c r="B31" s="687" t="s">
        <v>96</v>
      </c>
      <c r="C31" s="688" t="s">
        <v>636</v>
      </c>
      <c r="D31" s="386"/>
      <c r="E31" s="689">
        <v>120000</v>
      </c>
      <c r="F31" s="387"/>
    </row>
    <row r="32" spans="1:6" ht="32.25" customHeight="1" thickBot="1">
      <c r="A32" s="382">
        <v>26</v>
      </c>
      <c r="B32" s="687" t="s">
        <v>744</v>
      </c>
      <c r="C32" s="688" t="s">
        <v>636</v>
      </c>
      <c r="D32" s="689">
        <v>120000</v>
      </c>
      <c r="E32" s="386"/>
      <c r="F32" s="387"/>
    </row>
    <row r="33" spans="1:6" ht="16.5" thickBot="1">
      <c r="A33" s="382">
        <v>27</v>
      </c>
      <c r="B33" s="687" t="s">
        <v>660</v>
      </c>
      <c r="C33" s="688" t="s">
        <v>746</v>
      </c>
      <c r="D33" s="945">
        <v>40000</v>
      </c>
      <c r="E33" s="386"/>
      <c r="F33" s="387"/>
    </row>
    <row r="34" spans="1:6" ht="16.5" thickBot="1">
      <c r="A34" s="401" t="s">
        <v>758</v>
      </c>
      <c r="B34" s="402"/>
      <c r="C34" s="336"/>
      <c r="D34" s="388">
        <v>720000</v>
      </c>
      <c r="E34" s="388">
        <v>900000</v>
      </c>
      <c r="F34" s="389"/>
    </row>
    <row r="35" spans="1:6" ht="16.5" customHeight="1" thickBot="1">
      <c r="A35" s="401" t="s">
        <v>864</v>
      </c>
      <c r="B35" s="402"/>
      <c r="C35" s="336"/>
      <c r="D35" s="403">
        <v>1620000</v>
      </c>
      <c r="E35" s="404"/>
      <c r="F35" s="390"/>
    </row>
    <row r="36" spans="1:6" ht="15.75">
      <c r="A36" s="365" t="s">
        <v>1426</v>
      </c>
    </row>
    <row r="37" spans="1:6" ht="15.75">
      <c r="A37" s="245"/>
      <c r="B37" s="247"/>
    </row>
    <row r="38" spans="1:6">
      <c r="A38" s="691"/>
      <c r="B38" s="248"/>
    </row>
    <row r="39" spans="1:6" ht="15.75">
      <c r="A39" s="205" t="s">
        <v>696</v>
      </c>
    </row>
    <row r="40" spans="1:6" ht="15.75">
      <c r="A40" s="205"/>
    </row>
    <row r="41" spans="1:6" ht="15.75">
      <c r="A41" s="205" t="s">
        <v>1212</v>
      </c>
    </row>
    <row r="42" spans="1:6" ht="15.75">
      <c r="A42" s="232" t="s">
        <v>1427</v>
      </c>
    </row>
    <row r="43" spans="1:6" ht="16.5" thickBot="1">
      <c r="A43" s="232"/>
    </row>
    <row r="44" spans="1:6" ht="31.5" customHeight="1" thickBot="1">
      <c r="A44" s="380" t="s">
        <v>0</v>
      </c>
      <c r="B44" s="380" t="s">
        <v>121</v>
      </c>
      <c r="C44" s="380" t="s">
        <v>632</v>
      </c>
      <c r="D44" s="398" t="s">
        <v>894</v>
      </c>
      <c r="E44" s="399"/>
      <c r="F44" s="380" t="s">
        <v>699</v>
      </c>
    </row>
    <row r="45" spans="1:6" ht="16.5" thickBot="1">
      <c r="A45" s="400"/>
      <c r="B45" s="400"/>
      <c r="C45" s="400"/>
      <c r="D45" s="381" t="s">
        <v>828</v>
      </c>
      <c r="E45" s="381" t="s">
        <v>829</v>
      </c>
      <c r="F45" s="400"/>
    </row>
    <row r="46" spans="1:6" ht="17.25" thickBot="1">
      <c r="A46" s="382">
        <v>1</v>
      </c>
      <c r="B46" s="929" t="s">
        <v>641</v>
      </c>
      <c r="C46" s="407" t="s">
        <v>717</v>
      </c>
      <c r="D46" s="930">
        <v>3000</v>
      </c>
      <c r="E46" s="312"/>
      <c r="F46" s="386"/>
    </row>
    <row r="47" spans="1:6" ht="50.25" customHeight="1" thickBot="1">
      <c r="A47" s="382">
        <v>2</v>
      </c>
      <c r="B47" s="929" t="s">
        <v>637</v>
      </c>
      <c r="C47" s="407" t="s">
        <v>717</v>
      </c>
      <c r="D47" s="930">
        <v>9000</v>
      </c>
      <c r="E47" s="312"/>
      <c r="F47" s="386"/>
    </row>
    <row r="48" spans="1:6" ht="50.25" customHeight="1" thickBot="1">
      <c r="A48" s="382">
        <v>3</v>
      </c>
      <c r="B48" s="929" t="s">
        <v>98</v>
      </c>
      <c r="C48" s="407" t="s">
        <v>717</v>
      </c>
      <c r="D48" s="312"/>
      <c r="E48" s="930">
        <v>3000</v>
      </c>
      <c r="F48" s="387"/>
    </row>
    <row r="49" spans="1:6" ht="50.25" customHeight="1" thickBot="1">
      <c r="A49" s="382">
        <v>4</v>
      </c>
      <c r="B49" s="929" t="s">
        <v>682</v>
      </c>
      <c r="C49" s="407" t="s">
        <v>642</v>
      </c>
      <c r="D49" s="930">
        <v>24000</v>
      </c>
      <c r="E49" s="386"/>
      <c r="F49" s="386"/>
    </row>
    <row r="50" spans="1:6" ht="50.25" customHeight="1" thickBot="1">
      <c r="A50" s="382">
        <v>5</v>
      </c>
      <c r="B50" s="929" t="s">
        <v>282</v>
      </c>
      <c r="C50" s="407" t="s">
        <v>646</v>
      </c>
      <c r="D50" s="312"/>
      <c r="E50" s="930">
        <v>3000</v>
      </c>
      <c r="F50" s="386"/>
    </row>
    <row r="51" spans="1:6" ht="50.25" customHeight="1" thickBot="1">
      <c r="A51" s="382">
        <v>6</v>
      </c>
      <c r="B51" s="929" t="s">
        <v>685</v>
      </c>
      <c r="C51" s="407" t="s">
        <v>649</v>
      </c>
      <c r="D51" s="930">
        <v>6000</v>
      </c>
      <c r="E51" s="387"/>
      <c r="F51" s="386"/>
    </row>
    <row r="52" spans="1:6" ht="50.25" customHeight="1" thickBot="1">
      <c r="A52" s="382">
        <v>7</v>
      </c>
      <c r="B52" s="929" t="s">
        <v>81</v>
      </c>
      <c r="C52" s="407" t="s">
        <v>649</v>
      </c>
      <c r="D52" s="312"/>
      <c r="E52" s="930">
        <v>3000</v>
      </c>
      <c r="F52" s="387"/>
    </row>
    <row r="53" spans="1:6" ht="50.25" customHeight="1" thickBot="1">
      <c r="A53" s="382">
        <v>8</v>
      </c>
      <c r="B53" s="929" t="s">
        <v>221</v>
      </c>
      <c r="C53" s="407" t="s">
        <v>649</v>
      </c>
      <c r="D53" s="312"/>
      <c r="E53" s="930">
        <v>3000</v>
      </c>
      <c r="F53" s="387"/>
    </row>
    <row r="54" spans="1:6" ht="50.25" customHeight="1" thickBot="1">
      <c r="A54" s="382">
        <v>9</v>
      </c>
      <c r="B54" s="929" t="s">
        <v>687</v>
      </c>
      <c r="C54" s="407" t="s">
        <v>649</v>
      </c>
      <c r="D54" s="930">
        <v>3000</v>
      </c>
      <c r="E54" s="312"/>
      <c r="F54" s="386"/>
    </row>
    <row r="55" spans="1:6" ht="50.25" customHeight="1" thickBot="1">
      <c r="A55" s="382">
        <v>10</v>
      </c>
      <c r="B55" s="929" t="s">
        <v>91</v>
      </c>
      <c r="C55" s="407" t="s">
        <v>650</v>
      </c>
      <c r="D55" s="312"/>
      <c r="E55" s="930">
        <v>9000</v>
      </c>
      <c r="F55" s="387"/>
    </row>
    <row r="56" spans="1:6" ht="33.75" customHeight="1" thickBot="1">
      <c r="A56" s="382">
        <v>11</v>
      </c>
      <c r="B56" s="929" t="s">
        <v>688</v>
      </c>
      <c r="C56" s="407" t="s">
        <v>650</v>
      </c>
      <c r="D56" s="930">
        <v>3000</v>
      </c>
      <c r="E56" s="312"/>
      <c r="F56" s="387"/>
    </row>
    <row r="57" spans="1:6" ht="50.25" customHeight="1" thickBot="1">
      <c r="A57" s="382">
        <v>12</v>
      </c>
      <c r="B57" s="929" t="s">
        <v>60</v>
      </c>
      <c r="C57" s="407" t="s">
        <v>1429</v>
      </c>
      <c r="D57" s="312"/>
      <c r="E57" s="930">
        <v>6000</v>
      </c>
      <c r="F57" s="387"/>
    </row>
    <row r="58" spans="1:6" ht="66.75" customHeight="1" thickBot="1">
      <c r="A58" s="382">
        <v>13</v>
      </c>
      <c r="B58" s="929" t="s">
        <v>690</v>
      </c>
      <c r="C58" s="407" t="s">
        <v>653</v>
      </c>
      <c r="D58" s="312"/>
      <c r="E58" s="930">
        <v>21000</v>
      </c>
      <c r="F58" s="387"/>
    </row>
    <row r="59" spans="1:6" ht="66.75" customHeight="1" thickBot="1">
      <c r="A59" s="382">
        <v>14</v>
      </c>
      <c r="B59" s="929" t="s">
        <v>138</v>
      </c>
      <c r="C59" s="407" t="s">
        <v>653</v>
      </c>
      <c r="D59" s="312"/>
      <c r="E59" s="930">
        <v>9000</v>
      </c>
      <c r="F59" s="387"/>
    </row>
    <row r="60" spans="1:6" ht="33.75" customHeight="1" thickBot="1">
      <c r="A60" s="382">
        <v>15</v>
      </c>
      <c r="B60" s="929" t="s">
        <v>731</v>
      </c>
      <c r="C60" s="407" t="s">
        <v>653</v>
      </c>
      <c r="D60" s="930">
        <v>9000</v>
      </c>
      <c r="E60" s="312"/>
      <c r="F60" s="387"/>
    </row>
    <row r="61" spans="1:6" ht="50.25" customHeight="1" thickBot="1">
      <c r="A61" s="382">
        <v>16</v>
      </c>
      <c r="B61" s="929" t="s">
        <v>48</v>
      </c>
      <c r="C61" s="407" t="s">
        <v>653</v>
      </c>
      <c r="D61" s="312"/>
      <c r="E61" s="930">
        <v>9000</v>
      </c>
      <c r="F61" s="387"/>
    </row>
    <row r="62" spans="1:6" ht="50.25" customHeight="1" thickBot="1">
      <c r="A62" s="382">
        <v>17</v>
      </c>
      <c r="B62" s="929" t="s">
        <v>46</v>
      </c>
      <c r="C62" s="407" t="s">
        <v>653</v>
      </c>
      <c r="D62" s="312"/>
      <c r="E62" s="930">
        <v>3000</v>
      </c>
      <c r="F62" s="387"/>
    </row>
    <row r="63" spans="1:6" ht="50.25" customHeight="1" thickBot="1">
      <c r="A63" s="382">
        <v>18</v>
      </c>
      <c r="B63" s="929" t="s">
        <v>147</v>
      </c>
      <c r="C63" s="407" t="s">
        <v>653</v>
      </c>
      <c r="D63" s="312"/>
      <c r="E63" s="930">
        <v>3000</v>
      </c>
      <c r="F63" s="387"/>
    </row>
    <row r="64" spans="1:6" ht="66.75" customHeight="1" thickBot="1">
      <c r="A64" s="382">
        <v>19</v>
      </c>
      <c r="B64" s="929" t="s">
        <v>25</v>
      </c>
      <c r="C64" s="407" t="s">
        <v>668</v>
      </c>
      <c r="D64" s="312"/>
      <c r="E64" s="930">
        <v>6000</v>
      </c>
      <c r="F64" s="387"/>
    </row>
    <row r="65" spans="1:6" ht="50.25" customHeight="1" thickBot="1">
      <c r="A65" s="382">
        <v>20</v>
      </c>
      <c r="B65" s="929" t="s">
        <v>31</v>
      </c>
      <c r="C65" s="407" t="s">
        <v>668</v>
      </c>
      <c r="D65" s="312"/>
      <c r="E65" s="930">
        <v>3000</v>
      </c>
      <c r="F65" s="387"/>
    </row>
    <row r="66" spans="1:6" ht="66.75" customHeight="1" thickBot="1">
      <c r="A66" s="382">
        <v>21</v>
      </c>
      <c r="B66" s="929" t="s">
        <v>692</v>
      </c>
      <c r="C66" s="407" t="s">
        <v>668</v>
      </c>
      <c r="D66" s="930">
        <v>15000</v>
      </c>
      <c r="E66" s="312"/>
      <c r="F66" s="387"/>
    </row>
    <row r="67" spans="1:6" ht="50.25" customHeight="1" thickBot="1">
      <c r="A67" s="382">
        <v>22</v>
      </c>
      <c r="B67" s="929" t="s">
        <v>670</v>
      </c>
      <c r="C67" s="407" t="s">
        <v>668</v>
      </c>
      <c r="D67" s="930">
        <v>3000</v>
      </c>
      <c r="E67" s="312"/>
      <c r="F67" s="387"/>
    </row>
    <row r="68" spans="1:6" ht="50.25" customHeight="1" thickBot="1">
      <c r="A68" s="382">
        <v>23</v>
      </c>
      <c r="B68" s="929" t="s">
        <v>672</v>
      </c>
      <c r="C68" s="407" t="s">
        <v>668</v>
      </c>
      <c r="D68" s="930">
        <v>3000</v>
      </c>
      <c r="E68" s="312"/>
      <c r="F68" s="387"/>
    </row>
    <row r="69" spans="1:6" ht="33.75" customHeight="1" thickBot="1">
      <c r="A69" s="382">
        <v>24</v>
      </c>
      <c r="B69" s="929" t="s">
        <v>149</v>
      </c>
      <c r="C69" s="407" t="s">
        <v>674</v>
      </c>
      <c r="D69" s="312"/>
      <c r="E69" s="930">
        <v>9000</v>
      </c>
      <c r="F69" s="387"/>
    </row>
    <row r="70" spans="1:6" ht="66.75" customHeight="1" thickBot="1">
      <c r="A70" s="382">
        <v>25</v>
      </c>
      <c r="B70" s="929" t="s">
        <v>182</v>
      </c>
      <c r="C70" s="407" t="s">
        <v>674</v>
      </c>
      <c r="D70" s="312"/>
      <c r="E70" s="930">
        <v>3000</v>
      </c>
      <c r="F70" s="387"/>
    </row>
    <row r="71" spans="1:6" ht="50.25" customHeight="1" thickBot="1">
      <c r="A71" s="382">
        <v>26</v>
      </c>
      <c r="B71" s="929" t="s">
        <v>749</v>
      </c>
      <c r="C71" s="407" t="s">
        <v>661</v>
      </c>
      <c r="D71" s="312"/>
      <c r="E71" s="930">
        <v>6000</v>
      </c>
      <c r="F71" s="387"/>
    </row>
    <row r="72" spans="1:6" ht="17.25" thickBot="1">
      <c r="A72" s="382">
        <v>27</v>
      </c>
      <c r="B72" s="929" t="s">
        <v>745</v>
      </c>
      <c r="C72" s="407" t="s">
        <v>661</v>
      </c>
      <c r="D72" s="930">
        <v>3000</v>
      </c>
      <c r="E72" s="312"/>
      <c r="F72" s="387"/>
    </row>
    <row r="73" spans="1:6" ht="16.5" thickBot="1">
      <c r="A73" s="401" t="s">
        <v>758</v>
      </c>
      <c r="B73" s="402"/>
      <c r="C73" s="336"/>
      <c r="D73" s="388">
        <v>81000</v>
      </c>
      <c r="E73" s="388">
        <v>99000</v>
      </c>
      <c r="F73" s="389"/>
    </row>
    <row r="74" spans="1:6" ht="16.5" customHeight="1" thickBot="1">
      <c r="A74" s="401" t="s">
        <v>833</v>
      </c>
      <c r="B74" s="402"/>
      <c r="C74" s="336"/>
      <c r="D74" s="403">
        <v>180000</v>
      </c>
      <c r="E74" s="404"/>
      <c r="F74" s="390"/>
    </row>
    <row r="75" spans="1:6" ht="15.75">
      <c r="A75" s="365" t="s">
        <v>1430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3"/>
  <sheetViews>
    <sheetView topLeftCell="A58" workbookViewId="0">
      <selection activeCell="C23" sqref="C23"/>
    </sheetView>
  </sheetViews>
  <sheetFormatPr defaultRowHeight="15"/>
  <cols>
    <col min="2" max="2" width="33.140625" customWidth="1"/>
    <col min="4" max="4" width="13.140625" customWidth="1"/>
    <col min="5" max="5" width="11.140625" customWidth="1"/>
    <col min="8" max="8" width="11.5703125" style="561" bestFit="1" customWidth="1"/>
  </cols>
  <sheetData>
    <row r="1" spans="1:8" ht="15.75">
      <c r="A1" s="205"/>
    </row>
    <row r="2" spans="1:8" ht="15.75">
      <c r="A2" s="205" t="s">
        <v>1431</v>
      </c>
    </row>
    <row r="3" spans="1:8" ht="16.5" thickBot="1">
      <c r="A3" s="365" t="s">
        <v>1432</v>
      </c>
    </row>
    <row r="4" spans="1:8" ht="25.5" customHeight="1" thickBot="1">
      <c r="A4" s="704" t="s">
        <v>0</v>
      </c>
      <c r="B4" s="704" t="s">
        <v>121</v>
      </c>
      <c r="C4" s="704" t="s">
        <v>632</v>
      </c>
      <c r="D4" s="716" t="s">
        <v>633</v>
      </c>
      <c r="E4" s="717"/>
      <c r="F4" s="704" t="s">
        <v>699</v>
      </c>
    </row>
    <row r="5" spans="1:8" ht="15.75" thickBot="1">
      <c r="A5" s="718"/>
      <c r="B5" s="718"/>
      <c r="C5" s="718"/>
      <c r="D5" s="946" t="s">
        <v>739</v>
      </c>
      <c r="E5" s="946" t="s">
        <v>740</v>
      </c>
      <c r="F5" s="718"/>
    </row>
    <row r="6" spans="1:8" ht="15.75" thickBot="1">
      <c r="A6" s="947">
        <v>1</v>
      </c>
      <c r="B6" s="948" t="s">
        <v>681</v>
      </c>
      <c r="C6" s="925" t="s">
        <v>642</v>
      </c>
      <c r="D6" s="949"/>
      <c r="E6" s="950">
        <v>225</v>
      </c>
      <c r="F6" s="950"/>
      <c r="G6">
        <v>1000</v>
      </c>
      <c r="H6" s="561">
        <f>E6*G6</f>
        <v>225000</v>
      </c>
    </row>
    <row r="7" spans="1:8" ht="15.75" thickBot="1">
      <c r="A7" s="947">
        <v>2</v>
      </c>
      <c r="B7" s="948" t="s">
        <v>645</v>
      </c>
      <c r="C7" s="925" t="s">
        <v>642</v>
      </c>
      <c r="D7" s="949">
        <v>810</v>
      </c>
      <c r="E7" s="950"/>
      <c r="F7" s="950"/>
      <c r="G7">
        <v>1000</v>
      </c>
      <c r="H7" s="561">
        <f t="shared" ref="H7:H69" si="0">E7*G7</f>
        <v>0</v>
      </c>
    </row>
    <row r="8" spans="1:8" ht="15.75" thickBot="1">
      <c r="A8" s="947">
        <v>3</v>
      </c>
      <c r="B8" s="948" t="s">
        <v>716</v>
      </c>
      <c r="C8" s="925" t="s">
        <v>642</v>
      </c>
      <c r="D8" s="949"/>
      <c r="E8" s="950">
        <v>135</v>
      </c>
      <c r="F8" s="950"/>
      <c r="G8">
        <v>1000</v>
      </c>
      <c r="H8" s="561">
        <f t="shared" si="0"/>
        <v>135000</v>
      </c>
    </row>
    <row r="9" spans="1:8" ht="15.75" thickBot="1">
      <c r="A9" s="947">
        <v>4</v>
      </c>
      <c r="B9" s="948" t="s">
        <v>682</v>
      </c>
      <c r="C9" s="925" t="s">
        <v>642</v>
      </c>
      <c r="D9" s="949">
        <v>45</v>
      </c>
      <c r="E9" s="950"/>
      <c r="F9" s="950"/>
      <c r="G9">
        <v>1000</v>
      </c>
      <c r="H9" s="561">
        <f t="shared" si="0"/>
        <v>0</v>
      </c>
    </row>
    <row r="10" spans="1:8" ht="15.75" thickBot="1">
      <c r="A10" s="947">
        <v>5</v>
      </c>
      <c r="B10" s="948" t="s">
        <v>641</v>
      </c>
      <c r="C10" s="925" t="s">
        <v>717</v>
      </c>
      <c r="D10" s="949">
        <v>990</v>
      </c>
      <c r="E10" s="950"/>
      <c r="F10" s="950"/>
      <c r="G10">
        <v>1000</v>
      </c>
      <c r="H10" s="561">
        <f t="shared" si="0"/>
        <v>0</v>
      </c>
    </row>
    <row r="11" spans="1:8" ht="15.75" thickBot="1">
      <c r="A11" s="947">
        <v>6</v>
      </c>
      <c r="B11" s="948" t="s">
        <v>210</v>
      </c>
      <c r="C11" s="925" t="s">
        <v>717</v>
      </c>
      <c r="D11" s="949"/>
      <c r="E11" s="950">
        <v>45</v>
      </c>
      <c r="F11" s="950"/>
      <c r="G11">
        <v>1000</v>
      </c>
      <c r="H11" s="561">
        <f t="shared" si="0"/>
        <v>45000</v>
      </c>
    </row>
    <row r="12" spans="1:8" ht="15.75" thickBot="1">
      <c r="A12" s="947">
        <v>7</v>
      </c>
      <c r="B12" s="948" t="s">
        <v>96</v>
      </c>
      <c r="C12" s="925" t="s">
        <v>717</v>
      </c>
      <c r="D12" s="949"/>
      <c r="E12" s="950">
        <v>45</v>
      </c>
      <c r="F12" s="950"/>
      <c r="G12">
        <v>1000</v>
      </c>
      <c r="H12" s="561">
        <f t="shared" si="0"/>
        <v>45000</v>
      </c>
    </row>
    <row r="13" spans="1:8" ht="15.75" thickBot="1">
      <c r="A13" s="947">
        <v>8</v>
      </c>
      <c r="B13" s="948" t="s">
        <v>744</v>
      </c>
      <c r="C13" s="925" t="s">
        <v>717</v>
      </c>
      <c r="D13" s="949">
        <v>45</v>
      </c>
      <c r="E13" s="950"/>
      <c r="F13" s="950"/>
      <c r="G13">
        <v>1000</v>
      </c>
      <c r="H13" s="561">
        <f t="shared" si="0"/>
        <v>0</v>
      </c>
    </row>
    <row r="14" spans="1:8" ht="15.75" thickBot="1">
      <c r="A14" s="947">
        <v>9</v>
      </c>
      <c r="B14" s="948" t="s">
        <v>81</v>
      </c>
      <c r="C14" s="925" t="s">
        <v>649</v>
      </c>
      <c r="D14" s="949"/>
      <c r="E14" s="950">
        <v>135</v>
      </c>
      <c r="F14" s="950"/>
      <c r="G14">
        <v>1000</v>
      </c>
      <c r="H14" s="561">
        <f t="shared" si="0"/>
        <v>135000</v>
      </c>
    </row>
    <row r="15" spans="1:8" ht="15.75" thickBot="1">
      <c r="A15" s="947">
        <v>10</v>
      </c>
      <c r="B15" s="948" t="s">
        <v>686</v>
      </c>
      <c r="C15" s="925" t="s">
        <v>649</v>
      </c>
      <c r="D15" s="949">
        <v>720</v>
      </c>
      <c r="E15" s="950"/>
      <c r="F15" s="950"/>
      <c r="G15">
        <v>1000</v>
      </c>
      <c r="H15" s="561">
        <f t="shared" si="0"/>
        <v>0</v>
      </c>
    </row>
    <row r="16" spans="1:8" ht="15.75" thickBot="1">
      <c r="A16" s="947">
        <v>11</v>
      </c>
      <c r="B16" s="948" t="s">
        <v>685</v>
      </c>
      <c r="C16" s="925" t="s">
        <v>649</v>
      </c>
      <c r="D16" s="949">
        <v>720</v>
      </c>
      <c r="E16" s="950"/>
      <c r="F16" s="950"/>
      <c r="G16">
        <v>1000</v>
      </c>
      <c r="H16" s="561">
        <f t="shared" si="0"/>
        <v>0</v>
      </c>
    </row>
    <row r="17" spans="1:8" ht="15.75" thickBot="1">
      <c r="A17" s="947">
        <v>12</v>
      </c>
      <c r="B17" s="948" t="s">
        <v>721</v>
      </c>
      <c r="C17" s="925" t="s">
        <v>649</v>
      </c>
      <c r="D17" s="949"/>
      <c r="E17" s="950">
        <v>270</v>
      </c>
      <c r="F17" s="950"/>
      <c r="G17">
        <v>1000</v>
      </c>
      <c r="H17" s="561">
        <f t="shared" si="0"/>
        <v>270000</v>
      </c>
    </row>
    <row r="18" spans="1:8" ht="15.75" thickBot="1">
      <c r="A18" s="947">
        <v>13</v>
      </c>
      <c r="B18" s="948" t="s">
        <v>205</v>
      </c>
      <c r="C18" s="925" t="s">
        <v>649</v>
      </c>
      <c r="D18" s="949"/>
      <c r="E18" s="950">
        <v>720</v>
      </c>
      <c r="F18" s="950"/>
      <c r="G18">
        <v>1000</v>
      </c>
      <c r="H18" s="561">
        <f t="shared" si="0"/>
        <v>720000</v>
      </c>
    </row>
    <row r="19" spans="1:8" ht="15.75" thickBot="1">
      <c r="A19" s="947">
        <v>14</v>
      </c>
      <c r="B19" s="948" t="s">
        <v>684</v>
      </c>
      <c r="C19" s="925" t="s">
        <v>649</v>
      </c>
      <c r="D19" s="949">
        <v>810</v>
      </c>
      <c r="E19" s="950"/>
      <c r="F19" s="950"/>
      <c r="G19">
        <v>1000</v>
      </c>
      <c r="H19" s="561">
        <f t="shared" si="0"/>
        <v>0</v>
      </c>
    </row>
    <row r="20" spans="1:8" ht="15.75" thickBot="1">
      <c r="A20" s="947">
        <v>15</v>
      </c>
      <c r="B20" s="948" t="s">
        <v>831</v>
      </c>
      <c r="C20" s="925" t="s">
        <v>649</v>
      </c>
      <c r="D20" s="949"/>
      <c r="E20" s="950">
        <v>135</v>
      </c>
      <c r="F20" s="950"/>
      <c r="G20">
        <v>1000</v>
      </c>
      <c r="H20" s="561">
        <f t="shared" si="0"/>
        <v>135000</v>
      </c>
    </row>
    <row r="21" spans="1:8" ht="15.75" thickBot="1">
      <c r="A21" s="947">
        <v>16</v>
      </c>
      <c r="B21" s="948" t="s">
        <v>687</v>
      </c>
      <c r="C21" s="925" t="s">
        <v>649</v>
      </c>
      <c r="D21" s="949">
        <v>720</v>
      </c>
      <c r="E21" s="950"/>
      <c r="F21" s="950"/>
      <c r="G21">
        <v>1000</v>
      </c>
      <c r="H21" s="561">
        <f t="shared" si="0"/>
        <v>0</v>
      </c>
    </row>
    <row r="22" spans="1:8" ht="15.75" thickBot="1">
      <c r="A22" s="947">
        <v>17</v>
      </c>
      <c r="B22" s="948" t="s">
        <v>168</v>
      </c>
      <c r="C22" s="925" t="s">
        <v>646</v>
      </c>
      <c r="D22" s="949"/>
      <c r="E22" s="950" t="s">
        <v>1433</v>
      </c>
      <c r="F22" s="950"/>
      <c r="G22">
        <v>1000</v>
      </c>
      <c r="H22" s="561">
        <v>1215000</v>
      </c>
    </row>
    <row r="23" spans="1:8" ht="15.75" thickBot="1">
      <c r="A23" s="947">
        <v>18</v>
      </c>
      <c r="B23" s="948" t="s">
        <v>647</v>
      </c>
      <c r="C23" s="925" t="s">
        <v>646</v>
      </c>
      <c r="D23" s="949">
        <v>990</v>
      </c>
      <c r="E23" s="950"/>
      <c r="F23" s="950"/>
      <c r="G23">
        <v>1000</v>
      </c>
      <c r="H23" s="561">
        <f t="shared" si="0"/>
        <v>0</v>
      </c>
    </row>
    <row r="24" spans="1:8" ht="15.75" thickBot="1">
      <c r="A24" s="947">
        <v>19</v>
      </c>
      <c r="B24" s="948" t="s">
        <v>723</v>
      </c>
      <c r="C24" s="925" t="s">
        <v>646</v>
      </c>
      <c r="D24" s="949" t="s">
        <v>1433</v>
      </c>
      <c r="E24" s="950"/>
      <c r="F24" s="950"/>
      <c r="G24">
        <v>1000</v>
      </c>
      <c r="H24" s="561">
        <f t="shared" si="0"/>
        <v>0</v>
      </c>
    </row>
    <row r="25" spans="1:8" ht="15.75" thickBot="1">
      <c r="A25" s="947">
        <v>20</v>
      </c>
      <c r="B25" s="948" t="s">
        <v>282</v>
      </c>
      <c r="C25" s="925" t="s">
        <v>646</v>
      </c>
      <c r="D25" s="949"/>
      <c r="E25" s="950">
        <v>495</v>
      </c>
      <c r="F25" s="950"/>
      <c r="G25">
        <v>1000</v>
      </c>
      <c r="H25" s="561">
        <f t="shared" si="0"/>
        <v>495000</v>
      </c>
    </row>
    <row r="26" spans="1:8" ht="15.75" thickBot="1">
      <c r="A26" s="947">
        <v>21</v>
      </c>
      <c r="B26" s="948" t="s">
        <v>1434</v>
      </c>
      <c r="C26" s="925" t="s">
        <v>646</v>
      </c>
      <c r="D26" s="949"/>
      <c r="E26" s="950">
        <v>675</v>
      </c>
      <c r="F26" s="950"/>
      <c r="G26">
        <v>1000</v>
      </c>
      <c r="H26" s="561">
        <f t="shared" si="0"/>
        <v>675000</v>
      </c>
    </row>
    <row r="27" spans="1:8" ht="15.75" thickBot="1">
      <c r="A27" s="947">
        <v>22</v>
      </c>
      <c r="B27" s="948" t="s">
        <v>289</v>
      </c>
      <c r="C27" s="925" t="s">
        <v>646</v>
      </c>
      <c r="D27" s="949"/>
      <c r="E27" s="950" t="s">
        <v>1435</v>
      </c>
      <c r="F27" s="950"/>
      <c r="G27">
        <v>1000</v>
      </c>
      <c r="H27" s="561">
        <v>2430000</v>
      </c>
    </row>
    <row r="28" spans="1:8" ht="15.75" thickBot="1">
      <c r="A28" s="947">
        <v>23</v>
      </c>
      <c r="B28" s="948" t="s">
        <v>1314</v>
      </c>
      <c r="C28" s="925" t="s">
        <v>646</v>
      </c>
      <c r="D28" s="949"/>
      <c r="E28" s="950">
        <v>180</v>
      </c>
      <c r="F28" s="950"/>
      <c r="G28">
        <v>1000</v>
      </c>
      <c r="H28" s="561">
        <f t="shared" si="0"/>
        <v>180000</v>
      </c>
    </row>
    <row r="29" spans="1:8" ht="15.75" thickBot="1">
      <c r="A29" s="947">
        <v>24</v>
      </c>
      <c r="B29" s="948" t="s">
        <v>683</v>
      </c>
      <c r="C29" s="925" t="s">
        <v>646</v>
      </c>
      <c r="D29" s="949">
        <v>675</v>
      </c>
      <c r="E29" s="950"/>
      <c r="F29" s="950"/>
      <c r="G29">
        <v>1000</v>
      </c>
      <c r="H29" s="561">
        <f t="shared" si="0"/>
        <v>0</v>
      </c>
    </row>
    <row r="30" spans="1:8" ht="15.75" thickBot="1">
      <c r="A30" s="947">
        <v>25</v>
      </c>
      <c r="B30" s="948" t="s">
        <v>65</v>
      </c>
      <c r="C30" s="925" t="s">
        <v>646</v>
      </c>
      <c r="D30" s="949"/>
      <c r="E30" s="950">
        <v>180</v>
      </c>
      <c r="F30" s="950"/>
      <c r="G30">
        <v>1000</v>
      </c>
      <c r="H30" s="561">
        <f t="shared" si="0"/>
        <v>180000</v>
      </c>
    </row>
    <row r="31" spans="1:8" ht="15.75" thickBot="1">
      <c r="A31" s="947">
        <v>26</v>
      </c>
      <c r="B31" s="948" t="s">
        <v>148</v>
      </c>
      <c r="C31" s="925" t="s">
        <v>646</v>
      </c>
      <c r="D31" s="949"/>
      <c r="E31" s="950">
        <v>180</v>
      </c>
      <c r="F31" s="950"/>
      <c r="G31">
        <v>1000</v>
      </c>
      <c r="H31" s="561">
        <f t="shared" si="0"/>
        <v>180000</v>
      </c>
    </row>
    <row r="32" spans="1:8" ht="15.75" thickBot="1">
      <c r="A32" s="947">
        <v>27</v>
      </c>
      <c r="B32" s="948" t="s">
        <v>725</v>
      </c>
      <c r="C32" s="925" t="s">
        <v>646</v>
      </c>
      <c r="D32" s="949"/>
      <c r="E32" s="950">
        <v>360</v>
      </c>
      <c r="F32" s="950"/>
      <c r="G32">
        <v>1000</v>
      </c>
      <c r="H32" s="561">
        <f t="shared" si="0"/>
        <v>360000</v>
      </c>
    </row>
    <row r="33" spans="1:8" ht="15.75" thickBot="1">
      <c r="A33" s="947">
        <v>28</v>
      </c>
      <c r="B33" s="948" t="s">
        <v>722</v>
      </c>
      <c r="C33" s="925" t="s">
        <v>646</v>
      </c>
      <c r="D33" s="949">
        <v>180</v>
      </c>
      <c r="E33" s="950"/>
      <c r="F33" s="950"/>
      <c r="G33">
        <v>1000</v>
      </c>
      <c r="H33" s="561">
        <f t="shared" si="0"/>
        <v>0</v>
      </c>
    </row>
    <row r="34" spans="1:8" ht="15.75" thickBot="1">
      <c r="A34" s="947">
        <v>29</v>
      </c>
      <c r="B34" s="948" t="s">
        <v>651</v>
      </c>
      <c r="C34" s="925" t="s">
        <v>650</v>
      </c>
      <c r="D34" s="949">
        <v>900</v>
      </c>
      <c r="E34" s="950"/>
      <c r="F34" s="950"/>
      <c r="G34">
        <v>1000</v>
      </c>
      <c r="H34" s="561">
        <f t="shared" si="0"/>
        <v>0</v>
      </c>
    </row>
    <row r="35" spans="1:8" ht="15.75" thickBot="1">
      <c r="A35" s="947">
        <v>30</v>
      </c>
      <c r="B35" s="948" t="s">
        <v>83</v>
      </c>
      <c r="C35" s="925" t="s">
        <v>650</v>
      </c>
      <c r="D35" s="949"/>
      <c r="E35" s="950">
        <v>180</v>
      </c>
      <c r="F35" s="950"/>
      <c r="G35">
        <v>1000</v>
      </c>
      <c r="H35" s="561">
        <f t="shared" si="0"/>
        <v>180000</v>
      </c>
    </row>
    <row r="36" spans="1:8" ht="15.75" thickBot="1">
      <c r="A36" s="951">
        <v>31</v>
      </c>
      <c r="B36" s="952" t="s">
        <v>91</v>
      </c>
      <c r="C36" s="953" t="s">
        <v>650</v>
      </c>
      <c r="D36" s="954"/>
      <c r="E36" s="955">
        <v>900</v>
      </c>
      <c r="F36" s="950"/>
      <c r="G36">
        <v>1000</v>
      </c>
      <c r="H36" s="561">
        <f t="shared" si="0"/>
        <v>900000</v>
      </c>
    </row>
    <row r="37" spans="1:8" ht="15.75" thickBot="1">
      <c r="A37" s="951">
        <v>32</v>
      </c>
      <c r="B37" s="952" t="s">
        <v>688</v>
      </c>
      <c r="C37" s="953" t="s">
        <v>650</v>
      </c>
      <c r="D37" s="954" t="s">
        <v>1436</v>
      </c>
      <c r="E37" s="955"/>
      <c r="F37" s="950"/>
      <c r="G37">
        <v>1000</v>
      </c>
      <c r="H37" s="561">
        <f t="shared" si="0"/>
        <v>0</v>
      </c>
    </row>
    <row r="38" spans="1:8" ht="15.75" thickBot="1">
      <c r="A38" s="951">
        <v>33</v>
      </c>
      <c r="B38" s="952" t="s">
        <v>690</v>
      </c>
      <c r="C38" s="953" t="s">
        <v>653</v>
      </c>
      <c r="D38" s="954"/>
      <c r="E38" s="955" t="s">
        <v>1436</v>
      </c>
      <c r="F38" s="950"/>
      <c r="G38">
        <v>1000</v>
      </c>
      <c r="H38" s="561">
        <v>1485000</v>
      </c>
    </row>
    <row r="39" spans="1:8" ht="15.75" thickBot="1">
      <c r="A39" s="951">
        <v>34</v>
      </c>
      <c r="B39" s="952" t="s">
        <v>60</v>
      </c>
      <c r="C39" s="953" t="s">
        <v>653</v>
      </c>
      <c r="D39" s="954"/>
      <c r="E39" s="955" t="s">
        <v>1437</v>
      </c>
      <c r="F39" s="950"/>
      <c r="G39">
        <v>1000</v>
      </c>
      <c r="H39" s="561">
        <v>2160000</v>
      </c>
    </row>
    <row r="40" spans="1:8" ht="15.75" thickBot="1">
      <c r="A40" s="951">
        <v>35</v>
      </c>
      <c r="B40" s="952" t="s">
        <v>138</v>
      </c>
      <c r="C40" s="953" t="s">
        <v>653</v>
      </c>
      <c r="D40" s="954"/>
      <c r="E40" s="955" t="s">
        <v>1433</v>
      </c>
      <c r="F40" s="950"/>
      <c r="G40">
        <v>1000</v>
      </c>
      <c r="H40" s="561">
        <v>1215000</v>
      </c>
    </row>
    <row r="41" spans="1:8" ht="15.75" thickBot="1">
      <c r="A41" s="951">
        <v>36</v>
      </c>
      <c r="B41" s="952" t="s">
        <v>655</v>
      </c>
      <c r="C41" s="953" t="s">
        <v>653</v>
      </c>
      <c r="D41" s="954">
        <v>360</v>
      </c>
      <c r="E41" s="955"/>
      <c r="F41" s="950"/>
      <c r="G41">
        <v>1000</v>
      </c>
      <c r="H41" s="561">
        <f t="shared" si="0"/>
        <v>0</v>
      </c>
    </row>
    <row r="42" spans="1:8" ht="15.75" thickBot="1">
      <c r="A42" s="951">
        <v>37</v>
      </c>
      <c r="B42" s="952" t="s">
        <v>147</v>
      </c>
      <c r="C42" s="953" t="s">
        <v>653</v>
      </c>
      <c r="D42" s="954"/>
      <c r="E42" s="955" t="s">
        <v>1438</v>
      </c>
      <c r="F42" s="950"/>
      <c r="G42">
        <v>1000</v>
      </c>
      <c r="H42" s="561">
        <v>1620000</v>
      </c>
    </row>
    <row r="43" spans="1:8" ht="15.75" thickBot="1">
      <c r="A43" s="951">
        <v>38</v>
      </c>
      <c r="B43" s="952" t="s">
        <v>659</v>
      </c>
      <c r="C43" s="953" t="s">
        <v>653</v>
      </c>
      <c r="D43" s="954" t="s">
        <v>1439</v>
      </c>
      <c r="E43" s="955"/>
      <c r="F43" s="950"/>
      <c r="G43">
        <v>1000</v>
      </c>
      <c r="H43" s="561">
        <f t="shared" si="0"/>
        <v>0</v>
      </c>
    </row>
    <row r="44" spans="1:8" ht="15.75" thickBot="1">
      <c r="A44" s="951">
        <v>39</v>
      </c>
      <c r="B44" s="952" t="s">
        <v>146</v>
      </c>
      <c r="C44" s="953" t="s">
        <v>653</v>
      </c>
      <c r="D44" s="954"/>
      <c r="E44" s="955">
        <v>360</v>
      </c>
      <c r="F44" s="950"/>
      <c r="G44">
        <v>1000</v>
      </c>
      <c r="H44" s="561">
        <f t="shared" si="0"/>
        <v>360000</v>
      </c>
    </row>
    <row r="45" spans="1:8" ht="15.75" thickBot="1">
      <c r="A45" s="951">
        <v>40</v>
      </c>
      <c r="B45" s="952" t="s">
        <v>48</v>
      </c>
      <c r="C45" s="953" t="s">
        <v>653</v>
      </c>
      <c r="D45" s="954"/>
      <c r="E45" s="955">
        <v>720</v>
      </c>
      <c r="F45" s="950"/>
      <c r="G45">
        <v>1000</v>
      </c>
      <c r="H45" s="561">
        <f t="shared" si="0"/>
        <v>720000</v>
      </c>
    </row>
    <row r="46" spans="1:8" ht="15.75" thickBot="1">
      <c r="A46" s="951">
        <v>41</v>
      </c>
      <c r="B46" s="952" t="s">
        <v>46</v>
      </c>
      <c r="C46" s="953" t="s">
        <v>653</v>
      </c>
      <c r="D46" s="954"/>
      <c r="E46" s="955">
        <v>945</v>
      </c>
      <c r="F46" s="950"/>
      <c r="G46">
        <v>1000</v>
      </c>
      <c r="H46" s="561">
        <f t="shared" si="0"/>
        <v>945000</v>
      </c>
    </row>
    <row r="47" spans="1:8" ht="15.75" thickBot="1">
      <c r="A47" s="951">
        <v>42</v>
      </c>
      <c r="B47" s="952" t="s">
        <v>730</v>
      </c>
      <c r="C47" s="953" t="s">
        <v>653</v>
      </c>
      <c r="D47" s="954">
        <v>855</v>
      </c>
      <c r="E47" s="955"/>
      <c r="F47" s="950"/>
      <c r="G47">
        <v>1000</v>
      </c>
      <c r="H47" s="561">
        <f t="shared" si="0"/>
        <v>0</v>
      </c>
    </row>
    <row r="48" spans="1:8" ht="15.75" thickBot="1">
      <c r="A48" s="951">
        <v>43</v>
      </c>
      <c r="B48" s="952" t="s">
        <v>52</v>
      </c>
      <c r="C48" s="953" t="s">
        <v>653</v>
      </c>
      <c r="D48" s="954"/>
      <c r="E48" s="955" t="s">
        <v>1433</v>
      </c>
      <c r="F48" s="950"/>
      <c r="G48">
        <v>1000</v>
      </c>
      <c r="H48" s="561">
        <v>1215000</v>
      </c>
    </row>
    <row r="49" spans="1:8" ht="15.75" thickBot="1">
      <c r="A49" s="951">
        <v>44</v>
      </c>
      <c r="B49" s="952" t="s">
        <v>689</v>
      </c>
      <c r="C49" s="953" t="s">
        <v>653</v>
      </c>
      <c r="D49" s="954">
        <v>675</v>
      </c>
      <c r="E49" s="955"/>
      <c r="F49" s="950"/>
      <c r="G49">
        <v>1000</v>
      </c>
      <c r="H49" s="561">
        <f t="shared" si="0"/>
        <v>0</v>
      </c>
    </row>
    <row r="50" spans="1:8" ht="15.75" thickBot="1">
      <c r="A50" s="951">
        <v>45</v>
      </c>
      <c r="B50" s="952" t="s">
        <v>658</v>
      </c>
      <c r="C50" s="953" t="s">
        <v>653</v>
      </c>
      <c r="D50" s="954">
        <v>675</v>
      </c>
      <c r="E50" s="955"/>
      <c r="F50" s="950"/>
      <c r="G50">
        <v>1000</v>
      </c>
      <c r="H50" s="561">
        <f t="shared" si="0"/>
        <v>0</v>
      </c>
    </row>
    <row r="51" spans="1:8" ht="15.75" thickBot="1">
      <c r="A51" s="951">
        <v>46</v>
      </c>
      <c r="B51" s="952" t="s">
        <v>50</v>
      </c>
      <c r="C51" s="953" t="s">
        <v>653</v>
      </c>
      <c r="D51" s="954"/>
      <c r="E51" s="955">
        <v>45</v>
      </c>
      <c r="F51" s="950"/>
      <c r="G51">
        <v>1000</v>
      </c>
      <c r="H51" s="561">
        <f t="shared" si="0"/>
        <v>45000</v>
      </c>
    </row>
    <row r="52" spans="1:8" ht="15.75" thickBot="1">
      <c r="A52" s="951">
        <v>47</v>
      </c>
      <c r="B52" s="952" t="s">
        <v>273</v>
      </c>
      <c r="C52" s="953" t="s">
        <v>668</v>
      </c>
      <c r="D52" s="954"/>
      <c r="E52" s="955" t="s">
        <v>1436</v>
      </c>
      <c r="F52" s="950"/>
      <c r="G52">
        <v>1000</v>
      </c>
      <c r="H52" s="561">
        <v>1485000</v>
      </c>
    </row>
    <row r="53" spans="1:8" ht="15.75" thickBot="1">
      <c r="A53" s="951">
        <v>48</v>
      </c>
      <c r="B53" s="952" t="s">
        <v>670</v>
      </c>
      <c r="C53" s="953" t="s">
        <v>668</v>
      </c>
      <c r="D53" s="954">
        <v>675</v>
      </c>
      <c r="E53" s="955"/>
      <c r="F53" s="950"/>
      <c r="G53">
        <v>1000</v>
      </c>
      <c r="H53" s="561">
        <f t="shared" si="0"/>
        <v>0</v>
      </c>
    </row>
    <row r="54" spans="1:8" ht="15.75" thickBot="1">
      <c r="A54" s="951">
        <v>49</v>
      </c>
      <c r="B54" s="952" t="s">
        <v>1316</v>
      </c>
      <c r="C54" s="953" t="s">
        <v>668</v>
      </c>
      <c r="D54" s="954"/>
      <c r="E54" s="955">
        <v>45</v>
      </c>
      <c r="F54" s="950"/>
      <c r="G54">
        <v>1000</v>
      </c>
      <c r="H54" s="561">
        <f t="shared" si="0"/>
        <v>45000</v>
      </c>
    </row>
    <row r="55" spans="1:8" ht="15.75" thickBot="1">
      <c r="A55" s="951">
        <v>50</v>
      </c>
      <c r="B55" s="952" t="s">
        <v>671</v>
      </c>
      <c r="C55" s="953" t="s">
        <v>668</v>
      </c>
      <c r="D55" s="954">
        <v>945</v>
      </c>
      <c r="E55" s="955"/>
      <c r="F55" s="950"/>
      <c r="G55">
        <v>1000</v>
      </c>
      <c r="H55" s="561">
        <f t="shared" si="0"/>
        <v>0</v>
      </c>
    </row>
    <row r="56" spans="1:8" ht="15.75" thickBot="1">
      <c r="A56" s="951">
        <v>51</v>
      </c>
      <c r="B56" s="952" t="s">
        <v>732</v>
      </c>
      <c r="C56" s="953" t="s">
        <v>668</v>
      </c>
      <c r="D56" s="954">
        <v>495</v>
      </c>
      <c r="E56" s="955"/>
      <c r="F56" s="950"/>
      <c r="G56">
        <v>1000</v>
      </c>
      <c r="H56" s="561">
        <f t="shared" si="0"/>
        <v>0</v>
      </c>
    </row>
    <row r="57" spans="1:8" ht="15.75" thickBot="1">
      <c r="A57" s="951">
        <v>52</v>
      </c>
      <c r="B57" s="952" t="s">
        <v>262</v>
      </c>
      <c r="C57" s="953" t="s">
        <v>668</v>
      </c>
      <c r="D57" s="954"/>
      <c r="E57" s="955">
        <v>315</v>
      </c>
      <c r="F57" s="950"/>
      <c r="G57">
        <v>1000</v>
      </c>
      <c r="H57" s="561">
        <f t="shared" si="0"/>
        <v>315000</v>
      </c>
    </row>
    <row r="58" spans="1:8" ht="15.75" thickBot="1">
      <c r="A58" s="951">
        <v>53</v>
      </c>
      <c r="B58" s="952" t="s">
        <v>435</v>
      </c>
      <c r="C58" s="953" t="s">
        <v>668</v>
      </c>
      <c r="D58" s="954"/>
      <c r="E58" s="955">
        <v>45</v>
      </c>
      <c r="F58" s="950"/>
      <c r="G58">
        <v>1000</v>
      </c>
      <c r="H58" s="561">
        <f t="shared" si="0"/>
        <v>45000</v>
      </c>
    </row>
    <row r="59" spans="1:8" ht="15.75" thickBot="1">
      <c r="A59" s="951">
        <v>54</v>
      </c>
      <c r="B59" s="952" t="s">
        <v>693</v>
      </c>
      <c r="C59" s="953" t="s">
        <v>668</v>
      </c>
      <c r="D59" s="954">
        <v>630</v>
      </c>
      <c r="E59" s="955"/>
      <c r="F59" s="950"/>
      <c r="G59">
        <v>1000</v>
      </c>
      <c r="H59" s="561">
        <f t="shared" si="0"/>
        <v>0</v>
      </c>
    </row>
    <row r="60" spans="1:8" ht="15.75" thickBot="1">
      <c r="A60" s="951">
        <v>55</v>
      </c>
      <c r="B60" s="952" t="s">
        <v>39</v>
      </c>
      <c r="C60" s="953" t="s">
        <v>668</v>
      </c>
      <c r="D60" s="954"/>
      <c r="E60" s="955">
        <v>90</v>
      </c>
      <c r="F60" s="950"/>
      <c r="G60">
        <v>1000</v>
      </c>
      <c r="H60" s="561">
        <f t="shared" si="0"/>
        <v>90000</v>
      </c>
    </row>
    <row r="61" spans="1:8" ht="15.75" thickBot="1">
      <c r="A61" s="951">
        <v>56</v>
      </c>
      <c r="B61" s="952" t="s">
        <v>669</v>
      </c>
      <c r="C61" s="953" t="s">
        <v>668</v>
      </c>
      <c r="D61" s="954">
        <v>225</v>
      </c>
      <c r="E61" s="955"/>
      <c r="F61" s="950"/>
      <c r="G61">
        <v>1000</v>
      </c>
      <c r="H61" s="561">
        <f t="shared" si="0"/>
        <v>0</v>
      </c>
    </row>
    <row r="62" spans="1:8" ht="15.75" thickBot="1">
      <c r="A62" s="951">
        <v>57</v>
      </c>
      <c r="B62" s="952" t="s">
        <v>692</v>
      </c>
      <c r="C62" s="953" t="s">
        <v>668</v>
      </c>
      <c r="D62" s="954">
        <v>360</v>
      </c>
      <c r="E62" s="955"/>
      <c r="F62" s="950"/>
      <c r="G62">
        <v>1000</v>
      </c>
      <c r="H62" s="561">
        <f t="shared" si="0"/>
        <v>0</v>
      </c>
    </row>
    <row r="63" spans="1:8" ht="15.75" thickBot="1">
      <c r="A63" s="951">
        <v>58</v>
      </c>
      <c r="B63" s="952" t="s">
        <v>672</v>
      </c>
      <c r="C63" s="953" t="s">
        <v>668</v>
      </c>
      <c r="D63" s="954">
        <v>315</v>
      </c>
      <c r="E63" s="955"/>
      <c r="F63" s="950"/>
      <c r="G63">
        <v>1000</v>
      </c>
      <c r="H63" s="561">
        <f t="shared" si="0"/>
        <v>0</v>
      </c>
    </row>
    <row r="64" spans="1:8" ht="15.75" thickBot="1">
      <c r="A64" s="951">
        <v>59</v>
      </c>
      <c r="B64" s="952" t="s">
        <v>29</v>
      </c>
      <c r="C64" s="953" t="s">
        <v>668</v>
      </c>
      <c r="D64" s="954"/>
      <c r="E64" s="955">
        <v>45</v>
      </c>
      <c r="F64" s="950"/>
      <c r="G64">
        <v>1000</v>
      </c>
      <c r="H64" s="561">
        <f t="shared" si="0"/>
        <v>45000</v>
      </c>
    </row>
    <row r="65" spans="1:8" ht="15.75" thickBot="1">
      <c r="A65" s="951">
        <v>60</v>
      </c>
      <c r="B65" s="952" t="s">
        <v>295</v>
      </c>
      <c r="C65" s="953" t="s">
        <v>668</v>
      </c>
      <c r="D65" s="954"/>
      <c r="E65" s="955">
        <v>45</v>
      </c>
      <c r="F65" s="950"/>
      <c r="G65">
        <v>1000</v>
      </c>
      <c r="H65" s="561">
        <f t="shared" si="0"/>
        <v>45000</v>
      </c>
    </row>
    <row r="66" spans="1:8" ht="15.75" thickBot="1">
      <c r="A66" s="951">
        <v>61</v>
      </c>
      <c r="B66" s="952" t="s">
        <v>149</v>
      </c>
      <c r="C66" s="953" t="s">
        <v>674</v>
      </c>
      <c r="D66" s="954"/>
      <c r="E66" s="955" t="s">
        <v>1440</v>
      </c>
      <c r="F66" s="950"/>
      <c r="G66">
        <v>1000</v>
      </c>
      <c r="H66" s="561">
        <v>1260000</v>
      </c>
    </row>
    <row r="67" spans="1:8" ht="15.75" thickBot="1">
      <c r="A67" s="951">
        <v>62</v>
      </c>
      <c r="B67" s="952" t="s">
        <v>150</v>
      </c>
      <c r="C67" s="953" t="s">
        <v>674</v>
      </c>
      <c r="D67" s="954"/>
      <c r="E67" s="955">
        <v>630</v>
      </c>
      <c r="F67" s="950"/>
      <c r="G67">
        <v>1000</v>
      </c>
      <c r="H67" s="561">
        <f t="shared" si="0"/>
        <v>630000</v>
      </c>
    </row>
    <row r="68" spans="1:8" ht="15.75" thickBot="1">
      <c r="A68" s="951">
        <v>63</v>
      </c>
      <c r="B68" s="952" t="s">
        <v>182</v>
      </c>
      <c r="C68" s="953" t="s">
        <v>674</v>
      </c>
      <c r="D68" s="954"/>
      <c r="E68" s="955" t="s">
        <v>1441</v>
      </c>
      <c r="F68" s="950"/>
      <c r="G68">
        <v>1000</v>
      </c>
      <c r="H68" s="561">
        <v>1125000</v>
      </c>
    </row>
    <row r="69" spans="1:8" ht="15.75" thickBot="1">
      <c r="A69" s="951">
        <v>64</v>
      </c>
      <c r="B69" s="952" t="s">
        <v>675</v>
      </c>
      <c r="C69" s="953" t="s">
        <v>674</v>
      </c>
      <c r="D69" s="954">
        <v>225</v>
      </c>
      <c r="E69" s="955"/>
      <c r="F69" s="950"/>
      <c r="G69">
        <v>1000</v>
      </c>
      <c r="H69" s="561">
        <f t="shared" si="0"/>
        <v>0</v>
      </c>
    </row>
    <row r="70" spans="1:8" ht="15.75" thickBot="1">
      <c r="A70" s="719" t="s">
        <v>676</v>
      </c>
      <c r="B70" s="720"/>
      <c r="C70" s="712"/>
      <c r="D70" s="713">
        <v>17820000</v>
      </c>
      <c r="E70" s="956">
        <v>23355000</v>
      </c>
      <c r="F70" s="957"/>
    </row>
    <row r="71" spans="1:8" ht="15.75" thickBot="1">
      <c r="A71" s="961" t="s">
        <v>753</v>
      </c>
      <c r="B71" s="962"/>
      <c r="C71" s="958"/>
      <c r="D71" s="963">
        <v>41175000</v>
      </c>
      <c r="E71" s="964"/>
      <c r="F71" s="957"/>
    </row>
    <row r="72" spans="1:8">
      <c r="A72" s="959" t="s">
        <v>1442</v>
      </c>
    </row>
    <row r="73" spans="1:8">
      <c r="A73" s="960"/>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126"/>
  <sheetViews>
    <sheetView topLeftCell="A86" workbookViewId="0">
      <selection activeCell="C23" sqref="C23"/>
    </sheetView>
  </sheetViews>
  <sheetFormatPr defaultRowHeight="15"/>
  <cols>
    <col min="2" max="2" width="33.140625" customWidth="1"/>
    <col min="4" max="5" width="13.5703125" customWidth="1"/>
  </cols>
  <sheetData>
    <row r="1" spans="1:6" ht="15.75">
      <c r="A1" s="205" t="s">
        <v>1161</v>
      </c>
    </row>
    <row r="2" spans="1:6" ht="15.75">
      <c r="A2" s="205"/>
    </row>
    <row r="3" spans="1:6">
      <c r="A3" s="686" t="s">
        <v>1162</v>
      </c>
    </row>
    <row r="4" spans="1:6" ht="15.75">
      <c r="A4" s="232" t="s">
        <v>1443</v>
      </c>
    </row>
    <row r="5" spans="1:6" ht="16.5" thickBot="1">
      <c r="A5" s="232"/>
    </row>
    <row r="6" spans="1:6" ht="31.5" customHeight="1" thickBot="1">
      <c r="A6" s="380" t="s">
        <v>0</v>
      </c>
      <c r="B6" s="380" t="s">
        <v>121</v>
      </c>
      <c r="C6" s="380" t="s">
        <v>632</v>
      </c>
      <c r="D6" s="398" t="s">
        <v>894</v>
      </c>
      <c r="E6" s="399"/>
      <c r="F6" s="380" t="s">
        <v>699</v>
      </c>
    </row>
    <row r="7" spans="1:6" ht="16.5" thickBot="1">
      <c r="A7" s="400"/>
      <c r="B7" s="400"/>
      <c r="C7" s="400"/>
      <c r="D7" s="381" t="s">
        <v>828</v>
      </c>
      <c r="E7" s="381" t="s">
        <v>829</v>
      </c>
      <c r="F7" s="400"/>
    </row>
    <row r="8" spans="1:6" ht="16.5" thickBot="1">
      <c r="A8" s="382">
        <v>1</v>
      </c>
      <c r="B8" s="687" t="s">
        <v>39</v>
      </c>
      <c r="C8" s="688" t="s">
        <v>668</v>
      </c>
      <c r="D8" s="386"/>
      <c r="E8" s="689">
        <v>20000</v>
      </c>
      <c r="F8" s="710"/>
    </row>
    <row r="9" spans="1:6" ht="63.75" customHeight="1" thickBot="1">
      <c r="A9" s="382">
        <v>2</v>
      </c>
      <c r="B9" s="687" t="s">
        <v>262</v>
      </c>
      <c r="C9" s="688" t="s">
        <v>668</v>
      </c>
      <c r="D9" s="386"/>
      <c r="E9" s="689">
        <v>30000</v>
      </c>
      <c r="F9" s="710"/>
    </row>
    <row r="10" spans="1:6" ht="63.75" customHeight="1" thickBot="1">
      <c r="A10" s="382">
        <v>3</v>
      </c>
      <c r="B10" s="687" t="s">
        <v>435</v>
      </c>
      <c r="C10" s="688" t="s">
        <v>668</v>
      </c>
      <c r="D10" s="386"/>
      <c r="E10" s="689">
        <v>20000</v>
      </c>
      <c r="F10" s="710"/>
    </row>
    <row r="11" spans="1:6" ht="48" customHeight="1" thickBot="1">
      <c r="A11" s="382">
        <v>4</v>
      </c>
      <c r="B11" s="687" t="s">
        <v>655</v>
      </c>
      <c r="C11" s="688" t="s">
        <v>653</v>
      </c>
      <c r="D11" s="689">
        <v>30000</v>
      </c>
      <c r="E11" s="386"/>
      <c r="F11" s="710"/>
    </row>
    <row r="12" spans="1:6" ht="48" customHeight="1" thickBot="1">
      <c r="A12" s="382">
        <v>5</v>
      </c>
      <c r="B12" s="687" t="s">
        <v>690</v>
      </c>
      <c r="C12" s="688" t="s">
        <v>653</v>
      </c>
      <c r="D12" s="386"/>
      <c r="E12" s="689">
        <v>30000</v>
      </c>
      <c r="F12" s="710"/>
    </row>
    <row r="13" spans="1:6" ht="63.75" customHeight="1" thickBot="1">
      <c r="A13" s="382">
        <v>6</v>
      </c>
      <c r="B13" s="687" t="s">
        <v>56</v>
      </c>
      <c r="C13" s="688" t="s">
        <v>653</v>
      </c>
      <c r="D13" s="386"/>
      <c r="E13" s="689">
        <v>90000</v>
      </c>
      <c r="F13" s="710"/>
    </row>
    <row r="14" spans="1:6" ht="48" customHeight="1" thickBot="1">
      <c r="A14" s="382">
        <v>7</v>
      </c>
      <c r="B14" s="687" t="s">
        <v>50</v>
      </c>
      <c r="C14" s="688" t="s">
        <v>653</v>
      </c>
      <c r="D14" s="386"/>
      <c r="E14" s="689">
        <v>70000</v>
      </c>
      <c r="F14" s="710"/>
    </row>
    <row r="15" spans="1:6" ht="48" customHeight="1" thickBot="1">
      <c r="A15" s="382">
        <v>8</v>
      </c>
      <c r="B15" s="687" t="s">
        <v>683</v>
      </c>
      <c r="C15" s="688" t="s">
        <v>646</v>
      </c>
      <c r="D15" s="689">
        <v>30000</v>
      </c>
      <c r="E15" s="386"/>
      <c r="F15" s="710"/>
    </row>
    <row r="16" spans="1:6" ht="48" customHeight="1" thickBot="1">
      <c r="A16" s="382">
        <v>9</v>
      </c>
      <c r="B16" s="687" t="s">
        <v>148</v>
      </c>
      <c r="C16" s="688" t="s">
        <v>646</v>
      </c>
      <c r="D16" s="386"/>
      <c r="E16" s="689">
        <v>40000</v>
      </c>
      <c r="F16" s="710"/>
    </row>
    <row r="17" spans="1:6" ht="32.25" customHeight="1" thickBot="1">
      <c r="A17" s="382">
        <v>10</v>
      </c>
      <c r="B17" s="687" t="s">
        <v>723</v>
      </c>
      <c r="C17" s="688" t="s">
        <v>646</v>
      </c>
      <c r="D17" s="689">
        <v>50000</v>
      </c>
      <c r="E17" s="386"/>
      <c r="F17" s="710"/>
    </row>
    <row r="18" spans="1:6" ht="48" customHeight="1" thickBot="1">
      <c r="A18" s="382">
        <v>11</v>
      </c>
      <c r="B18" s="687" t="s">
        <v>168</v>
      </c>
      <c r="C18" s="688" t="s">
        <v>646</v>
      </c>
      <c r="D18" s="386"/>
      <c r="E18" s="689">
        <v>30000</v>
      </c>
      <c r="F18" s="710"/>
    </row>
    <row r="19" spans="1:6" ht="32.25" customHeight="1" thickBot="1">
      <c r="A19" s="382">
        <v>12</v>
      </c>
      <c r="B19" s="687" t="s">
        <v>72</v>
      </c>
      <c r="C19" s="688" t="s">
        <v>674</v>
      </c>
      <c r="D19" s="386"/>
      <c r="E19" s="689">
        <v>50000</v>
      </c>
      <c r="F19" s="710"/>
    </row>
    <row r="20" spans="1:6" ht="32.25" customHeight="1" thickBot="1">
      <c r="A20" s="382">
        <v>13</v>
      </c>
      <c r="B20" s="687" t="s">
        <v>742</v>
      </c>
      <c r="C20" s="688" t="s">
        <v>674</v>
      </c>
      <c r="D20" s="689">
        <v>110000</v>
      </c>
      <c r="E20" s="386"/>
      <c r="F20" s="710"/>
    </row>
    <row r="21" spans="1:6" ht="48" customHeight="1" thickBot="1">
      <c r="A21" s="382">
        <v>14</v>
      </c>
      <c r="B21" s="687" t="s">
        <v>221</v>
      </c>
      <c r="C21" s="688" t="s">
        <v>649</v>
      </c>
      <c r="D21" s="386"/>
      <c r="E21" s="689">
        <v>60000</v>
      </c>
      <c r="F21" s="710"/>
    </row>
    <row r="22" spans="1:6" ht="48" customHeight="1" thickBot="1">
      <c r="A22" s="382">
        <v>15</v>
      </c>
      <c r="B22" s="687" t="s">
        <v>686</v>
      </c>
      <c r="C22" s="688" t="s">
        <v>649</v>
      </c>
      <c r="D22" s="689">
        <v>60000</v>
      </c>
      <c r="E22" s="386"/>
      <c r="F22" s="710"/>
    </row>
    <row r="23" spans="1:6" ht="48" customHeight="1" thickBot="1">
      <c r="A23" s="382">
        <v>16</v>
      </c>
      <c r="B23" s="687" t="s">
        <v>187</v>
      </c>
      <c r="C23" s="688" t="s">
        <v>649</v>
      </c>
      <c r="D23" s="386"/>
      <c r="E23" s="689">
        <v>140000</v>
      </c>
      <c r="F23" s="710"/>
    </row>
    <row r="24" spans="1:6" ht="32.25" customHeight="1" thickBot="1">
      <c r="A24" s="382">
        <v>17</v>
      </c>
      <c r="B24" s="687" t="s">
        <v>152</v>
      </c>
      <c r="C24" s="688" t="s">
        <v>649</v>
      </c>
      <c r="D24" s="386"/>
      <c r="E24" s="689">
        <v>40000</v>
      </c>
      <c r="F24" s="710"/>
    </row>
    <row r="25" spans="1:6" ht="32.25" customHeight="1" thickBot="1">
      <c r="A25" s="382">
        <v>18</v>
      </c>
      <c r="B25" s="687" t="s">
        <v>91</v>
      </c>
      <c r="C25" s="688" t="s">
        <v>650</v>
      </c>
      <c r="D25" s="386"/>
      <c r="E25" s="689">
        <v>10000</v>
      </c>
      <c r="F25" s="710"/>
    </row>
    <row r="26" spans="1:6" ht="32.25" customHeight="1" thickBot="1">
      <c r="A26" s="382">
        <v>19</v>
      </c>
      <c r="B26" s="687" t="s">
        <v>688</v>
      </c>
      <c r="C26" s="688" t="s">
        <v>650</v>
      </c>
      <c r="D26" s="689">
        <v>60000</v>
      </c>
      <c r="E26" s="386"/>
      <c r="F26" s="710"/>
    </row>
    <row r="27" spans="1:6" ht="48" customHeight="1" thickBot="1">
      <c r="A27" s="382">
        <v>20</v>
      </c>
      <c r="B27" s="687" t="s">
        <v>86</v>
      </c>
      <c r="C27" s="688" t="s">
        <v>642</v>
      </c>
      <c r="D27" s="386"/>
      <c r="E27" s="689">
        <v>10000</v>
      </c>
      <c r="F27" s="710"/>
    </row>
    <row r="28" spans="1:6" ht="32.25" customHeight="1" thickBot="1">
      <c r="A28" s="382">
        <v>21</v>
      </c>
      <c r="B28" s="687" t="s">
        <v>644</v>
      </c>
      <c r="C28" s="688" t="s">
        <v>642</v>
      </c>
      <c r="D28" s="386"/>
      <c r="E28" s="689">
        <v>20000</v>
      </c>
      <c r="F28" s="710"/>
    </row>
    <row r="29" spans="1:6" ht="48" customHeight="1" thickBot="1">
      <c r="A29" s="382">
        <v>22</v>
      </c>
      <c r="B29" s="687" t="s">
        <v>682</v>
      </c>
      <c r="C29" s="688" t="s">
        <v>642</v>
      </c>
      <c r="D29" s="689">
        <v>50000</v>
      </c>
      <c r="E29" s="386"/>
      <c r="F29" s="710"/>
    </row>
    <row r="30" spans="1:6" ht="48" customHeight="1" thickBot="1">
      <c r="A30" s="382">
        <v>23</v>
      </c>
      <c r="B30" s="687" t="s">
        <v>715</v>
      </c>
      <c r="C30" s="688" t="s">
        <v>642</v>
      </c>
      <c r="D30" s="689">
        <v>40000</v>
      </c>
      <c r="E30" s="386"/>
      <c r="F30" s="710"/>
    </row>
    <row r="31" spans="1:6" ht="32.25" customHeight="1" thickBot="1">
      <c r="A31" s="382">
        <v>24</v>
      </c>
      <c r="B31" s="687" t="s">
        <v>645</v>
      </c>
      <c r="C31" s="688" t="s">
        <v>642</v>
      </c>
      <c r="D31" s="689">
        <v>50000</v>
      </c>
      <c r="E31" s="386"/>
      <c r="F31" s="710"/>
    </row>
    <row r="32" spans="1:6" ht="48" customHeight="1" thickBot="1">
      <c r="A32" s="382">
        <v>25</v>
      </c>
      <c r="B32" s="687" t="s">
        <v>637</v>
      </c>
      <c r="C32" s="688" t="s">
        <v>636</v>
      </c>
      <c r="D32" s="689">
        <v>10000</v>
      </c>
      <c r="E32" s="386"/>
      <c r="F32" s="710"/>
    </row>
    <row r="33" spans="1:6" ht="32.25" customHeight="1" thickBot="1">
      <c r="A33" s="382">
        <v>26</v>
      </c>
      <c r="B33" s="687" t="s">
        <v>98</v>
      </c>
      <c r="C33" s="688" t="s">
        <v>636</v>
      </c>
      <c r="D33" s="386"/>
      <c r="E33" s="689">
        <v>20000</v>
      </c>
      <c r="F33" s="710"/>
    </row>
    <row r="34" spans="1:6" ht="48" customHeight="1" thickBot="1">
      <c r="A34" s="382">
        <v>27</v>
      </c>
      <c r="B34" s="687" t="s">
        <v>210</v>
      </c>
      <c r="C34" s="688" t="s">
        <v>636</v>
      </c>
      <c r="D34" s="386"/>
      <c r="E34" s="689">
        <v>30000</v>
      </c>
      <c r="F34" s="710"/>
    </row>
    <row r="35" spans="1:6" ht="63.75" customHeight="1" thickBot="1">
      <c r="A35" s="382">
        <v>28</v>
      </c>
      <c r="B35" s="687" t="s">
        <v>154</v>
      </c>
      <c r="C35" s="688" t="s">
        <v>636</v>
      </c>
      <c r="D35" s="386"/>
      <c r="E35" s="689">
        <v>70000</v>
      </c>
      <c r="F35" s="710"/>
    </row>
    <row r="36" spans="1:6" ht="63.75" customHeight="1" thickBot="1">
      <c r="A36" s="382">
        <v>29</v>
      </c>
      <c r="B36" s="687" t="s">
        <v>662</v>
      </c>
      <c r="C36" s="688" t="s">
        <v>746</v>
      </c>
      <c r="D36" s="689">
        <v>20000</v>
      </c>
      <c r="E36" s="386"/>
      <c r="F36" s="710"/>
    </row>
    <row r="37" spans="1:6" ht="16.5" thickBot="1">
      <c r="A37" s="382">
        <v>30</v>
      </c>
      <c r="B37" s="687" t="s">
        <v>1247</v>
      </c>
      <c r="C37" s="688" t="s">
        <v>756</v>
      </c>
      <c r="D37" s="689">
        <v>20000</v>
      </c>
      <c r="E37" s="386"/>
      <c r="F37" s="710"/>
    </row>
    <row r="38" spans="1:6" ht="16.5" thickBot="1">
      <c r="A38" s="401" t="s">
        <v>758</v>
      </c>
      <c r="B38" s="402"/>
      <c r="C38" s="336"/>
      <c r="D38" s="388">
        <v>530000</v>
      </c>
      <c r="E38" s="388">
        <v>780000</v>
      </c>
      <c r="F38" s="389"/>
    </row>
    <row r="39" spans="1:6" ht="16.5" customHeight="1" thickBot="1">
      <c r="A39" s="401" t="s">
        <v>864</v>
      </c>
      <c r="B39" s="402"/>
      <c r="C39" s="336"/>
      <c r="D39" s="403">
        <v>1310000</v>
      </c>
      <c r="E39" s="404"/>
      <c r="F39" s="390"/>
    </row>
    <row r="40" spans="1:6" ht="15.75">
      <c r="A40" s="365" t="s">
        <v>1444</v>
      </c>
    </row>
    <row r="41" spans="1:6">
      <c r="A41" s="244"/>
    </row>
    <row r="42" spans="1:6" ht="16.5">
      <c r="A42" s="246"/>
      <c r="B42" s="248"/>
    </row>
    <row r="43" spans="1:6" ht="15.75">
      <c r="A43" s="205" t="s">
        <v>678</v>
      </c>
    </row>
    <row r="44" spans="1:6" ht="15.75">
      <c r="A44" s="205"/>
    </row>
    <row r="45" spans="1:6" ht="15.75">
      <c r="A45" s="205" t="s">
        <v>1214</v>
      </c>
    </row>
    <row r="46" spans="1:6" ht="15.75">
      <c r="A46" s="232" t="s">
        <v>1445</v>
      </c>
    </row>
    <row r="47" spans="1:6" ht="16.5" thickBot="1">
      <c r="A47" s="232"/>
    </row>
    <row r="48" spans="1:6" ht="57.75" customHeight="1" thickBot="1">
      <c r="A48" s="233" t="s">
        <v>0</v>
      </c>
      <c r="B48" s="234" t="s">
        <v>121</v>
      </c>
      <c r="C48" s="234" t="s">
        <v>632</v>
      </c>
      <c r="D48" s="234" t="s">
        <v>633</v>
      </c>
      <c r="E48" s="235" t="s">
        <v>634</v>
      </c>
    </row>
    <row r="49" spans="1:6" ht="48" customHeight="1" thickBot="1">
      <c r="A49" s="255">
        <v>1</v>
      </c>
      <c r="B49" s="256" t="s">
        <v>1201</v>
      </c>
      <c r="C49" s="255" t="s">
        <v>1428</v>
      </c>
      <c r="D49" s="257">
        <v>3000</v>
      </c>
      <c r="E49" s="258"/>
    </row>
    <row r="50" spans="1:6" ht="48" customHeight="1" thickBot="1">
      <c r="A50" s="255">
        <v>2</v>
      </c>
      <c r="B50" s="256" t="s">
        <v>1208</v>
      </c>
      <c r="C50" s="255" t="s">
        <v>1428</v>
      </c>
      <c r="D50" s="257">
        <v>3000</v>
      </c>
      <c r="E50" s="258"/>
    </row>
    <row r="51" spans="1:6" ht="48" customHeight="1" thickBot="1">
      <c r="A51" s="255">
        <v>3</v>
      </c>
      <c r="B51" s="256" t="s">
        <v>1203</v>
      </c>
      <c r="C51" s="255" t="s">
        <v>1428</v>
      </c>
      <c r="D51" s="257">
        <v>3000</v>
      </c>
      <c r="E51" s="258"/>
    </row>
    <row r="52" spans="1:6" ht="32.25" thickBot="1">
      <c r="A52" s="255">
        <v>4</v>
      </c>
      <c r="B52" s="256" t="s">
        <v>842</v>
      </c>
      <c r="C52" s="255" t="s">
        <v>1446</v>
      </c>
      <c r="D52" s="257">
        <v>3000</v>
      </c>
      <c r="E52" s="258"/>
    </row>
    <row r="53" spans="1:6" ht="16.5" thickBot="1">
      <c r="A53" s="288" t="s">
        <v>758</v>
      </c>
      <c r="B53" s="289"/>
      <c r="C53" s="260"/>
      <c r="D53" s="418">
        <v>12</v>
      </c>
      <c r="E53" s="262"/>
    </row>
    <row r="54" spans="1:6">
      <c r="A54" s="244" t="s">
        <v>1447</v>
      </c>
    </row>
    <row r="55" spans="1:6">
      <c r="A55" s="244"/>
    </row>
    <row r="56" spans="1:6">
      <c r="A56" s="691"/>
      <c r="B56" s="248"/>
    </row>
    <row r="57" spans="1:6" ht="15.75">
      <c r="A57" s="205" t="s">
        <v>696</v>
      </c>
    </row>
    <row r="58" spans="1:6" ht="15.75">
      <c r="A58" s="205"/>
    </row>
    <row r="59" spans="1:6" ht="15.75">
      <c r="A59" s="205" t="s">
        <v>1212</v>
      </c>
    </row>
    <row r="60" spans="1:6" ht="15.75">
      <c r="A60" s="232" t="s">
        <v>1448</v>
      </c>
    </row>
    <row r="61" spans="1:6" ht="16.5" thickBot="1">
      <c r="A61" s="232"/>
    </row>
    <row r="62" spans="1:6" ht="31.5" customHeight="1" thickBot="1">
      <c r="A62" s="380" t="s">
        <v>0</v>
      </c>
      <c r="B62" s="380" t="s">
        <v>121</v>
      </c>
      <c r="C62" s="380" t="s">
        <v>632</v>
      </c>
      <c r="D62" s="398" t="s">
        <v>894</v>
      </c>
      <c r="E62" s="399"/>
      <c r="F62" s="380" t="s">
        <v>699</v>
      </c>
    </row>
    <row r="63" spans="1:6" ht="16.5" thickBot="1">
      <c r="A63" s="400"/>
      <c r="B63" s="400"/>
      <c r="C63" s="400"/>
      <c r="D63" s="381" t="s">
        <v>828</v>
      </c>
      <c r="E63" s="381" t="s">
        <v>829</v>
      </c>
      <c r="F63" s="400"/>
    </row>
    <row r="64" spans="1:6" ht="17.25" thickBot="1">
      <c r="A64" s="382">
        <v>1</v>
      </c>
      <c r="B64" s="383" t="s">
        <v>96</v>
      </c>
      <c r="C64" s="407" t="s">
        <v>717</v>
      </c>
      <c r="D64" s="312"/>
      <c r="E64" s="313">
        <v>3000</v>
      </c>
      <c r="F64" s="386"/>
    </row>
    <row r="65" spans="1:6" ht="30.75" customHeight="1" thickBot="1">
      <c r="A65" s="382">
        <v>2</v>
      </c>
      <c r="B65" s="383" t="s">
        <v>98</v>
      </c>
      <c r="C65" s="407" t="s">
        <v>717</v>
      </c>
      <c r="D65" s="312"/>
      <c r="E65" s="313">
        <v>3000</v>
      </c>
      <c r="F65" s="386"/>
    </row>
    <row r="66" spans="1:6" ht="45.75" customHeight="1" thickBot="1">
      <c r="A66" s="382">
        <v>3</v>
      </c>
      <c r="B66" s="383" t="s">
        <v>207</v>
      </c>
      <c r="C66" s="407" t="s">
        <v>642</v>
      </c>
      <c r="D66" s="312"/>
      <c r="E66" s="313">
        <v>3000</v>
      </c>
      <c r="F66" s="387"/>
    </row>
    <row r="67" spans="1:6" ht="30.75" hidden="1" customHeight="1" thickBot="1">
      <c r="A67" s="382">
        <v>4</v>
      </c>
      <c r="B67" s="383" t="s">
        <v>645</v>
      </c>
      <c r="C67" s="407" t="s">
        <v>642</v>
      </c>
      <c r="D67" s="313">
        <v>6000</v>
      </c>
      <c r="E67" s="386"/>
      <c r="F67" s="386"/>
    </row>
    <row r="68" spans="1:6" ht="45.75" hidden="1" customHeight="1" thickBot="1">
      <c r="A68" s="382">
        <v>5</v>
      </c>
      <c r="B68" s="383" t="s">
        <v>682</v>
      </c>
      <c r="C68" s="407" t="s">
        <v>642</v>
      </c>
      <c r="D68" s="313">
        <v>3000</v>
      </c>
      <c r="E68" s="386"/>
      <c r="F68" s="386"/>
    </row>
    <row r="69" spans="1:6" ht="66.75" hidden="1" customHeight="1" thickBot="1">
      <c r="A69" s="382">
        <v>6</v>
      </c>
      <c r="B69" s="929" t="s">
        <v>289</v>
      </c>
      <c r="C69" s="407" t="s">
        <v>646</v>
      </c>
      <c r="D69" s="312"/>
      <c r="E69" s="313">
        <v>15000</v>
      </c>
      <c r="F69" s="386"/>
    </row>
    <row r="70" spans="1:6" ht="33.75" hidden="1" customHeight="1" thickBot="1">
      <c r="A70" s="382">
        <v>7</v>
      </c>
      <c r="B70" s="929" t="s">
        <v>723</v>
      </c>
      <c r="C70" s="407" t="s">
        <v>646</v>
      </c>
      <c r="D70" s="313">
        <v>3000</v>
      </c>
      <c r="E70" s="387"/>
      <c r="F70" s="387"/>
    </row>
    <row r="71" spans="1:6" ht="50.25" customHeight="1" thickBot="1">
      <c r="A71" s="382">
        <v>8</v>
      </c>
      <c r="B71" s="929" t="s">
        <v>148</v>
      </c>
      <c r="C71" s="407" t="s">
        <v>646</v>
      </c>
      <c r="D71" s="312"/>
      <c r="E71" s="313">
        <v>3000</v>
      </c>
      <c r="F71" s="387"/>
    </row>
    <row r="72" spans="1:6" ht="50.25" customHeight="1" thickBot="1">
      <c r="A72" s="382">
        <v>9</v>
      </c>
      <c r="B72" s="929" t="s">
        <v>168</v>
      </c>
      <c r="C72" s="407" t="s">
        <v>646</v>
      </c>
      <c r="D72" s="312"/>
      <c r="E72" s="313">
        <v>3000</v>
      </c>
      <c r="F72" s="386"/>
    </row>
    <row r="73" spans="1:6" ht="50.25" customHeight="1" thickBot="1">
      <c r="A73" s="382">
        <v>10</v>
      </c>
      <c r="B73" s="929" t="s">
        <v>65</v>
      </c>
      <c r="C73" s="407" t="s">
        <v>646</v>
      </c>
      <c r="D73" s="312"/>
      <c r="E73" s="313">
        <v>3000</v>
      </c>
      <c r="F73" s="387"/>
    </row>
    <row r="74" spans="1:6" ht="50.25" customHeight="1" thickBot="1">
      <c r="A74" s="382">
        <v>11</v>
      </c>
      <c r="B74" s="929" t="s">
        <v>221</v>
      </c>
      <c r="C74" s="407" t="s">
        <v>649</v>
      </c>
      <c r="D74" s="312"/>
      <c r="E74" s="313">
        <v>3000</v>
      </c>
      <c r="F74" s="387"/>
    </row>
    <row r="75" spans="1:6" ht="50.25" hidden="1" customHeight="1" thickBot="1">
      <c r="A75" s="382">
        <v>12</v>
      </c>
      <c r="B75" s="929" t="s">
        <v>205</v>
      </c>
      <c r="C75" s="407" t="s">
        <v>649</v>
      </c>
      <c r="D75" s="312"/>
      <c r="E75" s="313">
        <v>9000</v>
      </c>
      <c r="F75" s="387"/>
    </row>
    <row r="76" spans="1:6" ht="50.25" hidden="1" customHeight="1" thickBot="1">
      <c r="A76" s="382">
        <v>13</v>
      </c>
      <c r="B76" s="929" t="s">
        <v>686</v>
      </c>
      <c r="C76" s="407" t="s">
        <v>649</v>
      </c>
      <c r="D76" s="313">
        <v>3000</v>
      </c>
      <c r="E76" s="386"/>
      <c r="F76" s="387"/>
    </row>
    <row r="77" spans="1:6" ht="50.25" hidden="1" customHeight="1" thickBot="1">
      <c r="A77" s="382">
        <v>14</v>
      </c>
      <c r="B77" s="929" t="s">
        <v>685</v>
      </c>
      <c r="C77" s="407" t="s">
        <v>649</v>
      </c>
      <c r="D77" s="313">
        <v>6000</v>
      </c>
      <c r="E77" s="312"/>
      <c r="F77" s="387"/>
    </row>
    <row r="78" spans="1:6" ht="50.25" customHeight="1" thickBot="1">
      <c r="A78" s="382">
        <v>15</v>
      </c>
      <c r="B78" s="929" t="s">
        <v>81</v>
      </c>
      <c r="C78" s="407" t="s">
        <v>649</v>
      </c>
      <c r="D78" s="312"/>
      <c r="E78" s="313">
        <v>3000</v>
      </c>
      <c r="F78" s="387"/>
    </row>
    <row r="79" spans="1:6" ht="50.25" hidden="1" customHeight="1" thickBot="1">
      <c r="A79" s="382">
        <v>16</v>
      </c>
      <c r="B79" s="929" t="s">
        <v>684</v>
      </c>
      <c r="C79" s="407" t="s">
        <v>649</v>
      </c>
      <c r="D79" s="313">
        <v>6000</v>
      </c>
      <c r="E79" s="312"/>
      <c r="F79" s="387"/>
    </row>
    <row r="80" spans="1:6" ht="45.75" customHeight="1" thickBot="1">
      <c r="A80" s="965">
        <v>17</v>
      </c>
      <c r="B80" s="966" t="s">
        <v>831</v>
      </c>
      <c r="C80" s="967" t="s">
        <v>649</v>
      </c>
      <c r="D80" s="968"/>
      <c r="E80" s="969">
        <v>3000</v>
      </c>
      <c r="F80" s="970"/>
    </row>
    <row r="81" spans="1:6" ht="30.75" hidden="1" customHeight="1" thickBot="1">
      <c r="A81" s="382">
        <v>18</v>
      </c>
      <c r="B81" s="383" t="s">
        <v>91</v>
      </c>
      <c r="C81" s="407" t="s">
        <v>650</v>
      </c>
      <c r="D81" s="312"/>
      <c r="E81" s="313">
        <v>6000</v>
      </c>
      <c r="F81" s="387"/>
    </row>
    <row r="82" spans="1:6" ht="60.75" hidden="1" customHeight="1" thickBot="1">
      <c r="A82" s="382">
        <v>19</v>
      </c>
      <c r="B82" s="383" t="s">
        <v>89</v>
      </c>
      <c r="C82" s="407" t="s">
        <v>650</v>
      </c>
      <c r="D82" s="312"/>
      <c r="E82" s="313">
        <v>9000</v>
      </c>
      <c r="F82" s="387"/>
    </row>
    <row r="83" spans="1:6" ht="60.75" customHeight="1" thickBot="1">
      <c r="A83" s="382">
        <v>20</v>
      </c>
      <c r="B83" s="383" t="s">
        <v>83</v>
      </c>
      <c r="C83" s="407" t="s">
        <v>650</v>
      </c>
      <c r="D83" s="312"/>
      <c r="E83" s="313">
        <v>3000</v>
      </c>
      <c r="F83" s="387"/>
    </row>
    <row r="84" spans="1:6" ht="45.75" customHeight="1" thickBot="1">
      <c r="A84" s="382">
        <v>21</v>
      </c>
      <c r="B84" s="383" t="s">
        <v>269</v>
      </c>
      <c r="C84" s="407" t="s">
        <v>650</v>
      </c>
      <c r="D84" s="312"/>
      <c r="E84" s="313">
        <v>3000</v>
      </c>
      <c r="F84" s="387"/>
    </row>
    <row r="85" spans="1:6" ht="30.75" hidden="1" customHeight="1" thickBot="1">
      <c r="A85" s="382">
        <v>22</v>
      </c>
      <c r="B85" s="383" t="s">
        <v>651</v>
      </c>
      <c r="C85" s="407" t="s">
        <v>650</v>
      </c>
      <c r="D85" s="313">
        <v>3000</v>
      </c>
      <c r="E85" s="312"/>
      <c r="F85" s="387"/>
    </row>
    <row r="86" spans="1:6" ht="50.25" customHeight="1" thickBot="1">
      <c r="A86" s="382">
        <v>23</v>
      </c>
      <c r="B86" s="929" t="s">
        <v>147</v>
      </c>
      <c r="C86" s="407" t="s">
        <v>653</v>
      </c>
      <c r="D86" s="312"/>
      <c r="E86" s="313">
        <v>3000</v>
      </c>
      <c r="F86" s="387"/>
    </row>
    <row r="87" spans="1:6" ht="33.75" hidden="1" customHeight="1" thickBot="1">
      <c r="A87" s="382">
        <v>24</v>
      </c>
      <c r="B87" s="929" t="s">
        <v>731</v>
      </c>
      <c r="C87" s="407" t="s">
        <v>653</v>
      </c>
      <c r="D87" s="313">
        <v>6000</v>
      </c>
      <c r="E87" s="386"/>
      <c r="F87" s="387"/>
    </row>
    <row r="88" spans="1:6" ht="50.25" hidden="1" customHeight="1" thickBot="1">
      <c r="A88" s="382">
        <v>25</v>
      </c>
      <c r="B88" s="929" t="s">
        <v>659</v>
      </c>
      <c r="C88" s="407" t="s">
        <v>653</v>
      </c>
      <c r="D88" s="313">
        <v>3000</v>
      </c>
      <c r="E88" s="386"/>
      <c r="F88" s="387"/>
    </row>
    <row r="89" spans="1:6" ht="50.25" hidden="1" customHeight="1" thickBot="1">
      <c r="A89" s="382">
        <v>26</v>
      </c>
      <c r="B89" s="929" t="s">
        <v>689</v>
      </c>
      <c r="C89" s="407" t="s">
        <v>653</v>
      </c>
      <c r="D89" s="313">
        <v>6000</v>
      </c>
      <c r="E89" s="312"/>
      <c r="F89" s="387"/>
    </row>
    <row r="90" spans="1:6" ht="50.25" customHeight="1" thickBot="1">
      <c r="A90" s="382">
        <v>27</v>
      </c>
      <c r="B90" s="929" t="s">
        <v>60</v>
      </c>
      <c r="C90" s="407" t="s">
        <v>653</v>
      </c>
      <c r="D90" s="312"/>
      <c r="E90" s="313">
        <v>3000</v>
      </c>
      <c r="F90" s="387"/>
    </row>
    <row r="91" spans="1:6" ht="50.25" hidden="1" customHeight="1" thickBot="1">
      <c r="A91" s="382">
        <v>28</v>
      </c>
      <c r="B91" s="929" t="s">
        <v>655</v>
      </c>
      <c r="C91" s="407" t="s">
        <v>653</v>
      </c>
      <c r="D91" s="313">
        <v>3000</v>
      </c>
      <c r="E91" s="386"/>
      <c r="F91" s="387"/>
    </row>
    <row r="92" spans="1:6" ht="50.25" customHeight="1" thickBot="1">
      <c r="A92" s="382">
        <v>29</v>
      </c>
      <c r="B92" s="929" t="s">
        <v>46</v>
      </c>
      <c r="C92" s="407" t="s">
        <v>653</v>
      </c>
      <c r="D92" s="312"/>
      <c r="E92" s="313">
        <v>3000</v>
      </c>
      <c r="F92" s="387"/>
    </row>
    <row r="93" spans="1:6" ht="66.75" customHeight="1" thickBot="1">
      <c r="A93" s="965">
        <v>30</v>
      </c>
      <c r="B93" s="971" t="s">
        <v>690</v>
      </c>
      <c r="C93" s="967" t="s">
        <v>653</v>
      </c>
      <c r="D93" s="968"/>
      <c r="E93" s="969">
        <v>3000</v>
      </c>
      <c r="F93" s="970"/>
    </row>
    <row r="94" spans="1:6" ht="50.25" customHeight="1" thickBot="1">
      <c r="A94" s="382">
        <v>31</v>
      </c>
      <c r="B94" s="929" t="s">
        <v>48</v>
      </c>
      <c r="C94" s="407" t="s">
        <v>653</v>
      </c>
      <c r="D94" s="312"/>
      <c r="E94" s="313">
        <v>3000</v>
      </c>
      <c r="F94" s="387"/>
    </row>
    <row r="95" spans="1:6" ht="50.25" hidden="1" customHeight="1" thickBot="1">
      <c r="A95" s="382">
        <v>32</v>
      </c>
      <c r="B95" s="929" t="s">
        <v>658</v>
      </c>
      <c r="C95" s="407" t="s">
        <v>653</v>
      </c>
      <c r="D95" s="313">
        <v>3000</v>
      </c>
      <c r="E95" s="386"/>
      <c r="F95" s="387"/>
    </row>
    <row r="96" spans="1:6" ht="66.75" hidden="1" customHeight="1" thickBot="1">
      <c r="A96" s="382">
        <v>33</v>
      </c>
      <c r="B96" s="929" t="s">
        <v>662</v>
      </c>
      <c r="C96" s="407" t="s">
        <v>661</v>
      </c>
      <c r="D96" s="313">
        <v>3000</v>
      </c>
      <c r="E96" s="386"/>
      <c r="F96" s="387"/>
    </row>
    <row r="97" spans="1:6" ht="66.75" hidden="1" customHeight="1" thickBot="1">
      <c r="A97" s="382">
        <v>34</v>
      </c>
      <c r="B97" s="929" t="s">
        <v>692</v>
      </c>
      <c r="C97" s="407" t="s">
        <v>668</v>
      </c>
      <c r="D97" s="313">
        <v>3000</v>
      </c>
      <c r="E97" s="386"/>
      <c r="F97" s="387"/>
    </row>
    <row r="98" spans="1:6" ht="50.25" customHeight="1" thickBot="1">
      <c r="A98" s="382">
        <v>35</v>
      </c>
      <c r="B98" s="929" t="s">
        <v>295</v>
      </c>
      <c r="C98" s="407" t="s">
        <v>668</v>
      </c>
      <c r="D98" s="312"/>
      <c r="E98" s="313">
        <v>3000</v>
      </c>
      <c r="F98" s="387"/>
    </row>
    <row r="99" spans="1:6" ht="50.25" hidden="1" customHeight="1" thickBot="1">
      <c r="A99" s="382">
        <v>36</v>
      </c>
      <c r="B99" s="929" t="s">
        <v>672</v>
      </c>
      <c r="C99" s="407" t="s">
        <v>668</v>
      </c>
      <c r="D99" s="313">
        <v>3000</v>
      </c>
      <c r="E99" s="312"/>
      <c r="F99" s="387"/>
    </row>
    <row r="100" spans="1:6" ht="50.25" hidden="1" customHeight="1" thickBot="1">
      <c r="A100" s="382">
        <v>37</v>
      </c>
      <c r="B100" s="929" t="s">
        <v>671</v>
      </c>
      <c r="C100" s="407" t="s">
        <v>668</v>
      </c>
      <c r="D100" s="313">
        <v>9000</v>
      </c>
      <c r="E100" s="312"/>
      <c r="F100" s="387"/>
    </row>
    <row r="101" spans="1:6" ht="66.75" hidden="1" customHeight="1" thickBot="1">
      <c r="A101" s="382">
        <v>38</v>
      </c>
      <c r="B101" s="929" t="s">
        <v>25</v>
      </c>
      <c r="C101" s="407" t="s">
        <v>668</v>
      </c>
      <c r="D101" s="312"/>
      <c r="E101" s="313">
        <v>6000</v>
      </c>
      <c r="F101" s="387"/>
    </row>
    <row r="102" spans="1:6" ht="50.25" hidden="1" customHeight="1" thickBot="1">
      <c r="A102" s="382">
        <v>39</v>
      </c>
      <c r="B102" s="929" t="s">
        <v>670</v>
      </c>
      <c r="C102" s="407" t="s">
        <v>668</v>
      </c>
      <c r="D102" s="313">
        <v>6000</v>
      </c>
      <c r="E102" s="312"/>
      <c r="F102" s="387"/>
    </row>
    <row r="103" spans="1:6" ht="50.25" hidden="1" customHeight="1" thickBot="1">
      <c r="A103" s="382">
        <v>40</v>
      </c>
      <c r="B103" s="929" t="s">
        <v>732</v>
      </c>
      <c r="C103" s="407" t="s">
        <v>668</v>
      </c>
      <c r="D103" s="313">
        <v>9000</v>
      </c>
      <c r="E103" s="312"/>
      <c r="F103" s="387"/>
    </row>
    <row r="104" spans="1:6" ht="66.75" customHeight="1" thickBot="1">
      <c r="A104" s="382">
        <v>41</v>
      </c>
      <c r="B104" s="929" t="s">
        <v>273</v>
      </c>
      <c r="C104" s="407" t="s">
        <v>668</v>
      </c>
      <c r="D104" s="312"/>
      <c r="E104" s="313">
        <v>3000</v>
      </c>
      <c r="F104" s="387"/>
    </row>
    <row r="105" spans="1:6" ht="66.75" hidden="1" customHeight="1" thickBot="1">
      <c r="A105" s="382">
        <v>42</v>
      </c>
      <c r="B105" s="929" t="s">
        <v>182</v>
      </c>
      <c r="C105" s="407" t="s">
        <v>674</v>
      </c>
      <c r="D105" s="312"/>
      <c r="E105" s="313">
        <v>6000</v>
      </c>
      <c r="F105" s="387"/>
    </row>
    <row r="106" spans="1:6" ht="33.75" hidden="1" customHeight="1" thickBot="1">
      <c r="A106" s="382">
        <v>43</v>
      </c>
      <c r="B106" s="929" t="s">
        <v>149</v>
      </c>
      <c r="C106" s="407" t="s">
        <v>674</v>
      </c>
      <c r="D106" s="312"/>
      <c r="E106" s="313">
        <v>6000</v>
      </c>
      <c r="F106" s="387"/>
    </row>
    <row r="107" spans="1:6" ht="50.25" customHeight="1" thickBot="1">
      <c r="A107" s="382">
        <v>44</v>
      </c>
      <c r="B107" s="929" t="s">
        <v>72</v>
      </c>
      <c r="C107" s="407" t="s">
        <v>674</v>
      </c>
      <c r="D107" s="312"/>
      <c r="E107" s="313">
        <v>3000</v>
      </c>
      <c r="F107" s="387"/>
    </row>
    <row r="108" spans="1:6" ht="66.75" hidden="1" customHeight="1" thickBot="1">
      <c r="A108" s="382">
        <v>45</v>
      </c>
      <c r="B108" s="929" t="s">
        <v>150</v>
      </c>
      <c r="C108" s="407" t="s">
        <v>674</v>
      </c>
      <c r="D108" s="312"/>
      <c r="E108" s="313">
        <v>15000</v>
      </c>
      <c r="F108" s="387"/>
    </row>
    <row r="109" spans="1:6" ht="50.25" hidden="1" customHeight="1" thickBot="1">
      <c r="A109" s="382">
        <v>46</v>
      </c>
      <c r="B109" s="929" t="s">
        <v>675</v>
      </c>
      <c r="C109" s="407" t="s">
        <v>674</v>
      </c>
      <c r="D109" s="313">
        <v>3000</v>
      </c>
      <c r="E109" s="312"/>
      <c r="F109" s="387"/>
    </row>
    <row r="110" spans="1:6" ht="17.25" hidden="1" thickBot="1">
      <c r="A110" s="382">
        <v>47</v>
      </c>
      <c r="B110" s="929" t="s">
        <v>673</v>
      </c>
      <c r="C110" s="407" t="s">
        <v>674</v>
      </c>
      <c r="D110" s="313">
        <v>3000</v>
      </c>
      <c r="E110" s="312"/>
      <c r="F110" s="387"/>
    </row>
    <row r="111" spans="1:6" ht="16.5" hidden="1" thickBot="1">
      <c r="A111" s="401" t="s">
        <v>758</v>
      </c>
      <c r="B111" s="402"/>
      <c r="C111" s="336"/>
      <c r="D111" s="388">
        <v>90000</v>
      </c>
      <c r="E111" s="388">
        <v>129000</v>
      </c>
      <c r="F111" s="389"/>
    </row>
    <row r="112" spans="1:6" ht="16.5" hidden="1" customHeight="1" thickBot="1">
      <c r="A112" s="401" t="s">
        <v>833</v>
      </c>
      <c r="B112" s="402"/>
      <c r="C112" s="336"/>
      <c r="D112" s="403">
        <v>219000</v>
      </c>
      <c r="E112" s="404"/>
      <c r="F112" s="390"/>
    </row>
    <row r="113" spans="1:5" ht="15.75" hidden="1">
      <c r="A113" s="365" t="s">
        <v>1449</v>
      </c>
    </row>
    <row r="114" spans="1:5">
      <c r="A114" s="244"/>
    </row>
    <row r="115" spans="1:5" ht="15.75">
      <c r="A115" s="205" t="s">
        <v>704</v>
      </c>
    </row>
    <row r="116" spans="1:5" ht="15.75">
      <c r="A116" s="205"/>
    </row>
    <row r="117" spans="1:5" ht="15.75">
      <c r="A117" s="205" t="s">
        <v>1419</v>
      </c>
    </row>
    <row r="118" spans="1:5" ht="15.75">
      <c r="A118" s="232" t="s">
        <v>1448</v>
      </c>
    </row>
    <row r="119" spans="1:5" ht="16.5" thickBot="1">
      <c r="A119" s="232"/>
    </row>
    <row r="120" spans="1:5" ht="57.75" thickBot="1">
      <c r="A120" s="233" t="s">
        <v>0</v>
      </c>
      <c r="B120" s="234" t="s">
        <v>632</v>
      </c>
      <c r="C120" s="234" t="s">
        <v>633</v>
      </c>
      <c r="D120" s="233" t="s">
        <v>634</v>
      </c>
      <c r="E120" s="375"/>
    </row>
    <row r="121" spans="1:5" ht="16.5" thickBot="1">
      <c r="A121" s="255">
        <v>1</v>
      </c>
      <c r="B121" s="256" t="s">
        <v>1450</v>
      </c>
      <c r="C121" s="257">
        <v>1500000</v>
      </c>
      <c r="D121" s="759"/>
      <c r="E121" s="932"/>
    </row>
    <row r="122" spans="1:5" ht="16.5" thickBot="1">
      <c r="A122" s="255">
        <v>2</v>
      </c>
      <c r="B122" s="256" t="s">
        <v>836</v>
      </c>
      <c r="C122" s="257">
        <v>1000000</v>
      </c>
      <c r="D122" s="759"/>
      <c r="E122" s="932"/>
    </row>
    <row r="123" spans="1:5" ht="16.5" thickBot="1">
      <c r="A123" s="255">
        <v>3</v>
      </c>
      <c r="B123" s="256" t="s">
        <v>708</v>
      </c>
      <c r="C123" s="257">
        <v>1500000</v>
      </c>
      <c r="D123" s="759"/>
      <c r="E123" s="932"/>
    </row>
    <row r="124" spans="1:5" ht="17.25" thickBot="1">
      <c r="A124" s="288" t="s">
        <v>676</v>
      </c>
      <c r="B124" s="289"/>
      <c r="C124" s="931">
        <v>4000000</v>
      </c>
      <c r="D124" s="262"/>
      <c r="E124" s="551"/>
    </row>
    <row r="125" spans="1:5">
      <c r="A125" s="244" t="s">
        <v>1451</v>
      </c>
    </row>
    <row r="126" spans="1:5">
      <c r="A126" s="244"/>
    </row>
  </sheetData>
  <autoFilter ref="A63:F113">
    <filterColumn colId="4">
      <filters>
        <filter val="3,000"/>
      </filters>
    </filterColumn>
  </autoFilter>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5"/>
  <sheetViews>
    <sheetView topLeftCell="A82" workbookViewId="0">
      <selection activeCell="E86" sqref="E86"/>
    </sheetView>
  </sheetViews>
  <sheetFormatPr defaultRowHeight="15"/>
  <cols>
    <col min="2" max="2" width="40.5703125" customWidth="1"/>
    <col min="3" max="3" width="12.5703125" customWidth="1"/>
  </cols>
  <sheetData>
    <row r="1" spans="1:6" ht="15.75">
      <c r="A1" s="205" t="s">
        <v>1161</v>
      </c>
    </row>
    <row r="2" spans="1:6" ht="15.75">
      <c r="A2" s="205"/>
    </row>
    <row r="3" spans="1:6">
      <c r="A3" s="686" t="s">
        <v>1162</v>
      </c>
    </row>
    <row r="4" spans="1:6" ht="15.75">
      <c r="A4" s="232" t="s">
        <v>1452</v>
      </c>
    </row>
    <row r="5" spans="1:6" ht="16.5" thickBot="1">
      <c r="A5" s="232"/>
    </row>
    <row r="6" spans="1:6" ht="31.5" customHeight="1" thickBot="1">
      <c r="A6" s="380" t="s">
        <v>0</v>
      </c>
      <c r="B6" s="380" t="s">
        <v>121</v>
      </c>
      <c r="C6" s="380" t="s">
        <v>632</v>
      </c>
      <c r="D6" s="398" t="s">
        <v>894</v>
      </c>
      <c r="E6" s="399"/>
      <c r="F6" s="380" t="s">
        <v>699</v>
      </c>
    </row>
    <row r="7" spans="1:6" ht="16.5" thickBot="1">
      <c r="A7" s="400"/>
      <c r="B7" s="400"/>
      <c r="C7" s="400"/>
      <c r="D7" s="381" t="s">
        <v>828</v>
      </c>
      <c r="E7" s="381" t="s">
        <v>829</v>
      </c>
      <c r="F7" s="400"/>
    </row>
    <row r="8" spans="1:6" ht="16.5" thickBot="1">
      <c r="A8" s="382">
        <v>1</v>
      </c>
      <c r="B8" s="687" t="s">
        <v>39</v>
      </c>
      <c r="C8" s="688" t="s">
        <v>668</v>
      </c>
      <c r="D8" s="386"/>
      <c r="E8" s="689">
        <v>90000</v>
      </c>
      <c r="F8" s="386"/>
    </row>
    <row r="9" spans="1:6" ht="16.5" thickBot="1">
      <c r="A9" s="382">
        <v>2</v>
      </c>
      <c r="B9" s="687" t="s">
        <v>213</v>
      </c>
      <c r="C9" s="688" t="s">
        <v>668</v>
      </c>
      <c r="D9" s="386"/>
      <c r="E9" s="689">
        <v>40000</v>
      </c>
      <c r="F9" s="386"/>
    </row>
    <row r="10" spans="1:6" ht="16.5" thickBot="1">
      <c r="A10" s="382">
        <v>3</v>
      </c>
      <c r="B10" s="687" t="s">
        <v>262</v>
      </c>
      <c r="C10" s="688" t="s">
        <v>668</v>
      </c>
      <c r="D10" s="386"/>
      <c r="E10" s="689">
        <v>30000</v>
      </c>
      <c r="F10" s="386"/>
    </row>
    <row r="11" spans="1:6" ht="16.5" thickBot="1">
      <c r="A11" s="382">
        <v>4</v>
      </c>
      <c r="B11" s="687" t="s">
        <v>295</v>
      </c>
      <c r="C11" s="688" t="s">
        <v>668</v>
      </c>
      <c r="D11" s="386"/>
      <c r="E11" s="689">
        <v>20000</v>
      </c>
      <c r="F11" s="386"/>
    </row>
    <row r="12" spans="1:6" ht="16.5" thickBot="1">
      <c r="A12" s="382">
        <v>5</v>
      </c>
      <c r="B12" s="687" t="s">
        <v>435</v>
      </c>
      <c r="C12" s="688" t="s">
        <v>668</v>
      </c>
      <c r="D12" s="386"/>
      <c r="E12" s="689">
        <v>10000</v>
      </c>
      <c r="F12" s="386"/>
    </row>
    <row r="13" spans="1:6" ht="16.5" thickBot="1">
      <c r="A13" s="382">
        <v>6</v>
      </c>
      <c r="B13" s="687" t="s">
        <v>672</v>
      </c>
      <c r="C13" s="688" t="s">
        <v>668</v>
      </c>
      <c r="D13" s="689">
        <v>20000</v>
      </c>
      <c r="E13" s="386"/>
      <c r="F13" s="386"/>
    </row>
    <row r="14" spans="1:6" ht="16.5" thickBot="1">
      <c r="A14" s="382">
        <v>7</v>
      </c>
      <c r="B14" s="687" t="s">
        <v>669</v>
      </c>
      <c r="C14" s="688" t="s">
        <v>668</v>
      </c>
      <c r="D14" s="689">
        <v>20000</v>
      </c>
      <c r="E14" s="386"/>
      <c r="F14" s="386"/>
    </row>
    <row r="15" spans="1:6" ht="16.5" thickBot="1">
      <c r="A15" s="382">
        <v>8</v>
      </c>
      <c r="B15" s="687" t="s">
        <v>56</v>
      </c>
      <c r="C15" s="688" t="s">
        <v>653</v>
      </c>
      <c r="D15" s="386"/>
      <c r="E15" s="689">
        <v>20000</v>
      </c>
      <c r="F15" s="386"/>
    </row>
    <row r="16" spans="1:6" ht="16.5" thickBot="1">
      <c r="A16" s="382">
        <v>9</v>
      </c>
      <c r="B16" s="687" t="s">
        <v>289</v>
      </c>
      <c r="C16" s="688" t="s">
        <v>646</v>
      </c>
      <c r="D16" s="386"/>
      <c r="E16" s="689">
        <v>20000</v>
      </c>
      <c r="F16" s="386"/>
    </row>
    <row r="17" spans="1:6" ht="16.5" thickBot="1">
      <c r="A17" s="382">
        <v>10</v>
      </c>
      <c r="B17" s="687" t="s">
        <v>148</v>
      </c>
      <c r="C17" s="688" t="s">
        <v>646</v>
      </c>
      <c r="D17" s="386"/>
      <c r="E17" s="689">
        <v>40000</v>
      </c>
      <c r="F17" s="386"/>
    </row>
    <row r="18" spans="1:6" ht="16.5" thickBot="1">
      <c r="A18" s="382">
        <v>11</v>
      </c>
      <c r="B18" s="687" t="s">
        <v>723</v>
      </c>
      <c r="C18" s="688" t="s">
        <v>646</v>
      </c>
      <c r="D18" s="689">
        <v>30000</v>
      </c>
      <c r="E18" s="386"/>
      <c r="F18" s="386"/>
    </row>
    <row r="19" spans="1:6" ht="16.5" thickBot="1">
      <c r="A19" s="382">
        <v>12</v>
      </c>
      <c r="B19" s="687" t="s">
        <v>647</v>
      </c>
      <c r="C19" s="688" t="s">
        <v>646</v>
      </c>
      <c r="D19" s="689">
        <v>60000</v>
      </c>
      <c r="E19" s="386"/>
      <c r="F19" s="386"/>
    </row>
    <row r="20" spans="1:6" ht="16.5" thickBot="1">
      <c r="A20" s="382">
        <v>13</v>
      </c>
      <c r="B20" s="687" t="s">
        <v>673</v>
      </c>
      <c r="C20" s="688" t="s">
        <v>674</v>
      </c>
      <c r="D20" s="689">
        <v>20000</v>
      </c>
      <c r="E20" s="386"/>
      <c r="F20" s="386"/>
    </row>
    <row r="21" spans="1:6" ht="16.5" thickBot="1">
      <c r="A21" s="382">
        <v>14</v>
      </c>
      <c r="B21" s="687" t="s">
        <v>72</v>
      </c>
      <c r="C21" s="688" t="s">
        <v>674</v>
      </c>
      <c r="D21" s="386"/>
      <c r="E21" s="689">
        <v>20000</v>
      </c>
      <c r="F21" s="386"/>
    </row>
    <row r="22" spans="1:6" ht="16.5" thickBot="1">
      <c r="A22" s="382">
        <v>15</v>
      </c>
      <c r="B22" s="687" t="s">
        <v>78</v>
      </c>
      <c r="C22" s="688" t="s">
        <v>649</v>
      </c>
      <c r="D22" s="386"/>
      <c r="E22" s="689">
        <v>10000</v>
      </c>
      <c r="F22" s="386"/>
    </row>
    <row r="23" spans="1:6" ht="16.5" thickBot="1">
      <c r="A23" s="382">
        <v>16</v>
      </c>
      <c r="B23" s="687" t="s">
        <v>81</v>
      </c>
      <c r="C23" s="688" t="s">
        <v>649</v>
      </c>
      <c r="D23" s="386"/>
      <c r="E23" s="689">
        <v>10000</v>
      </c>
      <c r="F23" s="386"/>
    </row>
    <row r="24" spans="1:6" ht="16.5" thickBot="1">
      <c r="A24" s="382">
        <v>17</v>
      </c>
      <c r="B24" s="687" t="s">
        <v>27</v>
      </c>
      <c r="C24" s="688" t="s">
        <v>649</v>
      </c>
      <c r="D24" s="386"/>
      <c r="E24" s="689">
        <v>50000</v>
      </c>
      <c r="F24" s="386"/>
    </row>
    <row r="25" spans="1:6" ht="16.5" thickBot="1">
      <c r="A25" s="382">
        <v>18</v>
      </c>
      <c r="B25" s="687" t="s">
        <v>684</v>
      </c>
      <c r="C25" s="688" t="s">
        <v>649</v>
      </c>
      <c r="D25" s="689">
        <v>30000</v>
      </c>
      <c r="E25" s="386"/>
      <c r="F25" s="386"/>
    </row>
    <row r="26" spans="1:6" ht="16.5" thickBot="1">
      <c r="A26" s="382">
        <v>19</v>
      </c>
      <c r="B26" s="687" t="s">
        <v>685</v>
      </c>
      <c r="C26" s="688" t="s">
        <v>649</v>
      </c>
      <c r="D26" s="689">
        <v>60000</v>
      </c>
      <c r="E26" s="386"/>
      <c r="F26" s="386"/>
    </row>
    <row r="27" spans="1:6" ht="16.5" thickBot="1">
      <c r="A27" s="382">
        <v>20</v>
      </c>
      <c r="B27" s="687" t="s">
        <v>89</v>
      </c>
      <c r="C27" s="688" t="s">
        <v>650</v>
      </c>
      <c r="D27" s="386"/>
      <c r="E27" s="689">
        <v>10000</v>
      </c>
      <c r="F27" s="386"/>
    </row>
    <row r="28" spans="1:6" ht="16.5" thickBot="1">
      <c r="A28" s="382">
        <v>21</v>
      </c>
      <c r="B28" s="687" t="s">
        <v>83</v>
      </c>
      <c r="C28" s="688" t="s">
        <v>650</v>
      </c>
      <c r="D28" s="386"/>
      <c r="E28" s="689">
        <v>40000</v>
      </c>
      <c r="F28" s="386"/>
    </row>
    <row r="29" spans="1:6" ht="16.5" thickBot="1">
      <c r="A29" s="382">
        <v>22</v>
      </c>
      <c r="B29" s="687" t="s">
        <v>637</v>
      </c>
      <c r="C29" s="688" t="s">
        <v>636</v>
      </c>
      <c r="D29" s="689">
        <v>10000</v>
      </c>
      <c r="E29" s="386"/>
      <c r="F29" s="386"/>
    </row>
    <row r="30" spans="1:6" ht="16.5" thickBot="1">
      <c r="A30" s="382">
        <v>23</v>
      </c>
      <c r="B30" s="687" t="s">
        <v>98</v>
      </c>
      <c r="C30" s="688" t="s">
        <v>636</v>
      </c>
      <c r="D30" s="386"/>
      <c r="E30" s="689">
        <v>10000</v>
      </c>
      <c r="F30" s="386"/>
    </row>
    <row r="31" spans="1:6" ht="16.5" thickBot="1">
      <c r="A31" s="382">
        <v>24</v>
      </c>
      <c r="B31" s="687" t="s">
        <v>210</v>
      </c>
      <c r="C31" s="688" t="s">
        <v>636</v>
      </c>
      <c r="D31" s="386"/>
      <c r="E31" s="689">
        <v>20000</v>
      </c>
      <c r="F31" s="386"/>
    </row>
    <row r="32" spans="1:6" ht="16.5" thickBot="1">
      <c r="A32" s="382">
        <v>25</v>
      </c>
      <c r="B32" s="687" t="s">
        <v>640</v>
      </c>
      <c r="C32" s="688" t="s">
        <v>636</v>
      </c>
      <c r="D32" s="689">
        <v>30000</v>
      </c>
      <c r="E32" s="386"/>
      <c r="F32" s="386"/>
    </row>
    <row r="33" spans="1:6" ht="16.5" thickBot="1">
      <c r="A33" s="382">
        <v>26</v>
      </c>
      <c r="B33" s="687" t="s">
        <v>638</v>
      </c>
      <c r="C33" s="688" t="s">
        <v>636</v>
      </c>
      <c r="D33" s="689">
        <v>50000</v>
      </c>
      <c r="E33" s="386"/>
      <c r="F33" s="386"/>
    </row>
    <row r="34" spans="1:6" ht="16.5" thickBot="1">
      <c r="A34" s="401" t="s">
        <v>758</v>
      </c>
      <c r="B34" s="402"/>
      <c r="C34" s="336"/>
      <c r="D34" s="388">
        <v>330000</v>
      </c>
      <c r="E34" s="388">
        <v>440000</v>
      </c>
      <c r="F34" s="389"/>
    </row>
    <row r="35" spans="1:6" ht="16.5" customHeight="1" thickBot="1">
      <c r="A35" s="401" t="s">
        <v>864</v>
      </c>
      <c r="B35" s="402"/>
      <c r="C35" s="336"/>
      <c r="D35" s="403">
        <v>770000</v>
      </c>
      <c r="E35" s="404"/>
      <c r="F35" s="390"/>
    </row>
    <row r="36" spans="1:6" ht="15.75">
      <c r="A36" s="365" t="s">
        <v>1453</v>
      </c>
    </row>
    <row r="37" spans="1:6">
      <c r="A37" s="691"/>
      <c r="B37" s="248"/>
    </row>
    <row r="38" spans="1:6" ht="15.75">
      <c r="A38" s="205" t="s">
        <v>678</v>
      </c>
    </row>
    <row r="39" spans="1:6" ht="15.75">
      <c r="A39" s="205"/>
    </row>
    <row r="40" spans="1:6" ht="15.75">
      <c r="A40" s="205" t="s">
        <v>1212</v>
      </c>
    </row>
    <row r="41" spans="1:6" ht="15.75">
      <c r="A41" s="232" t="s">
        <v>1454</v>
      </c>
    </row>
    <row r="42" spans="1:6" ht="16.5" thickBot="1">
      <c r="A42" s="232"/>
    </row>
    <row r="43" spans="1:6" ht="31.5" customHeight="1" thickBot="1">
      <c r="A43" s="380" t="s">
        <v>0</v>
      </c>
      <c r="B43" s="380" t="s">
        <v>121</v>
      </c>
      <c r="C43" s="380" t="s">
        <v>632</v>
      </c>
      <c r="D43" s="398" t="s">
        <v>894</v>
      </c>
      <c r="E43" s="399"/>
      <c r="F43" s="380" t="s">
        <v>699</v>
      </c>
    </row>
    <row r="44" spans="1:6" ht="16.5" thickBot="1">
      <c r="A44" s="400"/>
      <c r="B44" s="400"/>
      <c r="C44" s="400"/>
      <c r="D44" s="381" t="s">
        <v>828</v>
      </c>
      <c r="E44" s="381" t="s">
        <v>829</v>
      </c>
      <c r="F44" s="400"/>
    </row>
    <row r="45" spans="1:6" ht="16.5" thickBot="1">
      <c r="A45" s="382">
        <v>1</v>
      </c>
      <c r="B45" s="687" t="s">
        <v>96</v>
      </c>
      <c r="C45" s="688" t="s">
        <v>717</v>
      </c>
      <c r="D45" s="386"/>
      <c r="E45" s="689">
        <v>30000</v>
      </c>
      <c r="F45" s="386"/>
    </row>
    <row r="46" spans="1:6" ht="16.5" thickBot="1">
      <c r="A46" s="382">
        <v>2</v>
      </c>
      <c r="B46" s="687" t="s">
        <v>744</v>
      </c>
      <c r="C46" s="688" t="s">
        <v>717</v>
      </c>
      <c r="D46" s="689">
        <v>9000</v>
      </c>
      <c r="E46" s="386"/>
      <c r="F46" s="386"/>
    </row>
    <row r="47" spans="1:6" ht="16.5" thickBot="1">
      <c r="A47" s="382">
        <v>3</v>
      </c>
      <c r="B47" s="687" t="s">
        <v>682</v>
      </c>
      <c r="C47" s="688" t="s">
        <v>642</v>
      </c>
      <c r="D47" s="689">
        <v>3000</v>
      </c>
      <c r="E47" s="386"/>
      <c r="F47" s="387"/>
    </row>
    <row r="48" spans="1:6" ht="16.5" thickBot="1">
      <c r="A48" s="382">
        <v>4</v>
      </c>
      <c r="B48" s="687" t="s">
        <v>728</v>
      </c>
      <c r="C48" s="688" t="s">
        <v>642</v>
      </c>
      <c r="D48" s="689">
        <v>3000</v>
      </c>
      <c r="E48" s="386"/>
      <c r="F48" s="386"/>
    </row>
    <row r="49" spans="1:6" ht="16.5" thickBot="1">
      <c r="A49" s="382">
        <v>5</v>
      </c>
      <c r="B49" s="687" t="s">
        <v>722</v>
      </c>
      <c r="C49" s="688" t="s">
        <v>646</v>
      </c>
      <c r="D49" s="689">
        <v>6000</v>
      </c>
      <c r="E49" s="386"/>
      <c r="F49" s="386"/>
    </row>
    <row r="50" spans="1:6" ht="16.5" thickBot="1">
      <c r="A50" s="382">
        <v>6</v>
      </c>
      <c r="B50" s="687" t="s">
        <v>685</v>
      </c>
      <c r="C50" s="688" t="s">
        <v>649</v>
      </c>
      <c r="D50" s="689">
        <v>6000</v>
      </c>
      <c r="E50" s="387"/>
      <c r="F50" s="386"/>
    </row>
    <row r="51" spans="1:6" ht="16.5" thickBot="1">
      <c r="A51" s="382">
        <v>7</v>
      </c>
      <c r="B51" s="687" t="s">
        <v>686</v>
      </c>
      <c r="C51" s="688" t="s">
        <v>649</v>
      </c>
      <c r="D51" s="689">
        <v>3000</v>
      </c>
      <c r="E51" s="387"/>
      <c r="F51" s="387"/>
    </row>
    <row r="52" spans="1:6" ht="16.5" thickBot="1">
      <c r="A52" s="382">
        <v>8</v>
      </c>
      <c r="B52" s="687" t="s">
        <v>81</v>
      </c>
      <c r="C52" s="688" t="s">
        <v>649</v>
      </c>
      <c r="D52" s="386"/>
      <c r="E52" s="689">
        <v>3000</v>
      </c>
      <c r="F52" s="387"/>
    </row>
    <row r="53" spans="1:6" ht="16.5" thickBot="1">
      <c r="A53" s="382">
        <v>9</v>
      </c>
      <c r="B53" s="687" t="s">
        <v>205</v>
      </c>
      <c r="C53" s="688" t="s">
        <v>649</v>
      </c>
      <c r="D53" s="386"/>
      <c r="E53" s="689">
        <v>6000</v>
      </c>
      <c r="F53" s="386"/>
    </row>
    <row r="54" spans="1:6" ht="16.5" thickBot="1">
      <c r="A54" s="382">
        <v>10</v>
      </c>
      <c r="B54" s="687" t="s">
        <v>221</v>
      </c>
      <c r="C54" s="688" t="s">
        <v>649</v>
      </c>
      <c r="D54" s="386"/>
      <c r="E54" s="689">
        <v>3000</v>
      </c>
      <c r="F54" s="387"/>
    </row>
    <row r="55" spans="1:6" ht="16.5" thickBot="1">
      <c r="A55" s="382">
        <v>11</v>
      </c>
      <c r="B55" s="687" t="s">
        <v>684</v>
      </c>
      <c r="C55" s="688" t="s">
        <v>649</v>
      </c>
      <c r="D55" s="689">
        <v>3000</v>
      </c>
      <c r="E55" s="386"/>
      <c r="F55" s="387"/>
    </row>
    <row r="56" spans="1:6" ht="16.5" thickBot="1">
      <c r="A56" s="382">
        <v>12</v>
      </c>
      <c r="B56" s="687" t="s">
        <v>152</v>
      </c>
      <c r="C56" s="688" t="s">
        <v>649</v>
      </c>
      <c r="D56" s="386"/>
      <c r="E56" s="689">
        <v>160000</v>
      </c>
      <c r="F56" s="387"/>
    </row>
    <row r="57" spans="1:6" ht="16.5" thickBot="1">
      <c r="A57" s="382">
        <v>13</v>
      </c>
      <c r="B57" s="687" t="s">
        <v>187</v>
      </c>
      <c r="C57" s="688" t="s">
        <v>649</v>
      </c>
      <c r="D57" s="386"/>
      <c r="E57" s="689">
        <v>80000</v>
      </c>
      <c r="F57" s="387"/>
    </row>
    <row r="58" spans="1:6" ht="16.5" thickBot="1">
      <c r="A58" s="382">
        <v>14</v>
      </c>
      <c r="B58" s="687" t="s">
        <v>648</v>
      </c>
      <c r="C58" s="688" t="s">
        <v>649</v>
      </c>
      <c r="D58" s="689">
        <v>10000</v>
      </c>
      <c r="E58" s="386"/>
      <c r="F58" s="387"/>
    </row>
    <row r="59" spans="1:6" ht="16.5" thickBot="1">
      <c r="A59" s="382">
        <v>15</v>
      </c>
      <c r="B59" s="687" t="s">
        <v>831</v>
      </c>
      <c r="C59" s="688" t="s">
        <v>649</v>
      </c>
      <c r="D59" s="386"/>
      <c r="E59" s="689">
        <v>40000</v>
      </c>
      <c r="F59" s="387"/>
    </row>
    <row r="60" spans="1:6" ht="16.5" thickBot="1">
      <c r="A60" s="382">
        <v>16</v>
      </c>
      <c r="B60" s="687" t="s">
        <v>688</v>
      </c>
      <c r="C60" s="688" t="s">
        <v>650</v>
      </c>
      <c r="D60" s="689">
        <v>9000</v>
      </c>
      <c r="E60" s="386"/>
      <c r="F60" s="387"/>
    </row>
    <row r="61" spans="1:6" ht="16.5" thickBot="1">
      <c r="A61" s="382">
        <v>17</v>
      </c>
      <c r="B61" s="687" t="s">
        <v>83</v>
      </c>
      <c r="C61" s="688" t="s">
        <v>650</v>
      </c>
      <c r="D61" s="386"/>
      <c r="E61" s="689">
        <v>3000</v>
      </c>
      <c r="F61" s="387"/>
    </row>
    <row r="62" spans="1:6" ht="16.5" thickBot="1">
      <c r="A62" s="382">
        <v>18</v>
      </c>
      <c r="B62" s="687" t="s">
        <v>651</v>
      </c>
      <c r="C62" s="688" t="s">
        <v>650</v>
      </c>
      <c r="D62" s="689">
        <v>3000</v>
      </c>
      <c r="E62" s="386"/>
      <c r="F62" s="387"/>
    </row>
    <row r="63" spans="1:6" ht="16.5" thickBot="1">
      <c r="A63" s="382">
        <v>19</v>
      </c>
      <c r="B63" s="687" t="s">
        <v>1401</v>
      </c>
      <c r="C63" s="688" t="s">
        <v>650</v>
      </c>
      <c r="D63" s="689">
        <v>3000</v>
      </c>
      <c r="E63" s="386"/>
      <c r="F63" s="387"/>
    </row>
    <row r="64" spans="1:6" ht="16.5" thickBot="1">
      <c r="A64" s="382">
        <v>20</v>
      </c>
      <c r="B64" s="687" t="s">
        <v>690</v>
      </c>
      <c r="C64" s="688" t="s">
        <v>653</v>
      </c>
      <c r="D64" s="386"/>
      <c r="E64" s="689">
        <v>18000</v>
      </c>
      <c r="F64" s="387"/>
    </row>
    <row r="65" spans="1:6" ht="16.5" thickBot="1">
      <c r="A65" s="382">
        <v>21</v>
      </c>
      <c r="B65" s="687" t="s">
        <v>146</v>
      </c>
      <c r="C65" s="688" t="s">
        <v>653</v>
      </c>
      <c r="D65" s="386"/>
      <c r="E65" s="689">
        <v>3000</v>
      </c>
      <c r="F65" s="387"/>
    </row>
    <row r="66" spans="1:6" ht="16.5" thickBot="1">
      <c r="A66" s="382">
        <v>22</v>
      </c>
      <c r="B66" s="687" t="s">
        <v>658</v>
      </c>
      <c r="C66" s="688" t="s">
        <v>653</v>
      </c>
      <c r="D66" s="689">
        <v>3000</v>
      </c>
      <c r="E66" s="386"/>
      <c r="F66" s="387"/>
    </row>
    <row r="67" spans="1:6" ht="16.5" thickBot="1">
      <c r="A67" s="382">
        <v>23</v>
      </c>
      <c r="B67" s="687" t="s">
        <v>52</v>
      </c>
      <c r="C67" s="688" t="s">
        <v>653</v>
      </c>
      <c r="D67" s="386"/>
      <c r="E67" s="689">
        <v>3000</v>
      </c>
      <c r="F67" s="387"/>
    </row>
    <row r="68" spans="1:6" ht="16.5" thickBot="1">
      <c r="A68" s="382">
        <v>24</v>
      </c>
      <c r="B68" s="687" t="s">
        <v>656</v>
      </c>
      <c r="C68" s="688" t="s">
        <v>653</v>
      </c>
      <c r="D68" s="689">
        <v>3000</v>
      </c>
      <c r="E68" s="386"/>
      <c r="F68" s="387"/>
    </row>
    <row r="69" spans="1:6" ht="16.5" thickBot="1">
      <c r="A69" s="382">
        <v>25</v>
      </c>
      <c r="B69" s="687" t="s">
        <v>46</v>
      </c>
      <c r="C69" s="688" t="s">
        <v>653</v>
      </c>
      <c r="D69" s="386"/>
      <c r="E69" s="689">
        <v>3000</v>
      </c>
      <c r="F69" s="387"/>
    </row>
    <row r="70" spans="1:6" ht="16.5" thickBot="1">
      <c r="A70" s="382">
        <v>26</v>
      </c>
      <c r="B70" s="687" t="s">
        <v>747</v>
      </c>
      <c r="C70" s="688" t="s">
        <v>661</v>
      </c>
      <c r="D70" s="689">
        <v>3000</v>
      </c>
      <c r="E70" s="386"/>
      <c r="F70" s="387"/>
    </row>
    <row r="71" spans="1:6" ht="16.5" thickBot="1">
      <c r="A71" s="382">
        <v>27</v>
      </c>
      <c r="B71" s="687" t="s">
        <v>732</v>
      </c>
      <c r="C71" s="688" t="s">
        <v>668</v>
      </c>
      <c r="D71" s="689">
        <v>6000</v>
      </c>
      <c r="E71" s="386"/>
      <c r="F71" s="387"/>
    </row>
    <row r="72" spans="1:6" ht="16.5" thickBot="1">
      <c r="A72" s="382">
        <v>28</v>
      </c>
      <c r="B72" s="687" t="s">
        <v>31</v>
      </c>
      <c r="C72" s="688" t="s">
        <v>668</v>
      </c>
      <c r="D72" s="386"/>
      <c r="E72" s="689">
        <v>3000</v>
      </c>
      <c r="F72" s="387"/>
    </row>
    <row r="73" spans="1:6" ht="16.5" thickBot="1">
      <c r="A73" s="382">
        <v>29</v>
      </c>
      <c r="B73" s="687" t="s">
        <v>672</v>
      </c>
      <c r="C73" s="688" t="s">
        <v>668</v>
      </c>
      <c r="D73" s="689">
        <v>6000</v>
      </c>
      <c r="E73" s="386"/>
      <c r="F73" s="387"/>
    </row>
    <row r="74" spans="1:6" ht="16.5" thickBot="1">
      <c r="A74" s="382">
        <v>30</v>
      </c>
      <c r="B74" s="687" t="s">
        <v>671</v>
      </c>
      <c r="C74" s="688" t="s">
        <v>668</v>
      </c>
      <c r="D74" s="689">
        <v>3000</v>
      </c>
      <c r="E74" s="386"/>
      <c r="F74" s="387"/>
    </row>
    <row r="75" spans="1:6" ht="16.5" thickBot="1">
      <c r="A75" s="382">
        <v>31</v>
      </c>
      <c r="B75" s="687" t="s">
        <v>39</v>
      </c>
      <c r="C75" s="688" t="s">
        <v>668</v>
      </c>
      <c r="D75" s="386"/>
      <c r="E75" s="689">
        <v>6000</v>
      </c>
      <c r="F75" s="387"/>
    </row>
    <row r="76" spans="1:6" ht="16.5" thickBot="1">
      <c r="A76" s="382">
        <v>32</v>
      </c>
      <c r="B76" s="687" t="s">
        <v>262</v>
      </c>
      <c r="C76" s="688" t="s">
        <v>668</v>
      </c>
      <c r="D76" s="386"/>
      <c r="E76" s="689">
        <v>9000</v>
      </c>
      <c r="F76" s="387"/>
    </row>
    <row r="77" spans="1:6" ht="16.5" thickBot="1">
      <c r="A77" s="382">
        <v>33</v>
      </c>
      <c r="B77" s="687" t="s">
        <v>670</v>
      </c>
      <c r="C77" s="688" t="s">
        <v>668</v>
      </c>
      <c r="D77" s="689">
        <v>3000</v>
      </c>
      <c r="E77" s="386"/>
      <c r="F77" s="387"/>
    </row>
    <row r="78" spans="1:6" ht="16.5" thickBot="1">
      <c r="A78" s="382">
        <v>34</v>
      </c>
      <c r="B78" s="687" t="s">
        <v>692</v>
      </c>
      <c r="C78" s="688" t="s">
        <v>668</v>
      </c>
      <c r="D78" s="689">
        <v>6000</v>
      </c>
      <c r="E78" s="386"/>
      <c r="F78" s="387"/>
    </row>
    <row r="79" spans="1:6" ht="16.5" thickBot="1">
      <c r="A79" s="382">
        <v>35</v>
      </c>
      <c r="B79" s="687" t="s">
        <v>693</v>
      </c>
      <c r="C79" s="688" t="s">
        <v>668</v>
      </c>
      <c r="D79" s="689">
        <v>3000</v>
      </c>
      <c r="E79" s="386"/>
      <c r="F79" s="387"/>
    </row>
    <row r="80" spans="1:6" ht="16.5" thickBot="1">
      <c r="A80" s="382">
        <v>36</v>
      </c>
      <c r="B80" s="687" t="s">
        <v>25</v>
      </c>
      <c r="C80" s="688" t="s">
        <v>668</v>
      </c>
      <c r="D80" s="386"/>
      <c r="E80" s="689">
        <v>3000</v>
      </c>
      <c r="F80" s="387"/>
    </row>
    <row r="81" spans="1:6" ht="16.5" thickBot="1">
      <c r="A81" s="382">
        <v>37</v>
      </c>
      <c r="B81" s="687" t="s">
        <v>669</v>
      </c>
      <c r="C81" s="688" t="s">
        <v>668</v>
      </c>
      <c r="D81" s="689">
        <v>70000</v>
      </c>
      <c r="E81" s="386"/>
      <c r="F81" s="387"/>
    </row>
    <row r="82" spans="1:6" ht="16.5" thickBot="1">
      <c r="A82" s="382">
        <v>38</v>
      </c>
      <c r="B82" s="687" t="s">
        <v>216</v>
      </c>
      <c r="C82" s="688" t="s">
        <v>668</v>
      </c>
      <c r="D82" s="386"/>
      <c r="E82" s="689">
        <v>20000</v>
      </c>
      <c r="F82" s="387"/>
    </row>
    <row r="83" spans="1:6" ht="16.5" thickBot="1">
      <c r="A83" s="382">
        <v>39</v>
      </c>
      <c r="B83" s="687" t="s">
        <v>273</v>
      </c>
      <c r="C83" s="688" t="s">
        <v>668</v>
      </c>
      <c r="D83" s="386"/>
      <c r="E83" s="689">
        <v>20000</v>
      </c>
      <c r="F83" s="387"/>
    </row>
    <row r="84" spans="1:6" ht="16.5" thickBot="1">
      <c r="A84" s="382">
        <v>40</v>
      </c>
      <c r="B84" s="687" t="s">
        <v>743</v>
      </c>
      <c r="C84" s="688" t="s">
        <v>674</v>
      </c>
      <c r="D84" s="689">
        <v>3000</v>
      </c>
      <c r="E84" s="386"/>
      <c r="F84" s="387"/>
    </row>
    <row r="85" spans="1:6" ht="16.5" thickBot="1">
      <c r="A85" s="382">
        <v>41</v>
      </c>
      <c r="B85" s="687" t="s">
        <v>741</v>
      </c>
      <c r="C85" s="688" t="s">
        <v>674</v>
      </c>
      <c r="D85" s="689">
        <v>9000</v>
      </c>
      <c r="E85" s="386"/>
      <c r="F85" s="387"/>
    </row>
    <row r="86" spans="1:6" ht="16.5" thickBot="1">
      <c r="A86" s="382">
        <v>42</v>
      </c>
      <c r="B86" s="687" t="s">
        <v>182</v>
      </c>
      <c r="C86" s="688" t="s">
        <v>674</v>
      </c>
      <c r="D86" s="386"/>
      <c r="E86" s="689">
        <v>9000</v>
      </c>
      <c r="F86" s="387"/>
    </row>
    <row r="87" spans="1:6" ht="16.5" thickBot="1">
      <c r="A87" s="382">
        <v>43</v>
      </c>
      <c r="B87" s="687" t="s">
        <v>150</v>
      </c>
      <c r="C87" s="688" t="s">
        <v>674</v>
      </c>
      <c r="D87" s="386"/>
      <c r="E87" s="689">
        <v>12000</v>
      </c>
      <c r="F87" s="387"/>
    </row>
    <row r="88" spans="1:6" ht="16.5" thickBot="1">
      <c r="A88" s="382">
        <v>44</v>
      </c>
      <c r="B88" s="687" t="s">
        <v>675</v>
      </c>
      <c r="C88" s="688" t="s">
        <v>674</v>
      </c>
      <c r="D88" s="689">
        <v>12000</v>
      </c>
      <c r="E88" s="386"/>
      <c r="F88" s="387"/>
    </row>
    <row r="89" spans="1:6" ht="16.5" thickBot="1">
      <c r="A89" s="382">
        <v>45</v>
      </c>
      <c r="B89" s="687" t="s">
        <v>149</v>
      </c>
      <c r="C89" s="688" t="s">
        <v>674</v>
      </c>
      <c r="D89" s="386"/>
      <c r="E89" s="689">
        <v>16000</v>
      </c>
      <c r="F89" s="387"/>
    </row>
    <row r="90" spans="1:6" ht="16.5" thickBot="1">
      <c r="A90" s="401" t="s">
        <v>758</v>
      </c>
      <c r="B90" s="402"/>
      <c r="C90" s="336"/>
      <c r="D90" s="388">
        <v>188000</v>
      </c>
      <c r="E90" s="388">
        <v>450000</v>
      </c>
      <c r="F90" s="389"/>
    </row>
    <row r="91" spans="1:6" ht="16.5" customHeight="1" thickBot="1">
      <c r="A91" s="401" t="s">
        <v>833</v>
      </c>
      <c r="B91" s="402"/>
      <c r="C91" s="336"/>
      <c r="D91" s="403">
        <v>638000</v>
      </c>
      <c r="E91" s="404"/>
      <c r="F91" s="390"/>
    </row>
    <row r="92" spans="1:6" ht="15.75">
      <c r="A92" s="365" t="s">
        <v>1455</v>
      </c>
    </row>
    <row r="93" spans="1:6" ht="16.5">
      <c r="A93" s="594"/>
      <c r="B93" s="248"/>
    </row>
    <row r="94" spans="1:6" ht="15.75">
      <c r="A94" s="205" t="s">
        <v>696</v>
      </c>
    </row>
    <row r="95" spans="1:6" ht="15.75">
      <c r="A95" s="205"/>
    </row>
    <row r="96" spans="1:6" ht="15.75">
      <c r="A96" s="205" t="s">
        <v>1419</v>
      </c>
    </row>
    <row r="97" spans="1:5" ht="15.75">
      <c r="A97" s="232" t="s">
        <v>1454</v>
      </c>
    </row>
    <row r="98" spans="1:5" ht="16.5" thickBot="1">
      <c r="A98" s="232"/>
    </row>
    <row r="99" spans="1:5" ht="43.5" thickBot="1">
      <c r="A99" s="233" t="s">
        <v>0</v>
      </c>
      <c r="B99" s="234" t="s">
        <v>632</v>
      </c>
      <c r="C99" s="234" t="s">
        <v>633</v>
      </c>
      <c r="D99" s="233" t="s">
        <v>634</v>
      </c>
      <c r="E99" s="375"/>
    </row>
    <row r="100" spans="1:5" ht="16.5" thickBot="1">
      <c r="A100" s="255">
        <v>1</v>
      </c>
      <c r="B100" s="256" t="s">
        <v>888</v>
      </c>
      <c r="C100" s="257">
        <v>1000000</v>
      </c>
      <c r="D100" s="759"/>
      <c r="E100" s="932"/>
    </row>
    <row r="101" spans="1:5" ht="16.5" thickBot="1">
      <c r="A101" s="255">
        <v>2</v>
      </c>
      <c r="B101" s="256" t="s">
        <v>1450</v>
      </c>
      <c r="C101" s="257">
        <v>1500000</v>
      </c>
      <c r="D101" s="759"/>
      <c r="E101" s="932"/>
    </row>
    <row r="102" spans="1:5" ht="16.5" thickBot="1">
      <c r="A102" s="255">
        <v>3</v>
      </c>
      <c r="B102" s="256" t="s">
        <v>890</v>
      </c>
      <c r="C102" s="257">
        <v>1000000</v>
      </c>
      <c r="D102" s="759"/>
      <c r="E102" s="932"/>
    </row>
    <row r="103" spans="1:5" ht="17.25" thickBot="1">
      <c r="A103" s="288" t="s">
        <v>676</v>
      </c>
      <c r="B103" s="289"/>
      <c r="C103" s="931">
        <v>3500000</v>
      </c>
      <c r="D103" s="262"/>
      <c r="E103" s="551"/>
    </row>
    <row r="104" spans="1:5">
      <c r="A104" s="244" t="s">
        <v>1456</v>
      </c>
    </row>
    <row r="105" spans="1:5">
      <c r="A105" s="24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5"/>
  <sheetViews>
    <sheetView workbookViewId="0">
      <selection activeCell="D1" sqref="D1:D5"/>
    </sheetView>
  </sheetViews>
  <sheetFormatPr defaultRowHeight="15"/>
  <cols>
    <col min="4" max="4" width="14.28515625" bestFit="1" customWidth="1"/>
    <col min="5" max="5" width="11.28515625" bestFit="1" customWidth="1"/>
  </cols>
  <sheetData>
    <row r="1" spans="2:5">
      <c r="B1">
        <v>2</v>
      </c>
      <c r="C1" t="s">
        <v>1460</v>
      </c>
      <c r="D1" s="561" t="e">
        <f>SUMIFS(#REF!,#REF!,Sheet3!C1)</f>
        <v>#REF!</v>
      </c>
      <c r="E1" s="66" t="e">
        <f>-D1</f>
        <v>#REF!</v>
      </c>
    </row>
    <row r="2" spans="2:5">
      <c r="B2">
        <v>3</v>
      </c>
      <c r="C2" t="s">
        <v>1462</v>
      </c>
      <c r="D2" s="561" t="e">
        <f>SUMIFS(#REF!,#REF!,Sheet3!C2)</f>
        <v>#REF!</v>
      </c>
      <c r="E2" s="66" t="e">
        <f t="shared" ref="E2:E5" si="0">-D2</f>
        <v>#REF!</v>
      </c>
    </row>
    <row r="3" spans="2:5">
      <c r="B3">
        <v>4</v>
      </c>
      <c r="C3" t="s">
        <v>1459</v>
      </c>
      <c r="D3" s="561" t="e">
        <f>SUMIFS(#REF!,#REF!,Sheet3!C3)</f>
        <v>#REF!</v>
      </c>
      <c r="E3" s="66" t="e">
        <f t="shared" si="0"/>
        <v>#REF!</v>
      </c>
    </row>
    <row r="4" spans="2:5">
      <c r="B4">
        <v>6</v>
      </c>
      <c r="C4" t="s">
        <v>1461</v>
      </c>
      <c r="D4" s="561" t="e">
        <f>SUMIFS(#REF!,#REF!,Sheet3!C4)</f>
        <v>#REF!</v>
      </c>
      <c r="E4" s="66" t="e">
        <f t="shared" si="0"/>
        <v>#REF!</v>
      </c>
    </row>
    <row r="5" spans="2:5">
      <c r="B5">
        <v>8</v>
      </c>
      <c r="C5" t="s">
        <v>1463</v>
      </c>
      <c r="D5" s="561" t="e">
        <f>SUMIFS(#REF!,#REF!,Sheet3!C5)</f>
        <v>#REF!</v>
      </c>
      <c r="E5" s="66" t="e">
        <f t="shared" si="0"/>
        <v>#REF!</v>
      </c>
    </row>
  </sheetData>
  <sortState ref="B1:C5">
    <sortCondition ref="B1"/>
  </sortState>
  <conditionalFormatting sqref="C1:C5">
    <cfRule type="duplicateValues" dxfId="3" priority="1"/>
  </conditionalFormatting>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
  <sheetViews>
    <sheetView workbookViewId="0">
      <selection activeCell="K13" sqref="K13"/>
    </sheetView>
  </sheetViews>
  <sheetFormatPr defaultRowHeight="15"/>
  <cols>
    <col min="1" max="1" width="8.140625" customWidth="1"/>
    <col min="2" max="2" width="26.42578125" customWidth="1"/>
    <col min="4" max="6" width="12" customWidth="1"/>
    <col min="8" max="8" width="10.5703125" style="561" bestFit="1" customWidth="1"/>
  </cols>
  <sheetData>
    <row r="1" spans="1:8" ht="15.75">
      <c r="A1" s="972"/>
    </row>
    <row r="2" spans="1:8">
      <c r="A2" s="686" t="s">
        <v>1218</v>
      </c>
    </row>
    <row r="3" spans="1:8" ht="15.75">
      <c r="A3" s="232" t="s">
        <v>1465</v>
      </c>
    </row>
    <row r="4" spans="1:8" ht="16.5" thickBot="1">
      <c r="A4" s="232"/>
    </row>
    <row r="5" spans="1:8" ht="28.5" customHeight="1" thickBot="1">
      <c r="A5" s="1574" t="s">
        <v>0</v>
      </c>
      <c r="B5" s="1570" t="s">
        <v>121</v>
      </c>
      <c r="C5" s="1570" t="s">
        <v>632</v>
      </c>
      <c r="D5" s="1576" t="s">
        <v>894</v>
      </c>
      <c r="E5" s="1577"/>
      <c r="F5" s="1570" t="s">
        <v>699</v>
      </c>
    </row>
    <row r="6" spans="1:8" ht="15.75" thickBot="1">
      <c r="A6" s="1575"/>
      <c r="B6" s="1571"/>
      <c r="C6" s="1571"/>
      <c r="D6" s="940" t="s">
        <v>828</v>
      </c>
      <c r="E6" s="940" t="s">
        <v>829</v>
      </c>
      <c r="F6" s="1571"/>
    </row>
    <row r="7" spans="1:8" ht="15.75" thickBot="1">
      <c r="A7" s="694">
        <v>1</v>
      </c>
      <c r="B7" s="383" t="s">
        <v>144</v>
      </c>
      <c r="C7" s="384" t="s">
        <v>1224</v>
      </c>
      <c r="D7" s="314" t="s">
        <v>1239</v>
      </c>
      <c r="E7" s="314">
        <v>20</v>
      </c>
      <c r="F7" s="314"/>
      <c r="G7">
        <v>1000</v>
      </c>
      <c r="H7" s="561">
        <f>E7*G7</f>
        <v>20000</v>
      </c>
    </row>
    <row r="8" spans="1:8" ht="15.75" thickBot="1">
      <c r="A8" s="694">
        <v>2</v>
      </c>
      <c r="B8" s="383" t="s">
        <v>641</v>
      </c>
      <c r="C8" s="384" t="s">
        <v>636</v>
      </c>
      <c r="D8" s="314">
        <v>70</v>
      </c>
      <c r="E8" s="314"/>
      <c r="F8" s="314"/>
      <c r="G8">
        <v>1000</v>
      </c>
      <c r="H8" s="561">
        <f t="shared" ref="H8:H71" si="0">E8*G8</f>
        <v>0</v>
      </c>
    </row>
    <row r="9" spans="1:8" ht="15.75" thickBot="1">
      <c r="A9" s="694">
        <v>3</v>
      </c>
      <c r="B9" s="383" t="s">
        <v>638</v>
      </c>
      <c r="C9" s="384" t="s">
        <v>636</v>
      </c>
      <c r="D9" s="314">
        <v>50</v>
      </c>
      <c r="E9" s="314"/>
      <c r="F9" s="314"/>
      <c r="G9">
        <v>1000</v>
      </c>
      <c r="H9" s="561">
        <f t="shared" si="0"/>
        <v>0</v>
      </c>
    </row>
    <row r="10" spans="1:8" ht="15.75" thickBot="1">
      <c r="A10" s="694">
        <v>4</v>
      </c>
      <c r="B10" s="383" t="s">
        <v>640</v>
      </c>
      <c r="C10" s="384" t="s">
        <v>636</v>
      </c>
      <c r="D10" s="314">
        <v>80</v>
      </c>
      <c r="E10" s="314"/>
      <c r="F10" s="314"/>
      <c r="G10">
        <v>1000</v>
      </c>
      <c r="H10" s="561">
        <f t="shared" si="0"/>
        <v>0</v>
      </c>
    </row>
    <row r="11" spans="1:8" ht="15.75" thickBot="1">
      <c r="A11" s="694">
        <v>5</v>
      </c>
      <c r="B11" s="383" t="s">
        <v>744</v>
      </c>
      <c r="C11" s="384" t="s">
        <v>636</v>
      </c>
      <c r="D11" s="314">
        <v>120</v>
      </c>
      <c r="E11" s="314"/>
      <c r="F11" s="314"/>
      <c r="G11">
        <v>1000</v>
      </c>
      <c r="H11" s="561">
        <f t="shared" si="0"/>
        <v>0</v>
      </c>
    </row>
    <row r="12" spans="1:8" ht="15.75" thickBot="1">
      <c r="A12" s="694">
        <v>6</v>
      </c>
      <c r="B12" s="383" t="s">
        <v>637</v>
      </c>
      <c r="C12" s="384" t="s">
        <v>636</v>
      </c>
      <c r="D12" s="314">
        <v>60</v>
      </c>
      <c r="E12" s="314"/>
      <c r="F12" s="314"/>
      <c r="G12">
        <v>1000</v>
      </c>
      <c r="H12" s="561">
        <f t="shared" si="0"/>
        <v>0</v>
      </c>
    </row>
    <row r="13" spans="1:8" ht="15.75" thickBot="1">
      <c r="A13" s="694">
        <v>7</v>
      </c>
      <c r="B13" s="383" t="s">
        <v>96</v>
      </c>
      <c r="C13" s="384" t="s">
        <v>636</v>
      </c>
      <c r="D13" s="314"/>
      <c r="E13" s="314">
        <v>110</v>
      </c>
      <c r="F13" s="314"/>
      <c r="G13">
        <v>1000</v>
      </c>
      <c r="H13" s="561">
        <f t="shared" si="0"/>
        <v>110000</v>
      </c>
    </row>
    <row r="14" spans="1:8" ht="15.75" thickBot="1">
      <c r="A14" s="694">
        <v>8</v>
      </c>
      <c r="B14" s="383" t="s">
        <v>154</v>
      </c>
      <c r="C14" s="384" t="s">
        <v>636</v>
      </c>
      <c r="D14" s="314"/>
      <c r="E14" s="314">
        <v>175</v>
      </c>
      <c r="F14" s="314"/>
      <c r="G14">
        <v>1000</v>
      </c>
      <c r="H14" s="561">
        <f t="shared" si="0"/>
        <v>175000</v>
      </c>
    </row>
    <row r="15" spans="1:8" ht="15.75" thickBot="1">
      <c r="A15" s="694">
        <v>9</v>
      </c>
      <c r="B15" s="383" t="s">
        <v>210</v>
      </c>
      <c r="C15" s="384" t="s">
        <v>636</v>
      </c>
      <c r="D15" s="314"/>
      <c r="E15" s="314">
        <v>140</v>
      </c>
      <c r="F15" s="314"/>
      <c r="G15">
        <v>1000</v>
      </c>
      <c r="H15" s="561">
        <f t="shared" si="0"/>
        <v>140000</v>
      </c>
    </row>
    <row r="16" spans="1:8" ht="15.75" thickBot="1">
      <c r="A16" s="694">
        <v>10</v>
      </c>
      <c r="B16" s="383" t="s">
        <v>106</v>
      </c>
      <c r="C16" s="384" t="s">
        <v>636</v>
      </c>
      <c r="D16" s="314"/>
      <c r="E16" s="314">
        <v>70</v>
      </c>
      <c r="F16" s="314"/>
      <c r="G16">
        <v>1000</v>
      </c>
      <c r="H16" s="561">
        <f t="shared" si="0"/>
        <v>70000</v>
      </c>
    </row>
    <row r="17" spans="1:8" ht="15.75" thickBot="1">
      <c r="A17" s="694">
        <v>11</v>
      </c>
      <c r="B17" s="383" t="s">
        <v>639</v>
      </c>
      <c r="C17" s="384" t="s">
        <v>636</v>
      </c>
      <c r="D17" s="314"/>
      <c r="E17" s="314">
        <v>120</v>
      </c>
      <c r="F17" s="314"/>
      <c r="G17">
        <v>1000</v>
      </c>
      <c r="H17" s="561">
        <f t="shared" si="0"/>
        <v>120000</v>
      </c>
    </row>
    <row r="18" spans="1:8" ht="15.75" thickBot="1">
      <c r="A18" s="694">
        <v>12</v>
      </c>
      <c r="B18" s="383" t="s">
        <v>98</v>
      </c>
      <c r="C18" s="384" t="s">
        <v>636</v>
      </c>
      <c r="D18" s="314"/>
      <c r="E18" s="314">
        <v>50</v>
      </c>
      <c r="F18" s="314"/>
      <c r="G18">
        <v>1000</v>
      </c>
      <c r="H18" s="561">
        <f t="shared" si="0"/>
        <v>50000</v>
      </c>
    </row>
    <row r="19" spans="1:8" ht="15.75" thickBot="1">
      <c r="A19" s="694">
        <v>13</v>
      </c>
      <c r="B19" s="383" t="s">
        <v>645</v>
      </c>
      <c r="C19" s="384" t="s">
        <v>642</v>
      </c>
      <c r="D19" s="314">
        <v>30</v>
      </c>
      <c r="E19" s="314"/>
      <c r="F19" s="314"/>
      <c r="G19">
        <v>1000</v>
      </c>
      <c r="H19" s="561">
        <f t="shared" si="0"/>
        <v>0</v>
      </c>
    </row>
    <row r="20" spans="1:8" ht="15.75" thickBot="1">
      <c r="A20" s="694">
        <v>14</v>
      </c>
      <c r="B20" s="383" t="s">
        <v>755</v>
      </c>
      <c r="C20" s="384" t="s">
        <v>642</v>
      </c>
      <c r="D20" s="314">
        <v>60</v>
      </c>
      <c r="E20" s="314"/>
      <c r="F20" s="314"/>
      <c r="G20">
        <v>1000</v>
      </c>
      <c r="H20" s="561">
        <f t="shared" si="0"/>
        <v>0</v>
      </c>
    </row>
    <row r="21" spans="1:8" ht="15.75" thickBot="1">
      <c r="A21" s="694">
        <v>15</v>
      </c>
      <c r="B21" s="383" t="s">
        <v>715</v>
      </c>
      <c r="C21" s="384" t="s">
        <v>642</v>
      </c>
      <c r="D21" s="314">
        <v>205</v>
      </c>
      <c r="E21" s="314"/>
      <c r="F21" s="314"/>
      <c r="G21">
        <v>1000</v>
      </c>
      <c r="H21" s="561">
        <f t="shared" si="0"/>
        <v>0</v>
      </c>
    </row>
    <row r="22" spans="1:8" ht="15.75" thickBot="1">
      <c r="A22" s="694">
        <v>16</v>
      </c>
      <c r="B22" s="383" t="s">
        <v>682</v>
      </c>
      <c r="C22" s="384" t="s">
        <v>642</v>
      </c>
      <c r="D22" s="314">
        <v>110</v>
      </c>
      <c r="E22" s="314"/>
      <c r="F22" s="314"/>
      <c r="G22">
        <v>1000</v>
      </c>
      <c r="H22" s="561">
        <f t="shared" si="0"/>
        <v>0</v>
      </c>
    </row>
    <row r="23" spans="1:8" ht="15.75" thickBot="1">
      <c r="A23" s="694">
        <v>17</v>
      </c>
      <c r="B23" s="383" t="s">
        <v>153</v>
      </c>
      <c r="C23" s="384" t="s">
        <v>642</v>
      </c>
      <c r="D23" s="314"/>
      <c r="E23" s="314">
        <v>140</v>
      </c>
      <c r="F23" s="314"/>
      <c r="G23">
        <v>1000</v>
      </c>
      <c r="H23" s="561">
        <f t="shared" si="0"/>
        <v>140000</v>
      </c>
    </row>
    <row r="24" spans="1:8" ht="15.75" thickBot="1">
      <c r="A24" s="694">
        <v>18</v>
      </c>
      <c r="B24" s="383" t="s">
        <v>207</v>
      </c>
      <c r="C24" s="384" t="s">
        <v>642</v>
      </c>
      <c r="D24" s="314"/>
      <c r="E24" s="314">
        <v>80</v>
      </c>
      <c r="F24" s="314"/>
      <c r="G24">
        <v>1000</v>
      </c>
      <c r="H24" s="561">
        <f t="shared" si="0"/>
        <v>80000</v>
      </c>
    </row>
    <row r="25" spans="1:8" ht="15.75" thickBot="1">
      <c r="A25" s="694">
        <v>19</v>
      </c>
      <c r="B25" s="383" t="s">
        <v>716</v>
      </c>
      <c r="C25" s="384" t="s">
        <v>642</v>
      </c>
      <c r="D25" s="314"/>
      <c r="E25" s="314">
        <v>20</v>
      </c>
      <c r="F25" s="314"/>
      <c r="G25">
        <v>1000</v>
      </c>
      <c r="H25" s="561">
        <f t="shared" si="0"/>
        <v>20000</v>
      </c>
    </row>
    <row r="26" spans="1:8" ht="15.75" thickBot="1">
      <c r="A26" s="694">
        <v>20</v>
      </c>
      <c r="B26" s="383" t="s">
        <v>644</v>
      </c>
      <c r="C26" s="384" t="s">
        <v>642</v>
      </c>
      <c r="D26" s="314"/>
      <c r="E26" s="314">
        <v>30</v>
      </c>
      <c r="F26" s="314"/>
      <c r="G26">
        <v>1000</v>
      </c>
      <c r="H26" s="561">
        <f t="shared" si="0"/>
        <v>30000</v>
      </c>
    </row>
    <row r="27" spans="1:8" ht="15.75" thickBot="1">
      <c r="A27" s="694">
        <v>21</v>
      </c>
      <c r="B27" s="383" t="s">
        <v>728</v>
      </c>
      <c r="C27" s="384" t="s">
        <v>642</v>
      </c>
      <c r="D27" s="314">
        <v>90</v>
      </c>
      <c r="E27" s="314"/>
      <c r="F27" s="314"/>
      <c r="G27">
        <v>1000</v>
      </c>
      <c r="H27" s="561">
        <f t="shared" si="0"/>
        <v>0</v>
      </c>
    </row>
    <row r="28" spans="1:8" ht="15.75" thickBot="1">
      <c r="A28" s="694">
        <v>22</v>
      </c>
      <c r="B28" s="383" t="s">
        <v>723</v>
      </c>
      <c r="C28" s="384" t="s">
        <v>646</v>
      </c>
      <c r="D28" s="314">
        <v>30</v>
      </c>
      <c r="E28" s="314"/>
      <c r="F28" s="314"/>
      <c r="G28">
        <v>1000</v>
      </c>
      <c r="H28" s="561">
        <f t="shared" si="0"/>
        <v>0</v>
      </c>
    </row>
    <row r="29" spans="1:8" ht="15.75" thickBot="1">
      <c r="A29" s="694">
        <v>23</v>
      </c>
      <c r="B29" s="383" t="s">
        <v>722</v>
      </c>
      <c r="C29" s="384" t="s">
        <v>646</v>
      </c>
      <c r="D29" s="314">
        <v>90</v>
      </c>
      <c r="E29" s="314"/>
      <c r="F29" s="314"/>
      <c r="G29">
        <v>1000</v>
      </c>
      <c r="H29" s="561">
        <f t="shared" si="0"/>
        <v>0</v>
      </c>
    </row>
    <row r="30" spans="1:8" ht="15.75" thickBot="1">
      <c r="A30" s="694">
        <v>24</v>
      </c>
      <c r="B30" s="383" t="s">
        <v>683</v>
      </c>
      <c r="C30" s="384" t="s">
        <v>646</v>
      </c>
      <c r="D30" s="314">
        <v>60</v>
      </c>
      <c r="E30" s="314"/>
      <c r="F30" s="314"/>
      <c r="G30">
        <v>1000</v>
      </c>
      <c r="H30" s="561">
        <f t="shared" si="0"/>
        <v>0</v>
      </c>
    </row>
    <row r="31" spans="1:8" ht="15.75" thickBot="1">
      <c r="A31" s="694">
        <v>25</v>
      </c>
      <c r="B31" s="383" t="s">
        <v>647</v>
      </c>
      <c r="C31" s="384" t="s">
        <v>646</v>
      </c>
      <c r="D31" s="314">
        <v>75</v>
      </c>
      <c r="E31" s="314"/>
      <c r="F31" s="314"/>
      <c r="G31">
        <v>1000</v>
      </c>
      <c r="H31" s="561">
        <f t="shared" si="0"/>
        <v>0</v>
      </c>
    </row>
    <row r="32" spans="1:8" ht="15.75" thickBot="1">
      <c r="A32" s="694">
        <v>26</v>
      </c>
      <c r="B32" s="383" t="s">
        <v>168</v>
      </c>
      <c r="C32" s="384" t="s">
        <v>646</v>
      </c>
      <c r="D32" s="314"/>
      <c r="E32" s="314">
        <v>20</v>
      </c>
      <c r="F32" s="314"/>
      <c r="G32">
        <v>1000</v>
      </c>
      <c r="H32" s="561">
        <f t="shared" si="0"/>
        <v>20000</v>
      </c>
    </row>
    <row r="33" spans="1:8" ht="15.75" thickBot="1">
      <c r="A33" s="309">
        <v>27</v>
      </c>
      <c r="B33" s="383" t="s">
        <v>148</v>
      </c>
      <c r="C33" s="384" t="s">
        <v>646</v>
      </c>
      <c r="D33" s="314"/>
      <c r="E33" s="314">
        <v>80</v>
      </c>
      <c r="F33" s="314"/>
      <c r="G33">
        <v>1000</v>
      </c>
      <c r="H33" s="561">
        <f t="shared" si="0"/>
        <v>80000</v>
      </c>
    </row>
    <row r="34" spans="1:8" ht="15.75" thickBot="1">
      <c r="A34" s="309">
        <v>28</v>
      </c>
      <c r="B34" s="383" t="s">
        <v>725</v>
      </c>
      <c r="C34" s="384" t="s">
        <v>646</v>
      </c>
      <c r="D34" s="314"/>
      <c r="E34" s="314">
        <v>40</v>
      </c>
      <c r="F34" s="314"/>
      <c r="G34">
        <v>1000</v>
      </c>
      <c r="H34" s="561">
        <f t="shared" si="0"/>
        <v>40000</v>
      </c>
    </row>
    <row r="35" spans="1:8" ht="15.75" thickBot="1">
      <c r="A35" s="309">
        <v>29</v>
      </c>
      <c r="B35" s="383" t="s">
        <v>1314</v>
      </c>
      <c r="C35" s="384" t="s">
        <v>646</v>
      </c>
      <c r="D35" s="314"/>
      <c r="E35" s="314">
        <v>20</v>
      </c>
      <c r="F35" s="314"/>
      <c r="G35">
        <v>1000</v>
      </c>
      <c r="H35" s="561">
        <f t="shared" si="0"/>
        <v>20000</v>
      </c>
    </row>
    <row r="36" spans="1:8" ht="15.75" thickBot="1">
      <c r="A36" s="309">
        <v>30</v>
      </c>
      <c r="B36" s="383" t="s">
        <v>65</v>
      </c>
      <c r="C36" s="384" t="s">
        <v>646</v>
      </c>
      <c r="D36" s="314"/>
      <c r="E36" s="314">
        <v>20</v>
      </c>
      <c r="F36" s="314"/>
      <c r="G36">
        <v>1000</v>
      </c>
      <c r="H36" s="561">
        <f t="shared" si="0"/>
        <v>20000</v>
      </c>
    </row>
    <row r="37" spans="1:8" ht="15.75" thickBot="1">
      <c r="A37" s="309">
        <v>31</v>
      </c>
      <c r="B37" s="383" t="s">
        <v>289</v>
      </c>
      <c r="C37" s="384" t="s">
        <v>646</v>
      </c>
      <c r="D37" s="314"/>
      <c r="E37" s="314">
        <v>60</v>
      </c>
      <c r="F37" s="314"/>
      <c r="G37">
        <v>1000</v>
      </c>
      <c r="H37" s="561">
        <f t="shared" si="0"/>
        <v>60000</v>
      </c>
    </row>
    <row r="38" spans="1:8" ht="15.75" thickBot="1">
      <c r="A38" s="309">
        <v>32</v>
      </c>
      <c r="B38" s="383" t="s">
        <v>687</v>
      </c>
      <c r="C38" s="384" t="s">
        <v>649</v>
      </c>
      <c r="D38" s="314">
        <v>100</v>
      </c>
      <c r="E38" s="314"/>
      <c r="F38" s="314"/>
      <c r="G38">
        <v>1000</v>
      </c>
      <c r="H38" s="561">
        <f t="shared" si="0"/>
        <v>0</v>
      </c>
    </row>
    <row r="39" spans="1:8" ht="15.75" thickBot="1">
      <c r="A39" s="309">
        <v>33</v>
      </c>
      <c r="B39" s="383" t="s">
        <v>685</v>
      </c>
      <c r="C39" s="384" t="s">
        <v>649</v>
      </c>
      <c r="D39" s="314">
        <v>210</v>
      </c>
      <c r="E39" s="314"/>
      <c r="F39" s="314"/>
      <c r="G39">
        <v>1000</v>
      </c>
      <c r="H39" s="561">
        <f t="shared" si="0"/>
        <v>0</v>
      </c>
    </row>
    <row r="40" spans="1:8" ht="15.75" thickBot="1">
      <c r="A40" s="309">
        <v>34</v>
      </c>
      <c r="B40" s="383" t="s">
        <v>686</v>
      </c>
      <c r="C40" s="384" t="s">
        <v>649</v>
      </c>
      <c r="D40" s="314">
        <v>100</v>
      </c>
      <c r="E40" s="314"/>
      <c r="F40" s="314"/>
      <c r="G40">
        <v>1000</v>
      </c>
      <c r="H40" s="561">
        <f t="shared" si="0"/>
        <v>0</v>
      </c>
    </row>
    <row r="41" spans="1:8" ht="15.75" thickBot="1">
      <c r="A41" s="309">
        <v>35</v>
      </c>
      <c r="B41" s="383" t="s">
        <v>684</v>
      </c>
      <c r="C41" s="384" t="s">
        <v>649</v>
      </c>
      <c r="D41" s="314">
        <v>50</v>
      </c>
      <c r="E41" s="314"/>
      <c r="F41" s="314"/>
      <c r="G41">
        <v>1000</v>
      </c>
      <c r="H41" s="561">
        <f t="shared" si="0"/>
        <v>0</v>
      </c>
    </row>
    <row r="42" spans="1:8" ht="15.75" thickBot="1">
      <c r="A42" s="309">
        <v>36</v>
      </c>
      <c r="B42" s="383" t="s">
        <v>831</v>
      </c>
      <c r="C42" s="384" t="s">
        <v>649</v>
      </c>
      <c r="D42" s="314"/>
      <c r="E42" s="314">
        <v>90</v>
      </c>
      <c r="F42" s="314"/>
      <c r="G42">
        <v>1000</v>
      </c>
      <c r="H42" s="561">
        <f t="shared" si="0"/>
        <v>90000</v>
      </c>
    </row>
    <row r="43" spans="1:8" ht="15.75" thickBot="1">
      <c r="A43" s="309">
        <v>37</v>
      </c>
      <c r="B43" s="383" t="s">
        <v>152</v>
      </c>
      <c r="C43" s="384" t="s">
        <v>649</v>
      </c>
      <c r="D43" s="314"/>
      <c r="E43" s="314">
        <v>70</v>
      </c>
      <c r="F43" s="314"/>
      <c r="G43">
        <v>1000</v>
      </c>
      <c r="H43" s="561">
        <f t="shared" si="0"/>
        <v>70000</v>
      </c>
    </row>
    <row r="44" spans="1:8" ht="15.75" thickBot="1">
      <c r="A44" s="309">
        <v>38</v>
      </c>
      <c r="B44" s="383" t="s">
        <v>205</v>
      </c>
      <c r="C44" s="384" t="s">
        <v>649</v>
      </c>
      <c r="D44" s="314"/>
      <c r="E44" s="314">
        <v>140</v>
      </c>
      <c r="F44" s="314"/>
      <c r="G44">
        <v>1000</v>
      </c>
      <c r="H44" s="561">
        <f t="shared" si="0"/>
        <v>140000</v>
      </c>
    </row>
    <row r="45" spans="1:8" ht="15.75" thickBot="1">
      <c r="A45" s="309">
        <v>39</v>
      </c>
      <c r="B45" s="383" t="s">
        <v>81</v>
      </c>
      <c r="C45" s="384" t="s">
        <v>649</v>
      </c>
      <c r="D45" s="314"/>
      <c r="E45" s="314">
        <v>10</v>
      </c>
      <c r="F45" s="314"/>
      <c r="G45">
        <v>1000</v>
      </c>
      <c r="H45" s="561">
        <f t="shared" si="0"/>
        <v>10000</v>
      </c>
    </row>
    <row r="46" spans="1:8" ht="15.75" thickBot="1">
      <c r="A46" s="309">
        <v>40</v>
      </c>
      <c r="B46" s="383" t="s">
        <v>221</v>
      </c>
      <c r="C46" s="384" t="s">
        <v>649</v>
      </c>
      <c r="D46" s="314"/>
      <c r="E46" s="314">
        <v>50</v>
      </c>
      <c r="F46" s="314"/>
      <c r="G46">
        <v>1000</v>
      </c>
      <c r="H46" s="561">
        <f t="shared" si="0"/>
        <v>50000</v>
      </c>
    </row>
    <row r="47" spans="1:8" ht="15.75" thickBot="1">
      <c r="A47" s="309">
        <v>41</v>
      </c>
      <c r="B47" s="383" t="s">
        <v>78</v>
      </c>
      <c r="C47" s="384" t="s">
        <v>649</v>
      </c>
      <c r="D47" s="314"/>
      <c r="E47" s="314">
        <v>55</v>
      </c>
      <c r="F47" s="314"/>
      <c r="G47">
        <v>1000</v>
      </c>
      <c r="H47" s="561">
        <f t="shared" si="0"/>
        <v>55000</v>
      </c>
    </row>
    <row r="48" spans="1:8" ht="15.75" thickBot="1">
      <c r="A48" s="309">
        <v>42</v>
      </c>
      <c r="B48" s="383" t="s">
        <v>721</v>
      </c>
      <c r="C48" s="384" t="s">
        <v>649</v>
      </c>
      <c r="D48" s="314"/>
      <c r="E48" s="314">
        <v>30</v>
      </c>
      <c r="F48" s="314"/>
      <c r="G48">
        <v>1000</v>
      </c>
      <c r="H48" s="561">
        <f t="shared" si="0"/>
        <v>30000</v>
      </c>
    </row>
    <row r="49" spans="1:8" ht="15.75" thickBot="1">
      <c r="A49" s="309">
        <v>43</v>
      </c>
      <c r="B49" s="383" t="s">
        <v>652</v>
      </c>
      <c r="C49" s="384" t="s">
        <v>650</v>
      </c>
      <c r="D49" s="314">
        <v>40</v>
      </c>
      <c r="E49" s="314"/>
      <c r="F49" s="314"/>
      <c r="G49">
        <v>1000</v>
      </c>
      <c r="H49" s="561">
        <f t="shared" si="0"/>
        <v>0</v>
      </c>
    </row>
    <row r="50" spans="1:8" ht="15.75" thickBot="1">
      <c r="A50" s="309">
        <v>44</v>
      </c>
      <c r="B50" s="383" t="s">
        <v>651</v>
      </c>
      <c r="C50" s="384" t="s">
        <v>650</v>
      </c>
      <c r="D50" s="314">
        <v>120</v>
      </c>
      <c r="E50" s="314"/>
      <c r="F50" s="314"/>
      <c r="G50">
        <v>1000</v>
      </c>
      <c r="H50" s="561">
        <f t="shared" si="0"/>
        <v>0</v>
      </c>
    </row>
    <row r="51" spans="1:8" ht="15.75" thickBot="1">
      <c r="A51" s="309">
        <v>45</v>
      </c>
      <c r="B51" s="383" t="s">
        <v>688</v>
      </c>
      <c r="C51" s="384" t="s">
        <v>650</v>
      </c>
      <c r="D51" s="314">
        <v>160</v>
      </c>
      <c r="E51" s="314"/>
      <c r="F51" s="314"/>
      <c r="G51">
        <v>1000</v>
      </c>
      <c r="H51" s="561">
        <f t="shared" si="0"/>
        <v>0</v>
      </c>
    </row>
    <row r="52" spans="1:8" ht="15.75" thickBot="1">
      <c r="A52" s="309">
        <v>46</v>
      </c>
      <c r="B52" s="383" t="s">
        <v>269</v>
      </c>
      <c r="C52" s="384" t="s">
        <v>650</v>
      </c>
      <c r="D52" s="314"/>
      <c r="E52" s="314">
        <v>70</v>
      </c>
      <c r="F52" s="314"/>
      <c r="G52">
        <v>1000</v>
      </c>
      <c r="H52" s="561">
        <f t="shared" si="0"/>
        <v>70000</v>
      </c>
    </row>
    <row r="53" spans="1:8" ht="15.75" thickBot="1">
      <c r="A53" s="309">
        <v>47</v>
      </c>
      <c r="B53" s="383" t="s">
        <v>91</v>
      </c>
      <c r="C53" s="384" t="s">
        <v>650</v>
      </c>
      <c r="D53" s="314"/>
      <c r="E53" s="314">
        <v>80</v>
      </c>
      <c r="F53" s="314"/>
      <c r="G53">
        <v>1000</v>
      </c>
      <c r="H53" s="561">
        <f t="shared" si="0"/>
        <v>80000</v>
      </c>
    </row>
    <row r="54" spans="1:8" ht="15.75" thickBot="1">
      <c r="A54" s="309">
        <v>48</v>
      </c>
      <c r="B54" s="383" t="s">
        <v>83</v>
      </c>
      <c r="C54" s="384" t="s">
        <v>650</v>
      </c>
      <c r="D54" s="314"/>
      <c r="E54" s="314">
        <v>30</v>
      </c>
      <c r="F54" s="314"/>
      <c r="G54">
        <v>1000</v>
      </c>
      <c r="H54" s="561">
        <f t="shared" si="0"/>
        <v>30000</v>
      </c>
    </row>
    <row r="55" spans="1:8" ht="15.75" thickBot="1">
      <c r="A55" s="309">
        <v>49</v>
      </c>
      <c r="B55" s="383" t="s">
        <v>660</v>
      </c>
      <c r="C55" s="384" t="s">
        <v>746</v>
      </c>
      <c r="D55" s="314">
        <v>55</v>
      </c>
      <c r="E55" s="314"/>
      <c r="F55" s="314"/>
      <c r="G55">
        <v>1000</v>
      </c>
      <c r="H55" s="561">
        <f t="shared" si="0"/>
        <v>0</v>
      </c>
    </row>
    <row r="56" spans="1:8" ht="15.75" thickBot="1">
      <c r="A56" s="309">
        <v>50</v>
      </c>
      <c r="B56" s="383" t="s">
        <v>734</v>
      </c>
      <c r="C56" s="384" t="s">
        <v>756</v>
      </c>
      <c r="D56" s="314">
        <v>20</v>
      </c>
      <c r="E56" s="314"/>
      <c r="F56" s="314"/>
      <c r="G56">
        <v>1000</v>
      </c>
      <c r="H56" s="561">
        <f t="shared" si="0"/>
        <v>0</v>
      </c>
    </row>
    <row r="57" spans="1:8" ht="15.75" thickBot="1">
      <c r="A57" s="309">
        <v>51</v>
      </c>
      <c r="B57" s="383" t="s">
        <v>655</v>
      </c>
      <c r="C57" s="384" t="s">
        <v>653</v>
      </c>
      <c r="D57" s="314">
        <v>10</v>
      </c>
      <c r="E57" s="314"/>
      <c r="F57" s="314"/>
      <c r="G57">
        <v>1000</v>
      </c>
      <c r="H57" s="561">
        <f t="shared" si="0"/>
        <v>0</v>
      </c>
    </row>
    <row r="58" spans="1:8" ht="15.75" thickBot="1">
      <c r="A58" s="309">
        <v>52</v>
      </c>
      <c r="B58" s="383" t="s">
        <v>689</v>
      </c>
      <c r="C58" s="384" t="s">
        <v>653</v>
      </c>
      <c r="D58" s="314">
        <v>40</v>
      </c>
      <c r="E58" s="314"/>
      <c r="F58" s="314"/>
      <c r="G58">
        <v>1000</v>
      </c>
      <c r="H58" s="561">
        <f t="shared" si="0"/>
        <v>0</v>
      </c>
    </row>
    <row r="59" spans="1:8" ht="15.75" thickBot="1">
      <c r="A59" s="309">
        <v>53</v>
      </c>
      <c r="B59" s="383" t="s">
        <v>656</v>
      </c>
      <c r="C59" s="384" t="s">
        <v>653</v>
      </c>
      <c r="D59" s="314">
        <v>40</v>
      </c>
      <c r="E59" s="314"/>
      <c r="F59" s="314"/>
      <c r="G59">
        <v>1000</v>
      </c>
      <c r="H59" s="561">
        <f t="shared" si="0"/>
        <v>0</v>
      </c>
    </row>
    <row r="60" spans="1:8" ht="15.75" thickBot="1">
      <c r="A60" s="309">
        <v>54</v>
      </c>
      <c r="B60" s="383" t="s">
        <v>658</v>
      </c>
      <c r="C60" s="384" t="s">
        <v>653</v>
      </c>
      <c r="D60" s="314">
        <v>80</v>
      </c>
      <c r="E60" s="314"/>
      <c r="F60" s="314"/>
      <c r="G60">
        <v>1000</v>
      </c>
      <c r="H60" s="561">
        <f t="shared" si="0"/>
        <v>0</v>
      </c>
    </row>
    <row r="61" spans="1:8" ht="15.75" thickBot="1">
      <c r="A61" s="309">
        <v>55</v>
      </c>
      <c r="B61" s="383" t="s">
        <v>730</v>
      </c>
      <c r="C61" s="384" t="s">
        <v>653</v>
      </c>
      <c r="D61" s="314">
        <v>90</v>
      </c>
      <c r="E61" s="314"/>
      <c r="F61" s="314"/>
      <c r="G61">
        <v>1000</v>
      </c>
      <c r="H61" s="561">
        <f t="shared" si="0"/>
        <v>0</v>
      </c>
    </row>
    <row r="62" spans="1:8" ht="15.75" thickBot="1">
      <c r="A62" s="309">
        <v>56</v>
      </c>
      <c r="B62" s="383" t="s">
        <v>659</v>
      </c>
      <c r="C62" s="384" t="s">
        <v>653</v>
      </c>
      <c r="D62" s="314">
        <v>90</v>
      </c>
      <c r="E62" s="314"/>
      <c r="F62" s="314"/>
      <c r="G62">
        <v>1000</v>
      </c>
      <c r="H62" s="561">
        <f t="shared" si="0"/>
        <v>0</v>
      </c>
    </row>
    <row r="63" spans="1:8" ht="15.75" thickBot="1">
      <c r="A63" s="309">
        <v>57</v>
      </c>
      <c r="B63" s="383" t="s">
        <v>146</v>
      </c>
      <c r="C63" s="384" t="s">
        <v>653</v>
      </c>
      <c r="D63" s="314"/>
      <c r="E63" s="314">
        <v>80</v>
      </c>
      <c r="F63" s="314"/>
      <c r="G63">
        <v>1000</v>
      </c>
      <c r="H63" s="561">
        <f t="shared" si="0"/>
        <v>80000</v>
      </c>
    </row>
    <row r="64" spans="1:8" ht="15.75" thickBot="1">
      <c r="A64" s="309">
        <v>58</v>
      </c>
      <c r="B64" s="383" t="s">
        <v>147</v>
      </c>
      <c r="C64" s="384" t="s">
        <v>653</v>
      </c>
      <c r="D64" s="314"/>
      <c r="E64" s="314">
        <v>90</v>
      </c>
      <c r="F64" s="314"/>
      <c r="G64">
        <v>1000</v>
      </c>
      <c r="H64" s="561">
        <f t="shared" si="0"/>
        <v>90000</v>
      </c>
    </row>
    <row r="65" spans="1:8" ht="15.75" thickBot="1">
      <c r="A65" s="309">
        <v>59</v>
      </c>
      <c r="B65" s="383" t="s">
        <v>56</v>
      </c>
      <c r="C65" s="384" t="s">
        <v>653</v>
      </c>
      <c r="D65" s="314"/>
      <c r="E65" s="314">
        <v>80</v>
      </c>
      <c r="F65" s="314"/>
      <c r="G65">
        <v>1000</v>
      </c>
      <c r="H65" s="561">
        <f t="shared" si="0"/>
        <v>80000</v>
      </c>
    </row>
    <row r="66" spans="1:8" ht="15.75" thickBot="1">
      <c r="A66" s="309">
        <v>60</v>
      </c>
      <c r="B66" s="383" t="s">
        <v>50</v>
      </c>
      <c r="C66" s="384" t="s">
        <v>653</v>
      </c>
      <c r="D66" s="314"/>
      <c r="E66" s="314">
        <v>125</v>
      </c>
      <c r="F66" s="314"/>
      <c r="G66">
        <v>1000</v>
      </c>
      <c r="H66" s="561">
        <f t="shared" si="0"/>
        <v>125000</v>
      </c>
    </row>
    <row r="67" spans="1:8" ht="15.75" thickBot="1">
      <c r="A67" s="309">
        <v>61</v>
      </c>
      <c r="B67" s="383" t="s">
        <v>60</v>
      </c>
      <c r="C67" s="384" t="s">
        <v>653</v>
      </c>
      <c r="D67" s="314"/>
      <c r="E67" s="314">
        <v>50</v>
      </c>
      <c r="F67" s="314"/>
      <c r="G67">
        <v>1000</v>
      </c>
      <c r="H67" s="561">
        <f t="shared" si="0"/>
        <v>50000</v>
      </c>
    </row>
    <row r="68" spans="1:8" ht="15.75" thickBot="1">
      <c r="A68" s="309">
        <v>62</v>
      </c>
      <c r="B68" s="383" t="s">
        <v>138</v>
      </c>
      <c r="C68" s="384" t="s">
        <v>653</v>
      </c>
      <c r="D68" s="314"/>
      <c r="E68" s="314">
        <v>20</v>
      </c>
      <c r="F68" s="314"/>
      <c r="G68">
        <v>1000</v>
      </c>
      <c r="H68" s="561">
        <f t="shared" si="0"/>
        <v>20000</v>
      </c>
    </row>
    <row r="69" spans="1:8" ht="15.75" thickBot="1">
      <c r="A69" s="309">
        <v>63</v>
      </c>
      <c r="B69" s="383" t="s">
        <v>46</v>
      </c>
      <c r="C69" s="384" t="s">
        <v>653</v>
      </c>
      <c r="D69" s="314"/>
      <c r="E69" s="314">
        <v>10</v>
      </c>
      <c r="F69" s="314"/>
      <c r="G69">
        <v>1000</v>
      </c>
      <c r="H69" s="561">
        <f t="shared" si="0"/>
        <v>10000</v>
      </c>
    </row>
    <row r="70" spans="1:8" ht="15.75" thickBot="1">
      <c r="A70" s="309">
        <v>64</v>
      </c>
      <c r="B70" s="383" t="s">
        <v>52</v>
      </c>
      <c r="C70" s="384" t="s">
        <v>653</v>
      </c>
      <c r="D70" s="314"/>
      <c r="E70" s="314">
        <v>50</v>
      </c>
      <c r="F70" s="314"/>
      <c r="G70">
        <v>1000</v>
      </c>
      <c r="H70" s="561">
        <f t="shared" si="0"/>
        <v>50000</v>
      </c>
    </row>
    <row r="71" spans="1:8" ht="15.75" thickBot="1">
      <c r="A71" s="309">
        <v>65</v>
      </c>
      <c r="B71" s="383" t="s">
        <v>151</v>
      </c>
      <c r="C71" s="384" t="s">
        <v>653</v>
      </c>
      <c r="D71" s="314"/>
      <c r="E71" s="314">
        <v>20</v>
      </c>
      <c r="F71" s="314"/>
      <c r="G71">
        <v>1000</v>
      </c>
      <c r="H71" s="561">
        <f t="shared" si="0"/>
        <v>20000</v>
      </c>
    </row>
    <row r="72" spans="1:8" ht="15.75" thickBot="1">
      <c r="A72" s="309">
        <v>66</v>
      </c>
      <c r="B72" s="383" t="s">
        <v>1466</v>
      </c>
      <c r="C72" s="384" t="s">
        <v>653</v>
      </c>
      <c r="D72" s="314"/>
      <c r="E72" s="314">
        <v>20</v>
      </c>
      <c r="F72" s="314"/>
      <c r="G72">
        <v>1000</v>
      </c>
      <c r="H72" s="561">
        <f t="shared" ref="H72:H96" si="1">E72*G72</f>
        <v>20000</v>
      </c>
    </row>
    <row r="73" spans="1:8" ht="15.75" thickBot="1">
      <c r="A73" s="309">
        <v>67</v>
      </c>
      <c r="B73" s="383" t="s">
        <v>670</v>
      </c>
      <c r="C73" s="384" t="s">
        <v>668</v>
      </c>
      <c r="D73" s="314">
        <v>190</v>
      </c>
      <c r="E73" s="314"/>
      <c r="F73" s="314"/>
      <c r="G73">
        <v>1000</v>
      </c>
      <c r="H73" s="561">
        <f t="shared" si="1"/>
        <v>0</v>
      </c>
    </row>
    <row r="74" spans="1:8" ht="15.75" thickBot="1">
      <c r="A74" s="309">
        <v>68</v>
      </c>
      <c r="B74" s="383" t="s">
        <v>669</v>
      </c>
      <c r="C74" s="384" t="s">
        <v>668</v>
      </c>
      <c r="D74" s="314">
        <v>40</v>
      </c>
      <c r="E74" s="314"/>
      <c r="F74" s="314"/>
      <c r="G74">
        <v>1000</v>
      </c>
      <c r="H74" s="561">
        <f t="shared" si="1"/>
        <v>0</v>
      </c>
    </row>
    <row r="75" spans="1:8" ht="15.75" thickBot="1">
      <c r="A75" s="309">
        <v>69</v>
      </c>
      <c r="B75" s="383" t="s">
        <v>693</v>
      </c>
      <c r="C75" s="384" t="s">
        <v>668</v>
      </c>
      <c r="D75" s="314">
        <v>60</v>
      </c>
      <c r="E75" s="314"/>
      <c r="F75" s="314"/>
      <c r="G75">
        <v>1000</v>
      </c>
      <c r="H75" s="561">
        <f t="shared" si="1"/>
        <v>0</v>
      </c>
    </row>
    <row r="76" spans="1:8" ht="15.75" thickBot="1">
      <c r="A76" s="309">
        <v>70</v>
      </c>
      <c r="B76" s="383" t="s">
        <v>672</v>
      </c>
      <c r="C76" s="384" t="s">
        <v>668</v>
      </c>
      <c r="D76" s="314">
        <v>100</v>
      </c>
      <c r="E76" s="314"/>
      <c r="F76" s="314"/>
      <c r="G76">
        <v>1000</v>
      </c>
      <c r="H76" s="561">
        <f t="shared" si="1"/>
        <v>0</v>
      </c>
    </row>
    <row r="77" spans="1:8" ht="15.75" thickBot="1">
      <c r="A77" s="309">
        <v>71</v>
      </c>
      <c r="B77" s="383" t="s">
        <v>671</v>
      </c>
      <c r="C77" s="384" t="s">
        <v>668</v>
      </c>
      <c r="D77" s="314">
        <v>90</v>
      </c>
      <c r="E77" s="314"/>
      <c r="F77" s="314"/>
      <c r="G77">
        <v>1000</v>
      </c>
      <c r="H77" s="561">
        <f t="shared" si="1"/>
        <v>0</v>
      </c>
    </row>
    <row r="78" spans="1:8" ht="15.75" thickBot="1">
      <c r="A78" s="309">
        <v>72</v>
      </c>
      <c r="B78" s="383" t="s">
        <v>732</v>
      </c>
      <c r="C78" s="384" t="s">
        <v>668</v>
      </c>
      <c r="D78" s="314">
        <v>30</v>
      </c>
      <c r="E78" s="314"/>
      <c r="F78" s="314"/>
      <c r="G78">
        <v>1000</v>
      </c>
      <c r="H78" s="561">
        <f t="shared" si="1"/>
        <v>0</v>
      </c>
    </row>
    <row r="79" spans="1:8" ht="15.75" thickBot="1">
      <c r="A79" s="309">
        <v>73</v>
      </c>
      <c r="B79" s="383" t="s">
        <v>692</v>
      </c>
      <c r="C79" s="384" t="s">
        <v>668</v>
      </c>
      <c r="D79" s="314">
        <v>40</v>
      </c>
      <c r="E79" s="314"/>
      <c r="F79" s="314"/>
      <c r="G79">
        <v>1000</v>
      </c>
      <c r="H79" s="561">
        <f t="shared" si="1"/>
        <v>0</v>
      </c>
    </row>
    <row r="80" spans="1:8" ht="15.75" thickBot="1">
      <c r="A80" s="309">
        <v>74</v>
      </c>
      <c r="B80" s="383" t="s">
        <v>273</v>
      </c>
      <c r="C80" s="384" t="s">
        <v>668</v>
      </c>
      <c r="D80" s="314"/>
      <c r="E80" s="314">
        <v>20</v>
      </c>
      <c r="F80" s="314"/>
      <c r="G80">
        <v>1000</v>
      </c>
      <c r="H80" s="561">
        <f t="shared" si="1"/>
        <v>20000</v>
      </c>
    </row>
    <row r="81" spans="1:8" ht="15.75" thickBot="1">
      <c r="A81" s="309">
        <v>75</v>
      </c>
      <c r="B81" s="383" t="s">
        <v>39</v>
      </c>
      <c r="C81" s="384" t="s">
        <v>668</v>
      </c>
      <c r="D81" s="314"/>
      <c r="E81" s="314">
        <v>275</v>
      </c>
      <c r="F81" s="314"/>
      <c r="G81">
        <v>1000</v>
      </c>
      <c r="H81" s="561">
        <f t="shared" si="1"/>
        <v>275000</v>
      </c>
    </row>
    <row r="82" spans="1:8" ht="15.75" thickBot="1">
      <c r="A82" s="309">
        <v>76</v>
      </c>
      <c r="B82" s="383" t="s">
        <v>29</v>
      </c>
      <c r="C82" s="384" t="s">
        <v>668</v>
      </c>
      <c r="D82" s="314"/>
      <c r="E82" s="314">
        <v>30</v>
      </c>
      <c r="F82" s="314"/>
      <c r="G82">
        <v>1000</v>
      </c>
      <c r="H82" s="561">
        <f t="shared" si="1"/>
        <v>30000</v>
      </c>
    </row>
    <row r="83" spans="1:8" ht="15.75" thickBot="1">
      <c r="A83" s="309">
        <v>77</v>
      </c>
      <c r="B83" s="383" t="s">
        <v>31</v>
      </c>
      <c r="C83" s="384" t="s">
        <v>668</v>
      </c>
      <c r="D83" s="314"/>
      <c r="E83" s="314">
        <v>100</v>
      </c>
      <c r="F83" s="314"/>
      <c r="G83">
        <v>1000</v>
      </c>
      <c r="H83" s="561">
        <f t="shared" si="1"/>
        <v>100000</v>
      </c>
    </row>
    <row r="84" spans="1:8" ht="15.75" thickBot="1">
      <c r="A84" s="309">
        <v>78</v>
      </c>
      <c r="B84" s="383" t="s">
        <v>213</v>
      </c>
      <c r="C84" s="384" t="s">
        <v>668</v>
      </c>
      <c r="D84" s="314"/>
      <c r="E84" s="314">
        <v>30</v>
      </c>
      <c r="F84" s="314"/>
      <c r="G84">
        <v>1000</v>
      </c>
      <c r="H84" s="561">
        <f t="shared" si="1"/>
        <v>30000</v>
      </c>
    </row>
    <row r="85" spans="1:8" ht="15.75" thickBot="1">
      <c r="A85" s="309">
        <v>79</v>
      </c>
      <c r="B85" s="383" t="s">
        <v>262</v>
      </c>
      <c r="C85" s="384" t="s">
        <v>668</v>
      </c>
      <c r="D85" s="314"/>
      <c r="E85" s="314">
        <v>35</v>
      </c>
      <c r="F85" s="314"/>
      <c r="G85">
        <v>1000</v>
      </c>
      <c r="H85" s="561">
        <f t="shared" si="1"/>
        <v>35000</v>
      </c>
    </row>
    <row r="86" spans="1:8" ht="15.75" thickBot="1">
      <c r="A86" s="309">
        <v>80</v>
      </c>
      <c r="B86" s="383" t="s">
        <v>295</v>
      </c>
      <c r="C86" s="384" t="s">
        <v>668</v>
      </c>
      <c r="D86" s="314"/>
      <c r="E86" s="314">
        <v>85</v>
      </c>
      <c r="F86" s="314"/>
      <c r="G86">
        <v>1000</v>
      </c>
      <c r="H86" s="561">
        <f t="shared" si="1"/>
        <v>85000</v>
      </c>
    </row>
    <row r="87" spans="1:8" ht="15.75" thickBot="1">
      <c r="A87" s="309">
        <v>81</v>
      </c>
      <c r="B87" s="383" t="s">
        <v>435</v>
      </c>
      <c r="C87" s="384" t="s">
        <v>668</v>
      </c>
      <c r="D87" s="314"/>
      <c r="E87" s="314">
        <v>40</v>
      </c>
      <c r="F87" s="314"/>
      <c r="G87">
        <v>1000</v>
      </c>
      <c r="H87" s="561">
        <f t="shared" si="1"/>
        <v>40000</v>
      </c>
    </row>
    <row r="88" spans="1:8" ht="15.75" thickBot="1">
      <c r="A88" s="309">
        <v>82</v>
      </c>
      <c r="B88" s="383" t="s">
        <v>1316</v>
      </c>
      <c r="C88" s="384" t="s">
        <v>668</v>
      </c>
      <c r="D88" s="314"/>
      <c r="E88" s="314">
        <v>30</v>
      </c>
      <c r="F88" s="314"/>
      <c r="G88">
        <v>1000</v>
      </c>
      <c r="H88" s="561">
        <f t="shared" si="1"/>
        <v>30000</v>
      </c>
    </row>
    <row r="89" spans="1:8" ht="15.75" thickBot="1">
      <c r="A89" s="309">
        <v>83</v>
      </c>
      <c r="B89" s="383" t="s">
        <v>741</v>
      </c>
      <c r="C89" s="384" t="s">
        <v>674</v>
      </c>
      <c r="D89" s="314">
        <v>50</v>
      </c>
      <c r="E89" s="314"/>
      <c r="F89" s="314"/>
      <c r="G89">
        <v>1000</v>
      </c>
      <c r="H89" s="561">
        <f t="shared" si="1"/>
        <v>0</v>
      </c>
    </row>
    <row r="90" spans="1:8" ht="15.75" thickBot="1">
      <c r="A90" s="309">
        <v>84</v>
      </c>
      <c r="B90" s="383" t="s">
        <v>675</v>
      </c>
      <c r="C90" s="384" t="s">
        <v>674</v>
      </c>
      <c r="D90" s="314">
        <v>40</v>
      </c>
      <c r="E90" s="314"/>
      <c r="F90" s="314"/>
      <c r="G90">
        <v>1000</v>
      </c>
      <c r="H90" s="561">
        <f t="shared" si="1"/>
        <v>0</v>
      </c>
    </row>
    <row r="91" spans="1:8" ht="15.75" thickBot="1">
      <c r="A91" s="309">
        <v>85</v>
      </c>
      <c r="B91" s="383" t="s">
        <v>742</v>
      </c>
      <c r="C91" s="384" t="s">
        <v>674</v>
      </c>
      <c r="D91" s="314">
        <v>10</v>
      </c>
      <c r="E91" s="314"/>
      <c r="F91" s="314"/>
      <c r="G91">
        <v>1000</v>
      </c>
      <c r="H91" s="561">
        <f t="shared" si="1"/>
        <v>0</v>
      </c>
    </row>
    <row r="92" spans="1:8" ht="15.75" thickBot="1">
      <c r="A92" s="309">
        <v>86</v>
      </c>
      <c r="B92" s="383" t="s">
        <v>743</v>
      </c>
      <c r="C92" s="384" t="s">
        <v>674</v>
      </c>
      <c r="D92" s="314">
        <v>30</v>
      </c>
      <c r="E92" s="314"/>
      <c r="F92" s="314"/>
      <c r="G92">
        <v>1000</v>
      </c>
      <c r="H92" s="561">
        <f t="shared" si="1"/>
        <v>0</v>
      </c>
    </row>
    <row r="93" spans="1:8" ht="15.75" thickBot="1">
      <c r="A93" s="309">
        <v>87</v>
      </c>
      <c r="B93" s="383" t="s">
        <v>182</v>
      </c>
      <c r="C93" s="384" t="s">
        <v>674</v>
      </c>
      <c r="D93" s="314"/>
      <c r="E93" s="314">
        <v>60</v>
      </c>
      <c r="F93" s="314"/>
      <c r="G93">
        <v>1000</v>
      </c>
      <c r="H93" s="561">
        <f t="shared" si="1"/>
        <v>60000</v>
      </c>
    </row>
    <row r="94" spans="1:8" ht="15.75" thickBot="1">
      <c r="A94" s="309">
        <v>88</v>
      </c>
      <c r="B94" s="383" t="s">
        <v>150</v>
      </c>
      <c r="C94" s="384" t="s">
        <v>674</v>
      </c>
      <c r="D94" s="314"/>
      <c r="E94" s="314">
        <v>20</v>
      </c>
      <c r="F94" s="314"/>
      <c r="G94">
        <v>1000</v>
      </c>
      <c r="H94" s="561">
        <f t="shared" si="1"/>
        <v>20000</v>
      </c>
    </row>
    <row r="95" spans="1:8" ht="15.75" thickBot="1">
      <c r="A95" s="309">
        <v>89</v>
      </c>
      <c r="B95" s="383" t="s">
        <v>149</v>
      </c>
      <c r="C95" s="384" t="s">
        <v>674</v>
      </c>
      <c r="D95" s="314"/>
      <c r="E95" s="314">
        <v>180</v>
      </c>
      <c r="F95" s="314"/>
      <c r="G95">
        <v>1000</v>
      </c>
      <c r="H95" s="561">
        <f t="shared" si="1"/>
        <v>180000</v>
      </c>
    </row>
    <row r="96" spans="1:8" ht="15.75" thickBot="1">
      <c r="A96" s="309">
        <v>90</v>
      </c>
      <c r="B96" s="383" t="s">
        <v>72</v>
      </c>
      <c r="C96" s="384" t="s">
        <v>674</v>
      </c>
      <c r="D96" s="314"/>
      <c r="E96" s="314">
        <v>40</v>
      </c>
      <c r="F96" s="314"/>
      <c r="G96">
        <v>1000</v>
      </c>
      <c r="H96" s="561">
        <f t="shared" si="1"/>
        <v>40000</v>
      </c>
    </row>
    <row r="97" spans="1:6" ht="15.75" thickBot="1">
      <c r="A97" s="1572" t="s">
        <v>758</v>
      </c>
      <c r="B97" s="1573"/>
      <c r="C97" s="318"/>
      <c r="D97" s="696" t="s">
        <v>1467</v>
      </c>
      <c r="E97" s="696" t="s">
        <v>1468</v>
      </c>
      <c r="F97" s="696"/>
    </row>
    <row r="98" spans="1:6" ht="15.75" thickBot="1">
      <c r="A98" s="1572" t="s">
        <v>864</v>
      </c>
      <c r="B98" s="1573"/>
      <c r="C98" s="318"/>
      <c r="D98" s="1572" t="s">
        <v>1469</v>
      </c>
      <c r="E98" s="1573"/>
      <c r="F98" s="697"/>
    </row>
    <row r="99" spans="1:6">
      <c r="A99" s="294" t="s">
        <v>1470</v>
      </c>
    </row>
  </sheetData>
  <mergeCells count="8">
    <mergeCell ref="F5:F6"/>
    <mergeCell ref="A97:B97"/>
    <mergeCell ref="A98:B98"/>
    <mergeCell ref="D98:E98"/>
    <mergeCell ref="A5:A6"/>
    <mergeCell ref="B5:B6"/>
    <mergeCell ref="C5:C6"/>
    <mergeCell ref="D5:E5"/>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4"/>
  <sheetViews>
    <sheetView topLeftCell="A52" workbookViewId="0">
      <selection activeCell="H65" sqref="H65"/>
    </sheetView>
  </sheetViews>
  <sheetFormatPr defaultRowHeight="15"/>
  <cols>
    <col min="1" max="1" width="13.85546875" customWidth="1"/>
    <col min="2" max="2" width="30.140625" customWidth="1"/>
    <col min="3" max="3" width="20.5703125" customWidth="1"/>
    <col min="4" max="4" width="13.42578125" customWidth="1"/>
    <col min="5" max="5" width="13.5703125" customWidth="1"/>
  </cols>
  <sheetData>
    <row r="1" spans="1:6" ht="15.75">
      <c r="A1" s="205" t="s">
        <v>1161</v>
      </c>
    </row>
    <row r="2" spans="1:6" ht="15.75">
      <c r="A2" s="205"/>
    </row>
    <row r="3" spans="1:6">
      <c r="A3" s="686" t="s">
        <v>1162</v>
      </c>
    </row>
    <row r="4" spans="1:6" ht="15.75">
      <c r="A4" s="232" t="s">
        <v>1474</v>
      </c>
    </row>
    <row r="5" spans="1:6" ht="16.5" thickBot="1">
      <c r="A5" s="232"/>
    </row>
    <row r="6" spans="1:6" ht="31.5" customHeight="1" thickBot="1">
      <c r="A6" s="380" t="s">
        <v>0</v>
      </c>
      <c r="B6" s="380" t="s">
        <v>121</v>
      </c>
      <c r="C6" s="380" t="s">
        <v>632</v>
      </c>
      <c r="D6" s="398" t="s">
        <v>894</v>
      </c>
      <c r="E6" s="399"/>
      <c r="F6" s="380" t="s">
        <v>699</v>
      </c>
    </row>
    <row r="7" spans="1:6" ht="16.5" thickBot="1">
      <c r="A7" s="400"/>
      <c r="B7" s="400"/>
      <c r="C7" s="400"/>
      <c r="D7" s="381" t="s">
        <v>828</v>
      </c>
      <c r="E7" s="381" t="s">
        <v>829</v>
      </c>
      <c r="F7" s="400"/>
    </row>
    <row r="8" spans="1:6" ht="16.5" thickBot="1">
      <c r="A8" s="382">
        <v>1</v>
      </c>
      <c r="B8" s="687" t="s">
        <v>39</v>
      </c>
      <c r="C8" s="688" t="s">
        <v>668</v>
      </c>
      <c r="D8" s="386"/>
      <c r="E8" s="689">
        <v>235000</v>
      </c>
      <c r="F8" s="386"/>
    </row>
    <row r="9" spans="1:6" ht="32.25" customHeight="1" thickBot="1">
      <c r="A9" s="382">
        <v>2</v>
      </c>
      <c r="B9" s="687" t="s">
        <v>29</v>
      </c>
      <c r="C9" s="688" t="s">
        <v>668</v>
      </c>
      <c r="D9" s="386"/>
      <c r="E9" s="689">
        <v>150000</v>
      </c>
      <c r="F9" s="386"/>
    </row>
    <row r="10" spans="1:6" ht="48" customHeight="1" thickBot="1">
      <c r="A10" s="382">
        <v>3</v>
      </c>
      <c r="B10" s="687" t="s">
        <v>213</v>
      </c>
      <c r="C10" s="688" t="s">
        <v>668</v>
      </c>
      <c r="D10" s="386"/>
      <c r="E10" s="689">
        <v>120000</v>
      </c>
      <c r="F10" s="386"/>
    </row>
    <row r="11" spans="1:6" ht="48" customHeight="1" thickBot="1">
      <c r="A11" s="382">
        <v>4</v>
      </c>
      <c r="B11" s="687" t="s">
        <v>295</v>
      </c>
      <c r="C11" s="688" t="s">
        <v>668</v>
      </c>
      <c r="D11" s="386"/>
      <c r="E11" s="689">
        <v>85000</v>
      </c>
      <c r="F11" s="386"/>
    </row>
    <row r="12" spans="1:6" ht="32.25" customHeight="1" thickBot="1">
      <c r="A12" s="382">
        <v>5</v>
      </c>
      <c r="B12" s="687" t="s">
        <v>1316</v>
      </c>
      <c r="C12" s="688" t="s">
        <v>668</v>
      </c>
      <c r="D12" s="386"/>
      <c r="E12" s="689">
        <v>85000</v>
      </c>
      <c r="F12" s="386"/>
    </row>
    <row r="13" spans="1:6" ht="48" customHeight="1" thickBot="1">
      <c r="A13" s="382">
        <v>6</v>
      </c>
      <c r="B13" s="687" t="s">
        <v>672</v>
      </c>
      <c r="C13" s="688" t="s">
        <v>668</v>
      </c>
      <c r="D13" s="689">
        <v>50000</v>
      </c>
      <c r="E13" s="386"/>
      <c r="F13" s="386"/>
    </row>
    <row r="14" spans="1:6" ht="48" customHeight="1" thickBot="1">
      <c r="A14" s="382">
        <v>7</v>
      </c>
      <c r="B14" s="687" t="s">
        <v>669</v>
      </c>
      <c r="C14" s="688" t="s">
        <v>668</v>
      </c>
      <c r="D14" s="689">
        <v>190000</v>
      </c>
      <c r="E14" s="386"/>
      <c r="F14" s="386"/>
    </row>
    <row r="15" spans="1:6" ht="48" customHeight="1" thickBot="1">
      <c r="A15" s="382">
        <v>8</v>
      </c>
      <c r="B15" s="687" t="s">
        <v>654</v>
      </c>
      <c r="C15" s="688" t="s">
        <v>653</v>
      </c>
      <c r="D15" s="689">
        <v>25000</v>
      </c>
      <c r="E15" s="386"/>
      <c r="F15" s="386"/>
    </row>
    <row r="16" spans="1:6" ht="32.25" customHeight="1" thickBot="1">
      <c r="A16" s="382">
        <v>9</v>
      </c>
      <c r="B16" s="687" t="s">
        <v>655</v>
      </c>
      <c r="C16" s="688" t="s">
        <v>653</v>
      </c>
      <c r="D16" s="689">
        <v>50000</v>
      </c>
      <c r="E16" s="386"/>
      <c r="F16" s="386"/>
    </row>
    <row r="17" spans="1:6" ht="48" customHeight="1" thickBot="1">
      <c r="A17" s="382">
        <v>10</v>
      </c>
      <c r="B17" s="687" t="s">
        <v>52</v>
      </c>
      <c r="C17" s="688" t="s">
        <v>653</v>
      </c>
      <c r="D17" s="386"/>
      <c r="E17" s="689">
        <v>150000</v>
      </c>
      <c r="F17" s="386"/>
    </row>
    <row r="18" spans="1:6" ht="48" customHeight="1" thickBot="1">
      <c r="A18" s="382">
        <v>11</v>
      </c>
      <c r="B18" s="687" t="s">
        <v>138</v>
      </c>
      <c r="C18" s="688" t="s">
        <v>653</v>
      </c>
      <c r="D18" s="386"/>
      <c r="E18" s="689">
        <v>75000</v>
      </c>
      <c r="F18" s="386"/>
    </row>
    <row r="19" spans="1:6" ht="48" customHeight="1" thickBot="1">
      <c r="A19" s="382">
        <v>12</v>
      </c>
      <c r="B19" s="687" t="s">
        <v>689</v>
      </c>
      <c r="C19" s="688" t="s">
        <v>653</v>
      </c>
      <c r="D19" s="689">
        <v>45000</v>
      </c>
      <c r="E19" s="386"/>
      <c r="F19" s="386"/>
    </row>
    <row r="20" spans="1:6" ht="48" customHeight="1" thickBot="1">
      <c r="A20" s="382">
        <v>13</v>
      </c>
      <c r="B20" s="687" t="s">
        <v>730</v>
      </c>
      <c r="C20" s="688" t="s">
        <v>653</v>
      </c>
      <c r="D20" s="689">
        <v>50000</v>
      </c>
      <c r="E20" s="386"/>
      <c r="F20" s="386"/>
    </row>
    <row r="21" spans="1:6" ht="48" customHeight="1" thickBot="1">
      <c r="A21" s="382">
        <v>14</v>
      </c>
      <c r="B21" s="687" t="s">
        <v>56</v>
      </c>
      <c r="C21" s="688" t="s">
        <v>653</v>
      </c>
      <c r="D21" s="386"/>
      <c r="E21" s="689">
        <v>90000</v>
      </c>
      <c r="F21" s="386"/>
    </row>
    <row r="22" spans="1:6" ht="48" customHeight="1" thickBot="1">
      <c r="A22" s="382">
        <v>15</v>
      </c>
      <c r="B22" s="687" t="s">
        <v>50</v>
      </c>
      <c r="C22" s="688" t="s">
        <v>653</v>
      </c>
      <c r="D22" s="386"/>
      <c r="E22" s="689">
        <v>145000</v>
      </c>
      <c r="F22" s="386"/>
    </row>
    <row r="23" spans="1:6" ht="48" customHeight="1" thickBot="1">
      <c r="A23" s="382">
        <v>16</v>
      </c>
      <c r="B23" s="687" t="s">
        <v>65</v>
      </c>
      <c r="C23" s="688" t="s">
        <v>646</v>
      </c>
      <c r="D23" s="386"/>
      <c r="E23" s="689">
        <v>85000</v>
      </c>
      <c r="F23" s="386"/>
    </row>
    <row r="24" spans="1:6" ht="48" customHeight="1" thickBot="1">
      <c r="A24" s="382">
        <v>17</v>
      </c>
      <c r="B24" s="687" t="s">
        <v>148</v>
      </c>
      <c r="C24" s="688" t="s">
        <v>646</v>
      </c>
      <c r="D24" s="386"/>
      <c r="E24" s="689">
        <v>50000</v>
      </c>
      <c r="F24" s="386"/>
    </row>
    <row r="25" spans="1:6" ht="32.25" customHeight="1" thickBot="1">
      <c r="A25" s="382">
        <v>18</v>
      </c>
      <c r="B25" s="687" t="s">
        <v>723</v>
      </c>
      <c r="C25" s="688" t="s">
        <v>646</v>
      </c>
      <c r="D25" s="689">
        <v>120000</v>
      </c>
      <c r="E25" s="386"/>
      <c r="F25" s="386"/>
    </row>
    <row r="26" spans="1:6" ht="48" customHeight="1" thickBot="1">
      <c r="A26" s="382">
        <v>19</v>
      </c>
      <c r="B26" s="687" t="s">
        <v>725</v>
      </c>
      <c r="C26" s="688" t="s">
        <v>646</v>
      </c>
      <c r="D26" s="386"/>
      <c r="E26" s="689">
        <v>80000</v>
      </c>
      <c r="F26" s="386"/>
    </row>
    <row r="27" spans="1:6" ht="48" customHeight="1" thickBot="1">
      <c r="A27" s="382">
        <v>20</v>
      </c>
      <c r="B27" s="687" t="s">
        <v>1434</v>
      </c>
      <c r="C27" s="688" t="s">
        <v>646</v>
      </c>
      <c r="D27" s="386"/>
      <c r="E27" s="689">
        <v>50000</v>
      </c>
      <c r="F27" s="386"/>
    </row>
    <row r="28" spans="1:6" ht="32.25" customHeight="1" thickBot="1">
      <c r="A28" s="382">
        <v>21</v>
      </c>
      <c r="B28" s="687" t="s">
        <v>72</v>
      </c>
      <c r="C28" s="688" t="s">
        <v>674</v>
      </c>
      <c r="D28" s="386"/>
      <c r="E28" s="689">
        <v>185000</v>
      </c>
      <c r="F28" s="386"/>
    </row>
    <row r="29" spans="1:6" ht="63.75" customHeight="1" thickBot="1">
      <c r="A29" s="382">
        <v>22</v>
      </c>
      <c r="B29" s="687" t="s">
        <v>150</v>
      </c>
      <c r="C29" s="688" t="s">
        <v>674</v>
      </c>
      <c r="D29" s="386"/>
      <c r="E29" s="689">
        <v>75000</v>
      </c>
      <c r="F29" s="386"/>
    </row>
    <row r="30" spans="1:6" ht="32.25" customHeight="1" thickBot="1">
      <c r="A30" s="382">
        <v>23</v>
      </c>
      <c r="B30" s="687" t="s">
        <v>742</v>
      </c>
      <c r="C30" s="688" t="s">
        <v>674</v>
      </c>
      <c r="D30" s="689">
        <v>150000</v>
      </c>
      <c r="E30" s="386"/>
      <c r="F30" s="386"/>
    </row>
    <row r="31" spans="1:6" ht="48" customHeight="1" thickBot="1">
      <c r="A31" s="382">
        <v>24</v>
      </c>
      <c r="B31" s="687" t="s">
        <v>743</v>
      </c>
      <c r="C31" s="688" t="s">
        <v>674</v>
      </c>
      <c r="D31" s="689">
        <v>100000</v>
      </c>
      <c r="E31" s="386"/>
      <c r="F31" s="386"/>
    </row>
    <row r="32" spans="1:6" ht="48" customHeight="1" thickBot="1">
      <c r="A32" s="382">
        <v>25</v>
      </c>
      <c r="B32" s="687" t="s">
        <v>81</v>
      </c>
      <c r="C32" s="688" t="s">
        <v>649</v>
      </c>
      <c r="D32" s="386"/>
      <c r="E32" s="689">
        <v>75000</v>
      </c>
      <c r="F32" s="386"/>
    </row>
    <row r="33" spans="1:6" ht="48" customHeight="1" thickBot="1">
      <c r="A33" s="382">
        <v>26</v>
      </c>
      <c r="B33" s="687" t="s">
        <v>205</v>
      </c>
      <c r="C33" s="688" t="s">
        <v>649</v>
      </c>
      <c r="D33" s="386"/>
      <c r="E33" s="689">
        <v>50000</v>
      </c>
      <c r="F33" s="386"/>
    </row>
    <row r="34" spans="1:6" ht="48" customHeight="1" thickBot="1">
      <c r="A34" s="746">
        <v>27</v>
      </c>
      <c r="B34" s="687" t="s">
        <v>831</v>
      </c>
      <c r="C34" s="688" t="s">
        <v>649</v>
      </c>
      <c r="D34" s="386"/>
      <c r="E34" s="689">
        <v>10000</v>
      </c>
      <c r="F34" s="386"/>
    </row>
    <row r="35" spans="1:6" ht="32.25" customHeight="1" thickBot="1">
      <c r="A35" s="746">
        <v>28</v>
      </c>
      <c r="B35" s="687" t="s">
        <v>187</v>
      </c>
      <c r="C35" s="688" t="s">
        <v>649</v>
      </c>
      <c r="D35" s="386"/>
      <c r="E35" s="689">
        <v>175000</v>
      </c>
      <c r="F35" s="386"/>
    </row>
    <row r="36" spans="1:6" ht="32.25" customHeight="1" thickBot="1">
      <c r="A36" s="746">
        <v>29</v>
      </c>
      <c r="B36" s="687" t="s">
        <v>152</v>
      </c>
      <c r="C36" s="688" t="s">
        <v>649</v>
      </c>
      <c r="D36" s="386"/>
      <c r="E36" s="689">
        <v>185000</v>
      </c>
      <c r="F36" s="386"/>
    </row>
    <row r="37" spans="1:6" ht="32.25" customHeight="1" thickBot="1">
      <c r="A37" s="746">
        <v>30</v>
      </c>
      <c r="B37" s="687" t="s">
        <v>91</v>
      </c>
      <c r="C37" s="688" t="s">
        <v>650</v>
      </c>
      <c r="D37" s="386"/>
      <c r="E37" s="689">
        <v>175000</v>
      </c>
      <c r="F37" s="386"/>
    </row>
    <row r="38" spans="1:6" ht="31.5" customHeight="1" thickBot="1">
      <c r="A38" s="746">
        <v>31</v>
      </c>
      <c r="B38" s="687" t="s">
        <v>83</v>
      </c>
      <c r="C38" s="688" t="s">
        <v>650</v>
      </c>
      <c r="D38" s="386"/>
      <c r="E38" s="689">
        <v>80000</v>
      </c>
      <c r="F38" s="386"/>
    </row>
    <row r="39" spans="1:6" ht="48" customHeight="1" thickBot="1">
      <c r="A39" s="746">
        <v>32</v>
      </c>
      <c r="B39" s="687" t="s">
        <v>269</v>
      </c>
      <c r="C39" s="688" t="s">
        <v>650</v>
      </c>
      <c r="D39" s="386"/>
      <c r="E39" s="689">
        <v>100000</v>
      </c>
      <c r="F39" s="386"/>
    </row>
    <row r="40" spans="1:6" ht="32.25" customHeight="1" thickBot="1">
      <c r="A40" s="746">
        <v>33</v>
      </c>
      <c r="B40" s="687" t="s">
        <v>1401</v>
      </c>
      <c r="C40" s="688" t="s">
        <v>650</v>
      </c>
      <c r="D40" s="689">
        <v>135000</v>
      </c>
      <c r="E40" s="386"/>
      <c r="F40" s="386"/>
    </row>
    <row r="41" spans="1:6" ht="32.25" customHeight="1" thickBot="1">
      <c r="A41" s="746">
        <v>34</v>
      </c>
      <c r="B41" s="687" t="s">
        <v>644</v>
      </c>
      <c r="C41" s="688" t="s">
        <v>642</v>
      </c>
      <c r="D41" s="386"/>
      <c r="E41" s="689">
        <v>95000</v>
      </c>
      <c r="F41" s="386"/>
    </row>
    <row r="42" spans="1:6" ht="48" customHeight="1" thickBot="1">
      <c r="A42" s="746">
        <v>35</v>
      </c>
      <c r="B42" s="687" t="s">
        <v>715</v>
      </c>
      <c r="C42" s="688" t="s">
        <v>642</v>
      </c>
      <c r="D42" s="689">
        <v>50000</v>
      </c>
      <c r="E42" s="386"/>
      <c r="F42" s="386"/>
    </row>
    <row r="43" spans="1:6" ht="31.5" customHeight="1" thickBot="1">
      <c r="A43" s="746">
        <v>36</v>
      </c>
      <c r="B43" s="687" t="s">
        <v>210</v>
      </c>
      <c r="C43" s="688" t="s">
        <v>636</v>
      </c>
      <c r="D43" s="386"/>
      <c r="E43" s="689">
        <v>190000</v>
      </c>
      <c r="F43" s="386"/>
    </row>
    <row r="44" spans="1:6" ht="31.5" customHeight="1" thickBot="1">
      <c r="A44" s="746">
        <v>37</v>
      </c>
      <c r="B44" s="687" t="s">
        <v>96</v>
      </c>
      <c r="C44" s="688" t="s">
        <v>636</v>
      </c>
      <c r="D44" s="386"/>
      <c r="E44" s="689">
        <v>60000</v>
      </c>
      <c r="F44" s="386"/>
    </row>
    <row r="45" spans="1:6" ht="48" customHeight="1" thickBot="1">
      <c r="A45" s="746">
        <v>38</v>
      </c>
      <c r="B45" s="687" t="s">
        <v>638</v>
      </c>
      <c r="C45" s="688" t="s">
        <v>636</v>
      </c>
      <c r="D45" s="689">
        <v>235000</v>
      </c>
      <c r="E45" s="386"/>
      <c r="F45" s="386"/>
    </row>
    <row r="46" spans="1:6" s="68" customFormat="1" ht="32.25" customHeight="1" thickBot="1">
      <c r="A46" s="975">
        <v>39</v>
      </c>
      <c r="B46" s="736" t="s">
        <v>154</v>
      </c>
      <c r="C46" s="737" t="s">
        <v>636</v>
      </c>
      <c r="D46" s="738"/>
      <c r="E46" s="739">
        <v>130000</v>
      </c>
      <c r="F46" s="738"/>
    </row>
    <row r="47" spans="1:6" ht="32.25" customHeight="1" thickBot="1">
      <c r="A47" s="746">
        <v>40</v>
      </c>
      <c r="B47" s="687" t="s">
        <v>744</v>
      </c>
      <c r="C47" s="688" t="s">
        <v>636</v>
      </c>
      <c r="D47" s="689">
        <v>50000</v>
      </c>
      <c r="E47" s="386"/>
      <c r="F47" s="386"/>
    </row>
    <row r="48" spans="1:6" ht="32.25" customHeight="1" thickBot="1">
      <c r="A48" s="746">
        <v>41</v>
      </c>
      <c r="B48" s="687" t="s">
        <v>745</v>
      </c>
      <c r="C48" s="688" t="s">
        <v>746</v>
      </c>
      <c r="D48" s="689">
        <v>15000</v>
      </c>
      <c r="E48" s="386"/>
      <c r="F48" s="386"/>
    </row>
    <row r="49" spans="1:6" ht="48" customHeight="1" thickBot="1">
      <c r="A49" s="746">
        <v>42</v>
      </c>
      <c r="B49" s="687" t="s">
        <v>662</v>
      </c>
      <c r="C49" s="688" t="s">
        <v>746</v>
      </c>
      <c r="D49" s="689">
        <v>25000</v>
      </c>
      <c r="E49" s="386"/>
      <c r="F49" s="386"/>
    </row>
    <row r="50" spans="1:6" s="68" customFormat="1" ht="32.25" customHeight="1" thickBot="1">
      <c r="A50" s="975">
        <v>43</v>
      </c>
      <c r="B50" s="736" t="s">
        <v>144</v>
      </c>
      <c r="C50" s="737" t="s">
        <v>1224</v>
      </c>
      <c r="D50" s="738"/>
      <c r="E50" s="739">
        <v>150000</v>
      </c>
      <c r="F50" s="738"/>
    </row>
    <row r="51" spans="1:6" s="68" customFormat="1" ht="32.25" customHeight="1" thickBot="1">
      <c r="A51" s="975">
        <v>44</v>
      </c>
      <c r="B51" s="736" t="s">
        <v>35</v>
      </c>
      <c r="C51" s="737" t="s">
        <v>668</v>
      </c>
      <c r="D51" s="738"/>
      <c r="E51" s="739">
        <v>200000</v>
      </c>
      <c r="F51" s="738"/>
    </row>
    <row r="52" spans="1:6" ht="16.5" thickBot="1">
      <c r="A52" s="746">
        <v>45</v>
      </c>
      <c r="B52" s="687" t="s">
        <v>1236</v>
      </c>
      <c r="C52" s="688" t="s">
        <v>774</v>
      </c>
      <c r="D52" s="689">
        <v>35000</v>
      </c>
      <c r="E52" s="386"/>
      <c r="F52" s="386"/>
    </row>
    <row r="53" spans="1:6" ht="16.5" thickBot="1">
      <c r="A53" s="401" t="s">
        <v>758</v>
      </c>
      <c r="B53" s="402"/>
      <c r="C53" s="336"/>
      <c r="D53" s="388">
        <v>1325000</v>
      </c>
      <c r="E53" s="388">
        <v>3335000</v>
      </c>
      <c r="F53" s="389"/>
    </row>
    <row r="54" spans="1:6" ht="16.5" customHeight="1" thickBot="1">
      <c r="A54" s="401" t="s">
        <v>864</v>
      </c>
      <c r="B54" s="402"/>
      <c r="C54" s="336"/>
      <c r="D54" s="403">
        <v>4660000</v>
      </c>
      <c r="E54" s="404"/>
      <c r="F54" s="390"/>
    </row>
    <row r="55" spans="1:6" ht="15.75">
      <c r="A55" s="365" t="s">
        <v>1475</v>
      </c>
    </row>
    <row r="56" spans="1:6" ht="15.75">
      <c r="A56" s="205"/>
    </row>
    <row r="57" spans="1:6" ht="15.75">
      <c r="A57" s="205" t="s">
        <v>1476</v>
      </c>
    </row>
    <row r="58" spans="1:6" ht="15.75">
      <c r="A58" s="232" t="s">
        <v>1477</v>
      </c>
    </row>
    <row r="59" spans="1:6" ht="16.5" thickBot="1">
      <c r="A59" s="232"/>
    </row>
    <row r="60" spans="1:6" ht="57.75" customHeight="1" thickBot="1">
      <c r="A60" s="233" t="s">
        <v>0</v>
      </c>
      <c r="B60" s="234" t="s">
        <v>121</v>
      </c>
      <c r="C60" s="234" t="s">
        <v>632</v>
      </c>
      <c r="D60" s="234" t="s">
        <v>633</v>
      </c>
      <c r="E60" s="235" t="s">
        <v>634</v>
      </c>
    </row>
    <row r="61" spans="1:6" ht="45.75" customHeight="1" thickBot="1">
      <c r="A61" s="236">
        <v>1</v>
      </c>
      <c r="B61" s="237" t="s">
        <v>840</v>
      </c>
      <c r="C61" s="236" t="s">
        <v>1171</v>
      </c>
      <c r="D61" s="238">
        <v>15000</v>
      </c>
      <c r="E61" s="239"/>
    </row>
    <row r="62" spans="1:6" ht="45.75" customHeight="1" thickBot="1">
      <c r="A62" s="236">
        <v>2</v>
      </c>
      <c r="B62" s="237" t="s">
        <v>1478</v>
      </c>
      <c r="C62" s="236" t="s">
        <v>1171</v>
      </c>
      <c r="D62" s="238">
        <v>10000</v>
      </c>
      <c r="E62" s="239"/>
    </row>
    <row r="63" spans="1:6" ht="30.75" customHeight="1" thickBot="1">
      <c r="A63" s="236">
        <v>3</v>
      </c>
      <c r="B63" s="237" t="s">
        <v>768</v>
      </c>
      <c r="C63" s="236" t="s">
        <v>1179</v>
      </c>
      <c r="D63" s="238">
        <v>20000</v>
      </c>
      <c r="E63" s="239"/>
    </row>
    <row r="64" spans="1:6" ht="30.75" customHeight="1" thickBot="1">
      <c r="A64" s="236">
        <v>4</v>
      </c>
      <c r="B64" s="237" t="s">
        <v>1479</v>
      </c>
      <c r="C64" s="236" t="s">
        <v>1179</v>
      </c>
      <c r="D64" s="238">
        <v>10000</v>
      </c>
      <c r="E64" s="239"/>
    </row>
    <row r="65" spans="1:5" ht="45.75" customHeight="1" thickBot="1">
      <c r="A65" s="236">
        <v>5</v>
      </c>
      <c r="B65" s="973" t="s">
        <v>850</v>
      </c>
      <c r="C65" s="236" t="s">
        <v>1179</v>
      </c>
      <c r="D65" s="238">
        <v>10000</v>
      </c>
      <c r="E65" s="239"/>
    </row>
    <row r="66" spans="1:5" ht="30.75" customHeight="1" thickBot="1">
      <c r="A66" s="236">
        <v>6</v>
      </c>
      <c r="B66" s="237" t="s">
        <v>1183</v>
      </c>
      <c r="C66" s="236" t="s">
        <v>1182</v>
      </c>
      <c r="D66" s="238">
        <v>10000</v>
      </c>
      <c r="E66" s="239"/>
    </row>
    <row r="67" spans="1:5" ht="30.75" customHeight="1" thickBot="1">
      <c r="A67" s="236">
        <v>7</v>
      </c>
      <c r="B67" s="237" t="s">
        <v>1231</v>
      </c>
      <c r="C67" s="236" t="s">
        <v>1182</v>
      </c>
      <c r="D67" s="238">
        <v>10000</v>
      </c>
      <c r="E67" s="239"/>
    </row>
    <row r="68" spans="1:5" ht="30.75" customHeight="1" thickBot="1">
      <c r="A68" s="236">
        <v>8</v>
      </c>
      <c r="B68" s="237" t="s">
        <v>861</v>
      </c>
      <c r="C68" s="236" t="s">
        <v>1182</v>
      </c>
      <c r="D68" s="238">
        <v>10000</v>
      </c>
      <c r="E68" s="239"/>
    </row>
    <row r="69" spans="1:5" ht="45.75" customHeight="1" thickBot="1">
      <c r="A69" s="236">
        <v>9</v>
      </c>
      <c r="B69" s="237" t="s">
        <v>879</v>
      </c>
      <c r="C69" s="236" t="s">
        <v>1198</v>
      </c>
      <c r="D69" s="238">
        <v>10000</v>
      </c>
      <c r="E69" s="239"/>
    </row>
    <row r="70" spans="1:5" ht="45.75" customHeight="1" thickBot="1">
      <c r="A70" s="236">
        <v>10</v>
      </c>
      <c r="B70" s="237" t="s">
        <v>1203</v>
      </c>
      <c r="C70" s="236" t="s">
        <v>1198</v>
      </c>
      <c r="D70" s="238">
        <v>10000</v>
      </c>
      <c r="E70" s="239"/>
    </row>
    <row r="71" spans="1:5" ht="30.75" customHeight="1" thickBot="1">
      <c r="A71" s="236">
        <v>11</v>
      </c>
      <c r="B71" s="237" t="s">
        <v>1205</v>
      </c>
      <c r="C71" s="236" t="s">
        <v>1198</v>
      </c>
      <c r="D71" s="238">
        <v>20000</v>
      </c>
      <c r="E71" s="239"/>
    </row>
    <row r="72" spans="1:5" ht="48" customHeight="1" thickBot="1">
      <c r="A72" s="255">
        <v>12</v>
      </c>
      <c r="B72" s="256" t="s">
        <v>855</v>
      </c>
      <c r="C72" s="255" t="s">
        <v>1182</v>
      </c>
      <c r="D72" s="257">
        <v>3000</v>
      </c>
      <c r="E72" s="239"/>
    </row>
    <row r="73" spans="1:5" ht="16.5" thickBot="1">
      <c r="A73" s="255">
        <v>13</v>
      </c>
      <c r="B73" s="256" t="s">
        <v>842</v>
      </c>
      <c r="C73" s="255" t="s">
        <v>1171</v>
      </c>
      <c r="D73" s="257">
        <v>3000</v>
      </c>
      <c r="E73" s="239"/>
    </row>
    <row r="74" spans="1:5" ht="15.75" thickBot="1">
      <c r="A74" s="286" t="s">
        <v>758</v>
      </c>
      <c r="B74" s="287"/>
      <c r="C74" s="241"/>
      <c r="D74" s="693">
        <v>141000</v>
      </c>
      <c r="E74" s="243"/>
    </row>
    <row r="75" spans="1:5">
      <c r="A75" s="244" t="s">
        <v>1480</v>
      </c>
    </row>
    <row r="76" spans="1:5">
      <c r="A76" s="284"/>
    </row>
    <row r="77" spans="1:5" ht="15.75">
      <c r="A77" s="205" t="s">
        <v>696</v>
      </c>
    </row>
    <row r="78" spans="1:5" ht="15.75">
      <c r="A78" s="205"/>
    </row>
    <row r="79" spans="1:5" ht="15.75">
      <c r="A79" s="205" t="s">
        <v>1212</v>
      </c>
    </row>
    <row r="80" spans="1:5" ht="15.75">
      <c r="A80" s="232" t="s">
        <v>1477</v>
      </c>
    </row>
    <row r="81" spans="1:6" ht="16.5" thickBot="1">
      <c r="A81" s="232"/>
    </row>
    <row r="82" spans="1:6" ht="31.5" customHeight="1" thickBot="1">
      <c r="A82" s="380" t="s">
        <v>0</v>
      </c>
      <c r="B82" s="380" t="s">
        <v>121</v>
      </c>
      <c r="C82" s="380" t="s">
        <v>632</v>
      </c>
      <c r="D82" s="398" t="s">
        <v>894</v>
      </c>
      <c r="E82" s="399"/>
      <c r="F82" s="380" t="s">
        <v>699</v>
      </c>
    </row>
    <row r="83" spans="1:6" ht="16.5" thickBot="1">
      <c r="A83" s="400"/>
      <c r="B83" s="400"/>
      <c r="C83" s="400"/>
      <c r="D83" s="381" t="s">
        <v>828</v>
      </c>
      <c r="E83" s="381" t="s">
        <v>829</v>
      </c>
      <c r="F83" s="400"/>
    </row>
    <row r="84" spans="1:6" ht="16.5" thickBot="1">
      <c r="A84" s="382">
        <v>1</v>
      </c>
      <c r="B84" s="687" t="s">
        <v>641</v>
      </c>
      <c r="C84" s="688" t="s">
        <v>717</v>
      </c>
      <c r="D84" s="689">
        <v>12000</v>
      </c>
      <c r="E84" s="386"/>
      <c r="F84" s="386"/>
    </row>
    <row r="85" spans="1:6" ht="32.25" customHeight="1" thickBot="1">
      <c r="A85" s="382">
        <v>2</v>
      </c>
      <c r="B85" s="687" t="s">
        <v>640</v>
      </c>
      <c r="C85" s="688" t="s">
        <v>717</v>
      </c>
      <c r="D85" s="689">
        <v>3000</v>
      </c>
      <c r="E85" s="386"/>
      <c r="F85" s="386"/>
    </row>
    <row r="86" spans="1:6" ht="32.25" customHeight="1" thickBot="1">
      <c r="A86" s="382">
        <v>3</v>
      </c>
      <c r="B86" s="687" t="s">
        <v>98</v>
      </c>
      <c r="C86" s="688" t="s">
        <v>717</v>
      </c>
      <c r="D86" s="386"/>
      <c r="E86" s="689">
        <v>3000</v>
      </c>
      <c r="F86" s="387"/>
    </row>
    <row r="87" spans="1:6" ht="48" customHeight="1" thickBot="1">
      <c r="A87" s="382">
        <v>4</v>
      </c>
      <c r="B87" s="687" t="s">
        <v>638</v>
      </c>
      <c r="C87" s="688" t="s">
        <v>717</v>
      </c>
      <c r="D87" s="689">
        <v>6000</v>
      </c>
      <c r="E87" s="386"/>
      <c r="F87" s="386"/>
    </row>
    <row r="88" spans="1:6" ht="48" customHeight="1" thickBot="1">
      <c r="A88" s="382">
        <v>5</v>
      </c>
      <c r="B88" s="687" t="s">
        <v>96</v>
      </c>
      <c r="C88" s="688" t="s">
        <v>717</v>
      </c>
      <c r="D88" s="386"/>
      <c r="E88" s="689">
        <v>9000</v>
      </c>
      <c r="F88" s="386"/>
    </row>
    <row r="89" spans="1:6" ht="48" customHeight="1" thickBot="1">
      <c r="A89" s="382">
        <v>6</v>
      </c>
      <c r="B89" s="687" t="s">
        <v>210</v>
      </c>
      <c r="C89" s="688" t="s">
        <v>717</v>
      </c>
      <c r="D89" s="386"/>
      <c r="E89" s="689">
        <v>6000</v>
      </c>
      <c r="F89" s="386"/>
    </row>
    <row r="90" spans="1:6" ht="63.75" customHeight="1" thickBot="1">
      <c r="A90" s="382">
        <v>7</v>
      </c>
      <c r="B90" s="687" t="s">
        <v>154</v>
      </c>
      <c r="C90" s="688" t="s">
        <v>717</v>
      </c>
      <c r="D90" s="386"/>
      <c r="E90" s="689">
        <v>3000</v>
      </c>
      <c r="F90" s="387"/>
    </row>
    <row r="91" spans="1:6" ht="32.25" customHeight="1" thickBot="1">
      <c r="A91" s="382">
        <v>8</v>
      </c>
      <c r="B91" s="687" t="s">
        <v>645</v>
      </c>
      <c r="C91" s="688" t="s">
        <v>642</v>
      </c>
      <c r="D91" s="689">
        <v>3000</v>
      </c>
      <c r="E91" s="386"/>
      <c r="F91" s="387"/>
    </row>
    <row r="92" spans="1:6" ht="48" customHeight="1" thickBot="1">
      <c r="A92" s="382">
        <v>9</v>
      </c>
      <c r="B92" s="687" t="s">
        <v>715</v>
      </c>
      <c r="C92" s="688" t="s">
        <v>642</v>
      </c>
      <c r="D92" s="689">
        <v>15000</v>
      </c>
      <c r="E92" s="386"/>
      <c r="F92" s="386"/>
    </row>
    <row r="93" spans="1:6" ht="48" customHeight="1" thickBot="1">
      <c r="A93" s="382">
        <v>10</v>
      </c>
      <c r="B93" s="687" t="s">
        <v>207</v>
      </c>
      <c r="C93" s="688" t="s">
        <v>642</v>
      </c>
      <c r="D93" s="386"/>
      <c r="E93" s="689">
        <v>3000</v>
      </c>
      <c r="F93" s="387"/>
    </row>
    <row r="94" spans="1:6" ht="48" customHeight="1" thickBot="1">
      <c r="A94" s="382">
        <v>11</v>
      </c>
      <c r="B94" s="687" t="s">
        <v>65</v>
      </c>
      <c r="C94" s="688" t="s">
        <v>646</v>
      </c>
      <c r="D94" s="386"/>
      <c r="E94" s="689">
        <v>9000</v>
      </c>
      <c r="F94" s="387"/>
    </row>
    <row r="95" spans="1:6" ht="63.75" customHeight="1" thickBot="1">
      <c r="A95" s="382">
        <v>12</v>
      </c>
      <c r="B95" s="687" t="s">
        <v>289</v>
      </c>
      <c r="C95" s="688" t="s">
        <v>646</v>
      </c>
      <c r="D95" s="386"/>
      <c r="E95" s="689">
        <v>3000</v>
      </c>
      <c r="F95" s="387"/>
    </row>
    <row r="96" spans="1:6" ht="48" customHeight="1" thickBot="1">
      <c r="A96" s="382">
        <v>13</v>
      </c>
      <c r="B96" s="687" t="s">
        <v>168</v>
      </c>
      <c r="C96" s="688" t="s">
        <v>646</v>
      </c>
      <c r="D96" s="386"/>
      <c r="E96" s="689">
        <v>3000</v>
      </c>
      <c r="F96" s="387"/>
    </row>
    <row r="97" spans="1:6" ht="48" customHeight="1" thickBot="1">
      <c r="A97" s="382">
        <v>14</v>
      </c>
      <c r="B97" s="687" t="s">
        <v>148</v>
      </c>
      <c r="C97" s="688" t="s">
        <v>646</v>
      </c>
      <c r="D97" s="386"/>
      <c r="E97" s="689">
        <v>3000</v>
      </c>
      <c r="F97" s="387"/>
    </row>
    <row r="98" spans="1:6" ht="48" customHeight="1" thickBot="1">
      <c r="A98" s="382">
        <v>15</v>
      </c>
      <c r="B98" s="687" t="s">
        <v>205</v>
      </c>
      <c r="C98" s="688" t="s">
        <v>649</v>
      </c>
      <c r="D98" s="386"/>
      <c r="E98" s="689">
        <v>6000</v>
      </c>
      <c r="F98" s="387"/>
    </row>
    <row r="99" spans="1:6" ht="48" customHeight="1" thickBot="1">
      <c r="A99" s="382">
        <v>16</v>
      </c>
      <c r="B99" s="687" t="s">
        <v>686</v>
      </c>
      <c r="C99" s="688" t="s">
        <v>649</v>
      </c>
      <c r="D99" s="689">
        <v>3000</v>
      </c>
      <c r="E99" s="386"/>
      <c r="F99" s="387"/>
    </row>
    <row r="100" spans="1:6" ht="32.25" customHeight="1" thickBot="1">
      <c r="A100" s="382">
        <v>17</v>
      </c>
      <c r="B100" s="687" t="s">
        <v>688</v>
      </c>
      <c r="C100" s="688" t="s">
        <v>650</v>
      </c>
      <c r="D100" s="689">
        <v>9000</v>
      </c>
      <c r="E100" s="386"/>
      <c r="F100" s="387"/>
    </row>
    <row r="101" spans="1:6" ht="32.25" customHeight="1" thickBot="1">
      <c r="A101" s="382">
        <v>18</v>
      </c>
      <c r="B101" s="687" t="s">
        <v>651</v>
      </c>
      <c r="C101" s="688" t="s">
        <v>650</v>
      </c>
      <c r="D101" s="689">
        <v>9000</v>
      </c>
      <c r="E101" s="386"/>
      <c r="F101" s="387"/>
    </row>
    <row r="102" spans="1:6" ht="32.25" customHeight="1" thickBot="1">
      <c r="A102" s="382">
        <v>19</v>
      </c>
      <c r="B102" s="687" t="s">
        <v>91</v>
      </c>
      <c r="C102" s="688" t="s">
        <v>650</v>
      </c>
      <c r="D102" s="386"/>
      <c r="E102" s="689">
        <v>21000</v>
      </c>
      <c r="F102" s="387"/>
    </row>
    <row r="103" spans="1:6" ht="32.25" customHeight="1" thickBot="1">
      <c r="A103" s="382">
        <v>20</v>
      </c>
      <c r="B103" s="687" t="s">
        <v>1401</v>
      </c>
      <c r="C103" s="688" t="s">
        <v>650</v>
      </c>
      <c r="D103" s="689">
        <v>3000</v>
      </c>
      <c r="E103" s="386"/>
      <c r="F103" s="387"/>
    </row>
    <row r="104" spans="1:6" ht="48" customHeight="1" thickBot="1">
      <c r="A104" s="382">
        <v>21</v>
      </c>
      <c r="B104" s="687" t="s">
        <v>83</v>
      </c>
      <c r="C104" s="688" t="s">
        <v>650</v>
      </c>
      <c r="D104" s="386"/>
      <c r="E104" s="689">
        <v>3000</v>
      </c>
      <c r="F104" s="387"/>
    </row>
    <row r="105" spans="1:6" ht="48" customHeight="1" thickBot="1">
      <c r="A105" s="382">
        <v>22</v>
      </c>
      <c r="B105" s="687" t="s">
        <v>52</v>
      </c>
      <c r="C105" s="688" t="s">
        <v>653</v>
      </c>
      <c r="D105" s="386"/>
      <c r="E105" s="689">
        <v>3000</v>
      </c>
      <c r="F105" s="387"/>
    </row>
    <row r="106" spans="1:6" ht="48" customHeight="1" thickBot="1">
      <c r="A106" s="382">
        <v>23</v>
      </c>
      <c r="B106" s="687" t="s">
        <v>690</v>
      </c>
      <c r="C106" s="688" t="s">
        <v>653</v>
      </c>
      <c r="D106" s="386"/>
      <c r="E106" s="689">
        <v>6000</v>
      </c>
      <c r="F106" s="387"/>
    </row>
    <row r="107" spans="1:6" ht="48" customHeight="1" thickBot="1">
      <c r="A107" s="382">
        <v>24</v>
      </c>
      <c r="B107" s="687" t="s">
        <v>138</v>
      </c>
      <c r="C107" s="688" t="s">
        <v>653</v>
      </c>
      <c r="D107" s="386"/>
      <c r="E107" s="689">
        <v>3000</v>
      </c>
      <c r="F107" s="387"/>
    </row>
    <row r="108" spans="1:6" ht="32.25" customHeight="1" thickBot="1">
      <c r="A108" s="382">
        <v>25</v>
      </c>
      <c r="B108" s="687" t="s">
        <v>46</v>
      </c>
      <c r="C108" s="688" t="s">
        <v>653</v>
      </c>
      <c r="D108" s="386"/>
      <c r="E108" s="689">
        <v>3000</v>
      </c>
      <c r="F108" s="387"/>
    </row>
    <row r="109" spans="1:6" ht="32.25" customHeight="1" thickBot="1">
      <c r="A109" s="382">
        <v>26</v>
      </c>
      <c r="B109" s="687" t="s">
        <v>147</v>
      </c>
      <c r="C109" s="688" t="s">
        <v>653</v>
      </c>
      <c r="D109" s="386"/>
      <c r="E109" s="689">
        <v>9000</v>
      </c>
      <c r="F109" s="387"/>
    </row>
    <row r="110" spans="1:6" ht="48" customHeight="1" thickBot="1">
      <c r="A110" s="382">
        <v>27</v>
      </c>
      <c r="B110" s="687" t="s">
        <v>48</v>
      </c>
      <c r="C110" s="688" t="s">
        <v>653</v>
      </c>
      <c r="D110" s="386"/>
      <c r="E110" s="689">
        <v>3000</v>
      </c>
      <c r="F110" s="387"/>
    </row>
    <row r="111" spans="1:6" ht="32.25" customHeight="1" thickBot="1">
      <c r="A111" s="382">
        <v>28</v>
      </c>
      <c r="B111" s="687" t="s">
        <v>658</v>
      </c>
      <c r="C111" s="688" t="s">
        <v>653</v>
      </c>
      <c r="D111" s="689">
        <v>3000</v>
      </c>
      <c r="E111" s="386"/>
      <c r="F111" s="387"/>
    </row>
    <row r="112" spans="1:6" ht="63.75" customHeight="1" thickBot="1">
      <c r="A112" s="382">
        <v>29</v>
      </c>
      <c r="B112" s="687" t="s">
        <v>748</v>
      </c>
      <c r="C112" s="688" t="s">
        <v>1403</v>
      </c>
      <c r="D112" s="689">
        <v>3000</v>
      </c>
      <c r="E112" s="386"/>
      <c r="F112" s="387"/>
    </row>
    <row r="113" spans="1:6" ht="48" customHeight="1" thickBot="1">
      <c r="A113" s="382">
        <v>30</v>
      </c>
      <c r="B113" s="687" t="s">
        <v>747</v>
      </c>
      <c r="C113" s="688" t="s">
        <v>1403</v>
      </c>
      <c r="D113" s="689">
        <v>3000</v>
      </c>
      <c r="E113" s="386"/>
      <c r="F113" s="387"/>
    </row>
    <row r="114" spans="1:6" ht="48" customHeight="1" thickBot="1">
      <c r="A114" s="382">
        <v>31</v>
      </c>
      <c r="B114" s="687" t="s">
        <v>670</v>
      </c>
      <c r="C114" s="688" t="s">
        <v>668</v>
      </c>
      <c r="D114" s="689">
        <v>9000</v>
      </c>
      <c r="E114" s="386"/>
      <c r="F114" s="387"/>
    </row>
    <row r="115" spans="1:6" ht="48" customHeight="1" thickBot="1">
      <c r="A115" s="382">
        <v>32</v>
      </c>
      <c r="B115" s="687" t="s">
        <v>295</v>
      </c>
      <c r="C115" s="688" t="s">
        <v>668</v>
      </c>
      <c r="D115" s="386"/>
      <c r="E115" s="689">
        <v>3000</v>
      </c>
      <c r="F115" s="387"/>
    </row>
    <row r="116" spans="1:6" ht="32.25" customHeight="1" thickBot="1">
      <c r="A116" s="382">
        <v>33</v>
      </c>
      <c r="B116" s="687" t="s">
        <v>29</v>
      </c>
      <c r="C116" s="688" t="s">
        <v>668</v>
      </c>
      <c r="D116" s="386"/>
      <c r="E116" s="689">
        <v>3000</v>
      </c>
      <c r="F116" s="387"/>
    </row>
    <row r="117" spans="1:6" ht="48" customHeight="1" thickBot="1">
      <c r="A117" s="382">
        <v>34</v>
      </c>
      <c r="B117" s="687" t="s">
        <v>672</v>
      </c>
      <c r="C117" s="688" t="s">
        <v>668</v>
      </c>
      <c r="D117" s="689">
        <v>3000</v>
      </c>
      <c r="E117" s="386"/>
      <c r="F117" s="387"/>
    </row>
    <row r="118" spans="1:6" ht="48" customHeight="1" thickBot="1">
      <c r="A118" s="382">
        <v>35</v>
      </c>
      <c r="B118" s="687" t="s">
        <v>669</v>
      </c>
      <c r="C118" s="688" t="s">
        <v>668</v>
      </c>
      <c r="D118" s="689">
        <v>6000</v>
      </c>
      <c r="E118" s="386"/>
      <c r="F118" s="387"/>
    </row>
    <row r="119" spans="1:6" ht="48" customHeight="1" thickBot="1">
      <c r="A119" s="382">
        <v>36</v>
      </c>
      <c r="B119" s="687" t="s">
        <v>39</v>
      </c>
      <c r="C119" s="688" t="s">
        <v>668</v>
      </c>
      <c r="D119" s="386"/>
      <c r="E119" s="689">
        <v>3000</v>
      </c>
      <c r="F119" s="387"/>
    </row>
    <row r="120" spans="1:6" ht="32.25" customHeight="1" thickBot="1">
      <c r="A120" s="382">
        <v>37</v>
      </c>
      <c r="B120" s="687" t="s">
        <v>693</v>
      </c>
      <c r="C120" s="688" t="s">
        <v>668</v>
      </c>
      <c r="D120" s="689">
        <v>3000</v>
      </c>
      <c r="E120" s="386"/>
      <c r="F120" s="387"/>
    </row>
    <row r="121" spans="1:6" ht="63.75" customHeight="1" thickBot="1">
      <c r="A121" s="382">
        <v>38</v>
      </c>
      <c r="B121" s="687" t="s">
        <v>150</v>
      </c>
      <c r="C121" s="688" t="s">
        <v>674</v>
      </c>
      <c r="D121" s="386"/>
      <c r="E121" s="689">
        <v>3000</v>
      </c>
      <c r="F121" s="387"/>
    </row>
    <row r="122" spans="1:6" ht="32.25" customHeight="1" thickBot="1">
      <c r="A122" s="382">
        <v>39</v>
      </c>
      <c r="B122" s="687" t="s">
        <v>149</v>
      </c>
      <c r="C122" s="688" t="s">
        <v>674</v>
      </c>
      <c r="D122" s="386"/>
      <c r="E122" s="689">
        <v>9000</v>
      </c>
      <c r="F122" s="387"/>
    </row>
    <row r="123" spans="1:6" ht="16.5" thickBot="1">
      <c r="A123" s="382">
        <v>40</v>
      </c>
      <c r="B123" s="687" t="s">
        <v>182</v>
      </c>
      <c r="C123" s="688" t="s">
        <v>674</v>
      </c>
      <c r="D123" s="386"/>
      <c r="E123" s="689">
        <v>18000</v>
      </c>
      <c r="F123" s="387"/>
    </row>
    <row r="124" spans="1:6" ht="16.5" thickBot="1">
      <c r="A124" s="401" t="s">
        <v>758</v>
      </c>
      <c r="B124" s="402"/>
      <c r="C124" s="336"/>
      <c r="D124" s="388">
        <v>93000</v>
      </c>
      <c r="E124" s="388">
        <v>138000</v>
      </c>
      <c r="F124" s="389"/>
    </row>
    <row r="125" spans="1:6" ht="16.5" thickBot="1">
      <c r="A125" s="401" t="s">
        <v>833</v>
      </c>
      <c r="B125" s="402"/>
      <c r="C125" s="336"/>
      <c r="D125" s="403">
        <v>231000</v>
      </c>
      <c r="E125" s="404"/>
      <c r="F125" s="390"/>
    </row>
    <row r="126" spans="1:6" ht="15.75">
      <c r="A126" s="365" t="s">
        <v>1481</v>
      </c>
    </row>
    <row r="127" spans="1:6">
      <c r="A127" s="244"/>
    </row>
    <row r="128" spans="1:6" ht="16.5">
      <c r="A128" s="594"/>
      <c r="B128" s="248"/>
    </row>
    <row r="129" spans="1:5" ht="15.75">
      <c r="A129" s="205" t="s">
        <v>704</v>
      </c>
    </row>
    <row r="130" spans="1:5" ht="15.75">
      <c r="A130" s="205"/>
    </row>
    <row r="131" spans="1:5" ht="15.75">
      <c r="A131" s="205" t="s">
        <v>1419</v>
      </c>
    </row>
    <row r="132" spans="1:5" ht="15.75">
      <c r="A132" s="232" t="s">
        <v>1477</v>
      </c>
    </row>
    <row r="133" spans="1:5" ht="16.5" thickBot="1">
      <c r="A133" s="232"/>
    </row>
    <row r="134" spans="1:5" ht="29.25" thickBot="1">
      <c r="A134" s="233" t="s">
        <v>0</v>
      </c>
      <c r="B134" s="234" t="s">
        <v>632</v>
      </c>
      <c r="C134" s="234" t="s">
        <v>633</v>
      </c>
      <c r="D134" s="233" t="s">
        <v>634</v>
      </c>
      <c r="E134" s="375"/>
    </row>
    <row r="135" spans="1:5" ht="16.5" thickBot="1">
      <c r="A135" s="255">
        <v>1</v>
      </c>
      <c r="B135" s="256" t="s">
        <v>888</v>
      </c>
      <c r="C135" s="974">
        <v>1500000</v>
      </c>
      <c r="D135" s="759"/>
      <c r="E135" s="932"/>
    </row>
    <row r="136" spans="1:5" ht="16.5" thickBot="1">
      <c r="A136" s="255">
        <v>2</v>
      </c>
      <c r="B136" s="256" t="s">
        <v>706</v>
      </c>
      <c r="C136" s="974">
        <v>1000000</v>
      </c>
      <c r="D136" s="759"/>
      <c r="E136" s="932"/>
    </row>
    <row r="137" spans="1:5" ht="16.5" thickBot="1">
      <c r="A137" s="255">
        <v>3</v>
      </c>
      <c r="B137" s="256" t="s">
        <v>1450</v>
      </c>
      <c r="C137" s="974">
        <v>1500000</v>
      </c>
      <c r="D137" s="759"/>
      <c r="E137" s="932"/>
    </row>
    <row r="138" spans="1:5" ht="16.5" thickBot="1">
      <c r="A138" s="255">
        <v>4</v>
      </c>
      <c r="B138" s="256" t="s">
        <v>836</v>
      </c>
      <c r="C138" s="974">
        <v>1500000</v>
      </c>
      <c r="D138" s="759"/>
      <c r="E138" s="932"/>
    </row>
    <row r="139" spans="1:5" ht="16.5" thickBot="1">
      <c r="A139" s="255">
        <v>5</v>
      </c>
      <c r="B139" s="256" t="s">
        <v>708</v>
      </c>
      <c r="C139" s="974">
        <v>1500000</v>
      </c>
      <c r="D139" s="759"/>
      <c r="E139" s="932"/>
    </row>
    <row r="140" spans="1:5" ht="16.5" thickBot="1">
      <c r="A140" s="255">
        <v>6</v>
      </c>
      <c r="B140" s="256" t="s">
        <v>1482</v>
      </c>
      <c r="C140" s="974">
        <v>1000000</v>
      </c>
      <c r="D140" s="759"/>
      <c r="E140" s="932"/>
    </row>
    <row r="141" spans="1:5" ht="16.5" thickBot="1">
      <c r="A141" s="255">
        <v>7</v>
      </c>
      <c r="B141" s="256" t="s">
        <v>890</v>
      </c>
      <c r="C141" s="974">
        <v>1500000</v>
      </c>
      <c r="D141" s="759"/>
      <c r="E141" s="932"/>
    </row>
    <row r="142" spans="1:5" ht="17.25" thickBot="1">
      <c r="A142" s="288" t="s">
        <v>676</v>
      </c>
      <c r="B142" s="289"/>
      <c r="C142" s="262" t="s">
        <v>1483</v>
      </c>
      <c r="D142" s="262"/>
      <c r="E142" s="551"/>
    </row>
    <row r="143" spans="1:5">
      <c r="A143" s="244" t="s">
        <v>1484</v>
      </c>
    </row>
    <row r="144" spans="1:5">
      <c r="A144" s="244"/>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
  <sheetViews>
    <sheetView topLeftCell="A18" workbookViewId="0">
      <selection activeCell="H65" sqref="H65"/>
    </sheetView>
  </sheetViews>
  <sheetFormatPr defaultRowHeight="15"/>
  <cols>
    <col min="2" max="2" width="25.7109375" customWidth="1"/>
    <col min="3" max="3" width="14.7109375" customWidth="1"/>
    <col min="4" max="4" width="13" customWidth="1"/>
    <col min="5" max="5" width="19.42578125" customWidth="1"/>
  </cols>
  <sheetData>
    <row r="1" spans="1:6" ht="15.75">
      <c r="A1" s="205" t="s">
        <v>1485</v>
      </c>
    </row>
    <row r="2" spans="1:6" ht="15.75">
      <c r="A2" s="205"/>
    </row>
    <row r="3" spans="1:6">
      <c r="A3" s="686" t="s">
        <v>1486</v>
      </c>
    </row>
    <row r="4" spans="1:6" ht="15.75">
      <c r="A4" s="232" t="s">
        <v>1487</v>
      </c>
    </row>
    <row r="5" spans="1:6" ht="16.5" thickBot="1">
      <c r="A5" s="232"/>
    </row>
    <row r="6" spans="1:6" ht="31.5" customHeight="1" thickBot="1">
      <c r="A6" s="380" t="s">
        <v>0</v>
      </c>
      <c r="B6" s="380" t="s">
        <v>121</v>
      </c>
      <c r="C6" s="380" t="s">
        <v>632</v>
      </c>
      <c r="D6" s="398" t="s">
        <v>894</v>
      </c>
      <c r="E6" s="399"/>
      <c r="F6" s="380" t="s">
        <v>699</v>
      </c>
    </row>
    <row r="7" spans="1:6" ht="16.5" thickBot="1">
      <c r="A7" s="400"/>
      <c r="B7" s="400"/>
      <c r="C7" s="400"/>
      <c r="D7" s="381" t="s">
        <v>828</v>
      </c>
      <c r="E7" s="381" t="s">
        <v>829</v>
      </c>
      <c r="F7" s="400"/>
    </row>
    <row r="8" spans="1:6" ht="16.5" thickBot="1">
      <c r="A8" s="382">
        <v>1</v>
      </c>
      <c r="B8" s="690" t="s">
        <v>715</v>
      </c>
      <c r="C8" s="688" t="s">
        <v>642</v>
      </c>
      <c r="D8" s="976">
        <v>100000</v>
      </c>
      <c r="E8" s="386"/>
      <c r="F8" s="687"/>
    </row>
    <row r="9" spans="1:6" ht="48" customHeight="1" thickBot="1">
      <c r="A9" s="382">
        <v>2</v>
      </c>
      <c r="B9" s="690" t="s">
        <v>207</v>
      </c>
      <c r="C9" s="688" t="s">
        <v>642</v>
      </c>
      <c r="D9" s="387"/>
      <c r="E9" s="976">
        <v>100000</v>
      </c>
      <c r="F9" s="687"/>
    </row>
    <row r="10" spans="1:6" ht="32.25" customHeight="1" thickBot="1">
      <c r="A10" s="382">
        <v>3</v>
      </c>
      <c r="B10" s="690" t="s">
        <v>153</v>
      </c>
      <c r="C10" s="688" t="s">
        <v>642</v>
      </c>
      <c r="D10" s="387"/>
      <c r="E10" s="976">
        <v>150000</v>
      </c>
      <c r="F10" s="687"/>
    </row>
    <row r="11" spans="1:6" ht="32.25" customHeight="1" thickBot="1">
      <c r="A11" s="382">
        <v>4</v>
      </c>
      <c r="B11" s="690" t="s">
        <v>744</v>
      </c>
      <c r="C11" s="688" t="s">
        <v>717</v>
      </c>
      <c r="D11" s="976">
        <v>50000</v>
      </c>
      <c r="E11" s="386"/>
      <c r="F11" s="687"/>
    </row>
    <row r="12" spans="1:6" ht="48" customHeight="1" thickBot="1">
      <c r="A12" s="382">
        <v>5</v>
      </c>
      <c r="B12" s="690" t="s">
        <v>210</v>
      </c>
      <c r="C12" s="688" t="s">
        <v>717</v>
      </c>
      <c r="D12" s="387"/>
      <c r="E12" s="976">
        <v>50000</v>
      </c>
      <c r="F12" s="687"/>
    </row>
    <row r="13" spans="1:6" ht="48" customHeight="1" thickBot="1">
      <c r="A13" s="382">
        <v>6</v>
      </c>
      <c r="B13" s="687" t="s">
        <v>96</v>
      </c>
      <c r="C13" s="688" t="s">
        <v>717</v>
      </c>
      <c r="D13" s="387"/>
      <c r="E13" s="976">
        <v>50000</v>
      </c>
      <c r="F13" s="687"/>
    </row>
    <row r="14" spans="1:6" ht="48" customHeight="1" thickBot="1">
      <c r="A14" s="382">
        <v>7</v>
      </c>
      <c r="B14" s="687" t="s">
        <v>1488</v>
      </c>
      <c r="C14" s="688" t="s">
        <v>717</v>
      </c>
      <c r="D14" s="387"/>
      <c r="E14" s="976">
        <v>100000</v>
      </c>
      <c r="F14" s="687"/>
    </row>
    <row r="15" spans="1:6" ht="48" customHeight="1" thickBot="1">
      <c r="A15" s="382">
        <v>8</v>
      </c>
      <c r="B15" s="690" t="s">
        <v>685</v>
      </c>
      <c r="C15" s="688" t="s">
        <v>649</v>
      </c>
      <c r="D15" s="976">
        <v>200000</v>
      </c>
      <c r="E15" s="386"/>
      <c r="F15" s="687"/>
    </row>
    <row r="16" spans="1:6" ht="48" customHeight="1" thickBot="1">
      <c r="A16" s="382">
        <v>9</v>
      </c>
      <c r="B16" s="690" t="s">
        <v>686</v>
      </c>
      <c r="C16" s="688" t="s">
        <v>649</v>
      </c>
      <c r="D16" s="976">
        <v>50000</v>
      </c>
      <c r="E16" s="386"/>
      <c r="F16" s="687"/>
    </row>
    <row r="17" spans="1:6" ht="48" customHeight="1" thickBot="1">
      <c r="A17" s="382">
        <v>10</v>
      </c>
      <c r="B17" s="690" t="s">
        <v>684</v>
      </c>
      <c r="C17" s="688" t="s">
        <v>649</v>
      </c>
      <c r="D17" s="976">
        <v>50000</v>
      </c>
      <c r="E17" s="386"/>
      <c r="F17" s="687"/>
    </row>
    <row r="18" spans="1:6" ht="32.25" customHeight="1" thickBot="1">
      <c r="A18" s="382">
        <v>11</v>
      </c>
      <c r="B18" s="687" t="s">
        <v>655</v>
      </c>
      <c r="C18" s="688" t="s">
        <v>653</v>
      </c>
      <c r="D18" s="976">
        <v>100000</v>
      </c>
      <c r="E18" s="386"/>
      <c r="F18" s="687"/>
    </row>
    <row r="19" spans="1:6" ht="32.25" customHeight="1" thickBot="1">
      <c r="A19" s="382">
        <v>12</v>
      </c>
      <c r="B19" s="690" t="s">
        <v>723</v>
      </c>
      <c r="C19" s="688" t="s">
        <v>646</v>
      </c>
      <c r="D19" s="976">
        <v>450000</v>
      </c>
      <c r="E19" s="386"/>
      <c r="F19" s="687"/>
    </row>
    <row r="20" spans="1:6" ht="63.75" customHeight="1" thickBot="1">
      <c r="A20" s="382">
        <v>13</v>
      </c>
      <c r="B20" s="687" t="s">
        <v>150</v>
      </c>
      <c r="C20" s="688" t="s">
        <v>674</v>
      </c>
      <c r="D20" s="387"/>
      <c r="E20" s="976">
        <v>50000</v>
      </c>
      <c r="F20" s="687"/>
    </row>
    <row r="21" spans="1:6" ht="48" customHeight="1" thickBot="1">
      <c r="A21" s="382">
        <v>14</v>
      </c>
      <c r="B21" s="687" t="s">
        <v>672</v>
      </c>
      <c r="C21" s="688" t="s">
        <v>668</v>
      </c>
      <c r="D21" s="976">
        <v>50000</v>
      </c>
      <c r="E21" s="386"/>
      <c r="F21" s="687"/>
    </row>
    <row r="22" spans="1:6" ht="48" customHeight="1" thickBot="1">
      <c r="A22" s="382">
        <v>15</v>
      </c>
      <c r="B22" s="687" t="s">
        <v>670</v>
      </c>
      <c r="C22" s="688" t="s">
        <v>668</v>
      </c>
      <c r="D22" s="976">
        <v>50000</v>
      </c>
      <c r="E22" s="386"/>
      <c r="F22" s="687"/>
    </row>
    <row r="23" spans="1:6" ht="48" customHeight="1" thickBot="1">
      <c r="A23" s="382">
        <v>16</v>
      </c>
      <c r="B23" s="687" t="s">
        <v>671</v>
      </c>
      <c r="C23" s="688" t="s">
        <v>668</v>
      </c>
      <c r="D23" s="976">
        <v>50000</v>
      </c>
      <c r="E23" s="386"/>
      <c r="F23" s="687"/>
    </row>
    <row r="24" spans="1:6" ht="48" customHeight="1" thickBot="1">
      <c r="A24" s="382">
        <v>17</v>
      </c>
      <c r="B24" s="687" t="s">
        <v>39</v>
      </c>
      <c r="C24" s="688" t="s">
        <v>668</v>
      </c>
      <c r="D24" s="387"/>
      <c r="E24" s="976">
        <v>50000</v>
      </c>
      <c r="F24" s="687"/>
    </row>
    <row r="25" spans="1:6" ht="16.5" thickBot="1">
      <c r="A25" s="382">
        <v>18</v>
      </c>
      <c r="B25" s="687" t="s">
        <v>692</v>
      </c>
      <c r="C25" s="688" t="s">
        <v>668</v>
      </c>
      <c r="D25" s="976">
        <v>50000</v>
      </c>
      <c r="E25" s="386"/>
      <c r="F25" s="687"/>
    </row>
    <row r="26" spans="1:6" ht="16.5" thickBot="1">
      <c r="A26" s="401" t="s">
        <v>676</v>
      </c>
      <c r="B26" s="402"/>
      <c r="C26" s="977"/>
      <c r="D26" s="388">
        <v>1200000</v>
      </c>
      <c r="E26" s="388">
        <v>550000</v>
      </c>
      <c r="F26" s="978"/>
    </row>
    <row r="27" spans="1:6" ht="16.5" customHeight="1" thickBot="1">
      <c r="A27" s="401" t="s">
        <v>864</v>
      </c>
      <c r="B27" s="402"/>
      <c r="C27" s="977"/>
      <c r="D27" s="403">
        <v>1750000</v>
      </c>
      <c r="E27" s="404"/>
      <c r="F27" s="978"/>
    </row>
    <row r="28" spans="1:6" ht="15.75">
      <c r="A28" s="365" t="s">
        <v>1489</v>
      </c>
    </row>
    <row r="29" spans="1:6" ht="15.75">
      <c r="A29" s="365"/>
    </row>
    <row r="30" spans="1:6">
      <c r="A30" s="284"/>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1"/>
  <sheetViews>
    <sheetView topLeftCell="A94" workbookViewId="0">
      <selection activeCell="H65" sqref="H65"/>
    </sheetView>
  </sheetViews>
  <sheetFormatPr defaultRowHeight="15"/>
  <cols>
    <col min="2" max="2" width="31.28515625" customWidth="1"/>
    <col min="3" max="3" width="15.7109375" customWidth="1"/>
  </cols>
  <sheetData>
    <row r="1" spans="1:6" ht="15.75">
      <c r="A1" s="205" t="s">
        <v>1161</v>
      </c>
    </row>
    <row r="2" spans="1:6" ht="15.75">
      <c r="A2" s="205"/>
    </row>
    <row r="3" spans="1:6">
      <c r="A3" s="686" t="s">
        <v>1162</v>
      </c>
    </row>
    <row r="4" spans="1:6" ht="15.75">
      <c r="A4" s="232" t="s">
        <v>1490</v>
      </c>
    </row>
    <row r="5" spans="1:6" ht="16.5" thickBot="1">
      <c r="A5" s="232"/>
    </row>
    <row r="6" spans="1:6" ht="31.5" customHeight="1" thickBot="1">
      <c r="A6" s="380" t="s">
        <v>0</v>
      </c>
      <c r="B6" s="380" t="s">
        <v>121</v>
      </c>
      <c r="C6" s="380" t="s">
        <v>632</v>
      </c>
      <c r="D6" s="398" t="s">
        <v>894</v>
      </c>
      <c r="E6" s="399"/>
      <c r="F6" s="380" t="s">
        <v>699</v>
      </c>
    </row>
    <row r="7" spans="1:6" ht="16.5" thickBot="1">
      <c r="A7" s="400"/>
      <c r="B7" s="400"/>
      <c r="C7" s="400"/>
      <c r="D7" s="381" t="s">
        <v>828</v>
      </c>
      <c r="E7" s="381" t="s">
        <v>829</v>
      </c>
      <c r="F7" s="400"/>
    </row>
    <row r="8" spans="1:6" ht="16.5" thickBot="1">
      <c r="A8" s="382">
        <v>1</v>
      </c>
      <c r="B8" s="687" t="s">
        <v>691</v>
      </c>
      <c r="C8" s="688" t="s">
        <v>668</v>
      </c>
      <c r="D8" s="689">
        <v>150000</v>
      </c>
      <c r="E8" s="386"/>
      <c r="F8" s="386"/>
    </row>
    <row r="9" spans="1:6" ht="16.5" thickBot="1">
      <c r="A9" s="382">
        <v>2</v>
      </c>
      <c r="B9" s="687" t="s">
        <v>39</v>
      </c>
      <c r="C9" s="688" t="s">
        <v>668</v>
      </c>
      <c r="D9" s="386"/>
      <c r="E9" s="689">
        <v>190000</v>
      </c>
      <c r="F9" s="386"/>
    </row>
    <row r="10" spans="1:6" ht="16.5" thickBot="1">
      <c r="A10" s="382">
        <v>3</v>
      </c>
      <c r="B10" s="687" t="s">
        <v>213</v>
      </c>
      <c r="C10" s="688" t="s">
        <v>668</v>
      </c>
      <c r="D10" s="386"/>
      <c r="E10" s="689">
        <v>85000</v>
      </c>
      <c r="F10" s="386"/>
    </row>
    <row r="11" spans="1:6" ht="16.5" thickBot="1">
      <c r="A11" s="382">
        <v>4</v>
      </c>
      <c r="B11" s="687" t="s">
        <v>295</v>
      </c>
      <c r="C11" s="688" t="s">
        <v>668</v>
      </c>
      <c r="D11" s="386"/>
      <c r="E11" s="689">
        <v>80000</v>
      </c>
      <c r="F11" s="386"/>
    </row>
    <row r="12" spans="1:6" ht="16.5" thickBot="1">
      <c r="A12" s="382">
        <v>5</v>
      </c>
      <c r="B12" s="687" t="s">
        <v>435</v>
      </c>
      <c r="C12" s="688" t="s">
        <v>668</v>
      </c>
      <c r="D12" s="386"/>
      <c r="E12" s="689">
        <v>135000</v>
      </c>
      <c r="F12" s="386"/>
    </row>
    <row r="13" spans="1:6" ht="16.5" thickBot="1">
      <c r="A13" s="382">
        <v>6</v>
      </c>
      <c r="B13" s="687" t="s">
        <v>1316</v>
      </c>
      <c r="C13" s="688" t="s">
        <v>668</v>
      </c>
      <c r="D13" s="386"/>
      <c r="E13" s="689">
        <v>70000</v>
      </c>
      <c r="F13" s="386"/>
    </row>
    <row r="14" spans="1:6" ht="16.5" thickBot="1">
      <c r="A14" s="382">
        <v>7</v>
      </c>
      <c r="B14" s="687" t="s">
        <v>672</v>
      </c>
      <c r="C14" s="688" t="s">
        <v>668</v>
      </c>
      <c r="D14" s="689">
        <v>50000</v>
      </c>
      <c r="E14" s="386"/>
      <c r="F14" s="386"/>
    </row>
    <row r="15" spans="1:6" ht="16.5" thickBot="1">
      <c r="A15" s="382">
        <v>8</v>
      </c>
      <c r="B15" s="687" t="s">
        <v>46</v>
      </c>
      <c r="C15" s="688" t="s">
        <v>653</v>
      </c>
      <c r="D15" s="386"/>
      <c r="E15" s="689">
        <v>210000</v>
      </c>
      <c r="F15" s="386"/>
    </row>
    <row r="16" spans="1:6" ht="16.5" thickBot="1">
      <c r="A16" s="382">
        <v>9</v>
      </c>
      <c r="B16" s="687" t="s">
        <v>730</v>
      </c>
      <c r="C16" s="688" t="s">
        <v>653</v>
      </c>
      <c r="D16" s="689">
        <v>60000</v>
      </c>
      <c r="E16" s="386"/>
      <c r="F16" s="386"/>
    </row>
    <row r="17" spans="1:6" ht="16.5" thickBot="1">
      <c r="A17" s="382">
        <v>10</v>
      </c>
      <c r="B17" s="687" t="s">
        <v>1466</v>
      </c>
      <c r="C17" s="688" t="s">
        <v>653</v>
      </c>
      <c r="D17" s="386"/>
      <c r="E17" s="689">
        <v>45000</v>
      </c>
      <c r="F17" s="386"/>
    </row>
    <row r="18" spans="1:6" ht="16.5" thickBot="1">
      <c r="A18" s="382">
        <v>11</v>
      </c>
      <c r="B18" s="687" t="s">
        <v>56</v>
      </c>
      <c r="C18" s="688" t="s">
        <v>653</v>
      </c>
      <c r="D18" s="386"/>
      <c r="E18" s="689">
        <v>630000</v>
      </c>
      <c r="F18" s="386"/>
    </row>
    <row r="19" spans="1:6" ht="16.5" thickBot="1">
      <c r="A19" s="382">
        <v>12</v>
      </c>
      <c r="B19" s="687" t="s">
        <v>50</v>
      </c>
      <c r="C19" s="688" t="s">
        <v>653</v>
      </c>
      <c r="D19" s="386"/>
      <c r="E19" s="689">
        <v>605000</v>
      </c>
      <c r="F19" s="386"/>
    </row>
    <row r="20" spans="1:6" ht="16.5" thickBot="1">
      <c r="A20" s="382">
        <v>13</v>
      </c>
      <c r="B20" s="687" t="s">
        <v>65</v>
      </c>
      <c r="C20" s="688" t="s">
        <v>646</v>
      </c>
      <c r="D20" s="386"/>
      <c r="E20" s="689">
        <v>60000</v>
      </c>
      <c r="F20" s="386"/>
    </row>
    <row r="21" spans="1:6" ht="16.5" thickBot="1">
      <c r="A21" s="382">
        <v>14</v>
      </c>
      <c r="B21" s="687" t="s">
        <v>1314</v>
      </c>
      <c r="C21" s="688" t="s">
        <v>646</v>
      </c>
      <c r="D21" s="386"/>
      <c r="E21" s="689">
        <v>100000</v>
      </c>
      <c r="F21" s="386"/>
    </row>
    <row r="22" spans="1:6" ht="16.5" thickBot="1">
      <c r="A22" s="382">
        <v>15</v>
      </c>
      <c r="B22" s="687" t="s">
        <v>289</v>
      </c>
      <c r="C22" s="688" t="s">
        <v>646</v>
      </c>
      <c r="D22" s="386"/>
      <c r="E22" s="689">
        <v>170000</v>
      </c>
      <c r="F22" s="386"/>
    </row>
    <row r="23" spans="1:6" ht="16.5" thickBot="1">
      <c r="A23" s="382">
        <v>16</v>
      </c>
      <c r="B23" s="687" t="s">
        <v>647</v>
      </c>
      <c r="C23" s="688" t="s">
        <v>646</v>
      </c>
      <c r="D23" s="689">
        <v>135000</v>
      </c>
      <c r="E23" s="386"/>
      <c r="F23" s="386"/>
    </row>
    <row r="24" spans="1:6" ht="16.5" thickBot="1">
      <c r="A24" s="382">
        <v>17</v>
      </c>
      <c r="B24" s="687" t="s">
        <v>168</v>
      </c>
      <c r="C24" s="688" t="s">
        <v>646</v>
      </c>
      <c r="D24" s="386"/>
      <c r="E24" s="689">
        <v>60000</v>
      </c>
      <c r="F24" s="386"/>
    </row>
    <row r="25" spans="1:6" ht="16.5" thickBot="1">
      <c r="A25" s="382">
        <v>18</v>
      </c>
      <c r="B25" s="687" t="s">
        <v>72</v>
      </c>
      <c r="C25" s="688" t="s">
        <v>674</v>
      </c>
      <c r="D25" s="386"/>
      <c r="E25" s="689">
        <v>240000</v>
      </c>
      <c r="F25" s="386"/>
    </row>
    <row r="26" spans="1:6" ht="16.5" thickBot="1">
      <c r="A26" s="382">
        <v>19</v>
      </c>
      <c r="B26" s="687" t="s">
        <v>742</v>
      </c>
      <c r="C26" s="688" t="s">
        <v>674</v>
      </c>
      <c r="D26" s="689">
        <v>170000</v>
      </c>
      <c r="E26" s="386"/>
      <c r="F26" s="386"/>
    </row>
    <row r="27" spans="1:6" ht="16.5" thickBot="1">
      <c r="A27" s="382">
        <v>20</v>
      </c>
      <c r="B27" s="687" t="s">
        <v>743</v>
      </c>
      <c r="C27" s="688" t="s">
        <v>674</v>
      </c>
      <c r="D27" s="689">
        <v>1400000</v>
      </c>
      <c r="E27" s="386"/>
      <c r="F27" s="386"/>
    </row>
    <row r="28" spans="1:6" ht="16.5" thickBot="1">
      <c r="A28" s="382">
        <v>21</v>
      </c>
      <c r="B28" s="687" t="s">
        <v>648</v>
      </c>
      <c r="C28" s="688" t="s">
        <v>649</v>
      </c>
      <c r="D28" s="689">
        <v>50000</v>
      </c>
      <c r="E28" s="386"/>
      <c r="F28" s="386"/>
    </row>
    <row r="29" spans="1:6" ht="16.5" thickBot="1">
      <c r="A29" s="382">
        <v>22</v>
      </c>
      <c r="B29" s="687" t="s">
        <v>81</v>
      </c>
      <c r="C29" s="688" t="s">
        <v>649</v>
      </c>
      <c r="D29" s="386"/>
      <c r="E29" s="689">
        <v>50000</v>
      </c>
      <c r="F29" s="386"/>
    </row>
    <row r="30" spans="1:6" ht="16.5" thickBot="1">
      <c r="A30" s="382">
        <v>23</v>
      </c>
      <c r="B30" s="687" t="s">
        <v>187</v>
      </c>
      <c r="C30" s="688" t="s">
        <v>649</v>
      </c>
      <c r="D30" s="386"/>
      <c r="E30" s="689">
        <v>100000</v>
      </c>
      <c r="F30" s="386"/>
    </row>
    <row r="31" spans="1:6" ht="16.5" thickBot="1">
      <c r="A31" s="382">
        <v>24</v>
      </c>
      <c r="B31" s="687" t="s">
        <v>152</v>
      </c>
      <c r="C31" s="688" t="s">
        <v>649</v>
      </c>
      <c r="D31" s="386"/>
      <c r="E31" s="689">
        <v>610000</v>
      </c>
      <c r="F31" s="386"/>
    </row>
    <row r="32" spans="1:6" ht="16.5" thickBot="1">
      <c r="A32" s="382">
        <v>25</v>
      </c>
      <c r="B32" s="687" t="s">
        <v>91</v>
      </c>
      <c r="C32" s="688" t="s">
        <v>650</v>
      </c>
      <c r="D32" s="386"/>
      <c r="E32" s="689">
        <v>100000</v>
      </c>
      <c r="F32" s="386"/>
    </row>
    <row r="33" spans="1:6" ht="16.5" thickBot="1">
      <c r="A33" s="382">
        <v>26</v>
      </c>
      <c r="B33" s="687" t="s">
        <v>83</v>
      </c>
      <c r="C33" s="688" t="s">
        <v>650</v>
      </c>
      <c r="D33" s="386"/>
      <c r="E33" s="689">
        <v>35000</v>
      </c>
      <c r="F33" s="386"/>
    </row>
    <row r="34" spans="1:6" ht="16.5" thickBot="1">
      <c r="A34" s="746">
        <v>27</v>
      </c>
      <c r="B34" s="687" t="s">
        <v>688</v>
      </c>
      <c r="C34" s="688" t="s">
        <v>650</v>
      </c>
      <c r="D34" s="689">
        <v>480000</v>
      </c>
      <c r="E34" s="386"/>
      <c r="F34" s="386"/>
    </row>
    <row r="35" spans="1:6" ht="16.5" thickBot="1">
      <c r="A35" s="746">
        <v>28</v>
      </c>
      <c r="B35" s="687" t="s">
        <v>651</v>
      </c>
      <c r="C35" s="688" t="s">
        <v>650</v>
      </c>
      <c r="D35" s="689">
        <v>100000</v>
      </c>
      <c r="E35" s="386"/>
      <c r="F35" s="386"/>
    </row>
    <row r="36" spans="1:6" ht="16.5" thickBot="1">
      <c r="A36" s="746">
        <v>29</v>
      </c>
      <c r="B36" s="687" t="s">
        <v>728</v>
      </c>
      <c r="C36" s="688" t="s">
        <v>650</v>
      </c>
      <c r="D36" s="689">
        <v>100000</v>
      </c>
      <c r="E36" s="386"/>
      <c r="F36" s="386"/>
    </row>
    <row r="37" spans="1:6" ht="16.5" thickBot="1">
      <c r="A37" s="746">
        <v>30</v>
      </c>
      <c r="B37" s="687" t="s">
        <v>727</v>
      </c>
      <c r="C37" s="688" t="s">
        <v>650</v>
      </c>
      <c r="D37" s="689">
        <v>175000</v>
      </c>
      <c r="E37" s="386"/>
      <c r="F37" s="386"/>
    </row>
    <row r="38" spans="1:6" ht="16.5" thickBot="1">
      <c r="A38" s="746">
        <v>31</v>
      </c>
      <c r="B38" s="687" t="s">
        <v>207</v>
      </c>
      <c r="C38" s="688" t="s">
        <v>642</v>
      </c>
      <c r="D38" s="386"/>
      <c r="E38" s="689">
        <v>45000</v>
      </c>
      <c r="F38" s="386"/>
    </row>
    <row r="39" spans="1:6" ht="16.5" thickBot="1">
      <c r="A39" s="746">
        <v>32</v>
      </c>
      <c r="B39" s="687" t="s">
        <v>681</v>
      </c>
      <c r="C39" s="688" t="s">
        <v>642</v>
      </c>
      <c r="D39" s="386"/>
      <c r="E39" s="689">
        <v>60000</v>
      </c>
      <c r="F39" s="386"/>
    </row>
    <row r="40" spans="1:6" ht="16.5" thickBot="1">
      <c r="A40" s="746">
        <v>33</v>
      </c>
      <c r="B40" s="687" t="s">
        <v>210</v>
      </c>
      <c r="C40" s="688" t="s">
        <v>636</v>
      </c>
      <c r="D40" s="386"/>
      <c r="E40" s="689">
        <v>215000</v>
      </c>
      <c r="F40" s="386"/>
    </row>
    <row r="41" spans="1:6" ht="16.5" thickBot="1">
      <c r="A41" s="746">
        <v>34</v>
      </c>
      <c r="B41" s="687" t="s">
        <v>96</v>
      </c>
      <c r="C41" s="688" t="s">
        <v>636</v>
      </c>
      <c r="D41" s="386"/>
      <c r="E41" s="689">
        <v>50000</v>
      </c>
      <c r="F41" s="386"/>
    </row>
    <row r="42" spans="1:6" ht="16.5" thickBot="1">
      <c r="A42" s="746">
        <v>35</v>
      </c>
      <c r="B42" s="687" t="s">
        <v>106</v>
      </c>
      <c r="C42" s="688" t="s">
        <v>636</v>
      </c>
      <c r="D42" s="386"/>
      <c r="E42" s="689">
        <v>60000</v>
      </c>
      <c r="F42" s="386"/>
    </row>
    <row r="43" spans="1:6" ht="16.5" thickBot="1">
      <c r="A43" s="746">
        <v>36</v>
      </c>
      <c r="B43" s="687" t="s">
        <v>638</v>
      </c>
      <c r="C43" s="688" t="s">
        <v>636</v>
      </c>
      <c r="D43" s="689">
        <v>380000</v>
      </c>
      <c r="E43" s="386"/>
      <c r="F43" s="386"/>
    </row>
    <row r="44" spans="1:6" ht="16.5" thickBot="1">
      <c r="A44" s="746">
        <v>37</v>
      </c>
      <c r="B44" s="687" t="s">
        <v>154</v>
      </c>
      <c r="C44" s="688" t="s">
        <v>636</v>
      </c>
      <c r="D44" s="386"/>
      <c r="E44" s="689">
        <v>235000</v>
      </c>
      <c r="F44" s="386"/>
    </row>
    <row r="45" spans="1:6" ht="16.5" thickBot="1">
      <c r="A45" s="746">
        <v>38</v>
      </c>
      <c r="B45" s="687" t="s">
        <v>744</v>
      </c>
      <c r="C45" s="688" t="s">
        <v>636</v>
      </c>
      <c r="D45" s="689">
        <v>200000</v>
      </c>
      <c r="E45" s="386"/>
      <c r="F45" s="386"/>
    </row>
    <row r="46" spans="1:6" ht="16.5" thickBot="1">
      <c r="A46" s="746">
        <v>39</v>
      </c>
      <c r="B46" s="687" t="s">
        <v>660</v>
      </c>
      <c r="C46" s="688" t="s">
        <v>746</v>
      </c>
      <c r="D46" s="689">
        <v>60000</v>
      </c>
      <c r="E46" s="386"/>
      <c r="F46" s="386"/>
    </row>
    <row r="47" spans="1:6" ht="16.5" thickBot="1">
      <c r="A47" s="746">
        <v>40</v>
      </c>
      <c r="B47" s="687" t="s">
        <v>662</v>
      </c>
      <c r="C47" s="688" t="s">
        <v>746</v>
      </c>
      <c r="D47" s="689">
        <v>135000</v>
      </c>
      <c r="E47" s="386"/>
      <c r="F47" s="386"/>
    </row>
    <row r="48" spans="1:6" ht="16.5" thickBot="1">
      <c r="A48" s="746">
        <v>41</v>
      </c>
      <c r="B48" s="687" t="s">
        <v>748</v>
      </c>
      <c r="C48" s="688" t="s">
        <v>746</v>
      </c>
      <c r="D48" s="689">
        <v>115000</v>
      </c>
      <c r="E48" s="386"/>
      <c r="F48" s="386"/>
    </row>
    <row r="49" spans="1:6" ht="16.5" thickBot="1">
      <c r="A49" s="746">
        <v>42</v>
      </c>
      <c r="B49" s="687" t="s">
        <v>664</v>
      </c>
      <c r="C49" s="688" t="s">
        <v>746</v>
      </c>
      <c r="D49" s="386"/>
      <c r="E49" s="689">
        <v>35000</v>
      </c>
      <c r="F49" s="386"/>
    </row>
    <row r="50" spans="1:6" ht="16.5" thickBot="1">
      <c r="A50" s="746">
        <v>43</v>
      </c>
      <c r="B50" s="687" t="s">
        <v>665</v>
      </c>
      <c r="C50" s="688" t="s">
        <v>746</v>
      </c>
      <c r="D50" s="386"/>
      <c r="E50" s="689">
        <v>35000</v>
      </c>
      <c r="F50" s="386"/>
    </row>
    <row r="51" spans="1:6" ht="16.5" thickBot="1">
      <c r="A51" s="746">
        <v>44</v>
      </c>
      <c r="B51" s="687" t="s">
        <v>1248</v>
      </c>
      <c r="C51" s="688" t="s">
        <v>756</v>
      </c>
      <c r="D51" s="689">
        <v>50000</v>
      </c>
      <c r="E51" s="386"/>
      <c r="F51" s="386"/>
    </row>
    <row r="52" spans="1:6" ht="16.5" thickBot="1">
      <c r="A52" s="746">
        <v>45</v>
      </c>
      <c r="B52" s="687" t="s">
        <v>144</v>
      </c>
      <c r="C52" s="688" t="s">
        <v>1224</v>
      </c>
      <c r="D52" s="386"/>
      <c r="E52" s="689">
        <v>375000</v>
      </c>
      <c r="F52" s="386"/>
    </row>
    <row r="53" spans="1:6" ht="16.5" thickBot="1">
      <c r="A53" s="746">
        <v>46</v>
      </c>
      <c r="B53" s="687" t="s">
        <v>1236</v>
      </c>
      <c r="C53" s="688" t="s">
        <v>774</v>
      </c>
      <c r="D53" s="689">
        <v>20000</v>
      </c>
      <c r="E53" s="386"/>
      <c r="F53" s="386"/>
    </row>
    <row r="54" spans="1:6" ht="16.5" thickBot="1">
      <c r="A54" s="401" t="s">
        <v>758</v>
      </c>
      <c r="B54" s="402"/>
      <c r="C54" s="336"/>
      <c r="D54" s="388">
        <v>3830000</v>
      </c>
      <c r="E54" s="388">
        <v>4685000</v>
      </c>
      <c r="F54" s="389"/>
    </row>
    <row r="55" spans="1:6" ht="16.5" customHeight="1" thickBot="1">
      <c r="A55" s="401" t="s">
        <v>864</v>
      </c>
      <c r="B55" s="402"/>
      <c r="C55" s="336"/>
      <c r="D55" s="403">
        <v>8515000</v>
      </c>
      <c r="E55" s="404"/>
      <c r="F55" s="390"/>
    </row>
    <row r="56" spans="1:6" ht="15.75">
      <c r="A56" s="365" t="s">
        <v>1491</v>
      </c>
    </row>
    <row r="57" spans="1:6" ht="15.75">
      <c r="A57" s="365"/>
    </row>
    <row r="58" spans="1:6" ht="16.5">
      <c r="A58" s="246"/>
      <c r="B58" s="248"/>
    </row>
    <row r="59" spans="1:6" ht="15.75">
      <c r="A59" s="205" t="s">
        <v>678</v>
      </c>
    </row>
    <row r="60" spans="1:6" ht="15.75">
      <c r="A60" s="205"/>
    </row>
    <row r="61" spans="1:6" ht="15.75">
      <c r="A61" s="205" t="s">
        <v>1492</v>
      </c>
    </row>
    <row r="62" spans="1:6" ht="15.75">
      <c r="A62" s="232" t="s">
        <v>1493</v>
      </c>
    </row>
    <row r="63" spans="1:6" ht="16.5" thickBot="1">
      <c r="A63" s="232"/>
    </row>
    <row r="64" spans="1:6" ht="57.75" thickBot="1">
      <c r="A64" s="233" t="s">
        <v>0</v>
      </c>
      <c r="B64" s="234" t="s">
        <v>121</v>
      </c>
      <c r="C64" s="234" t="s">
        <v>632</v>
      </c>
      <c r="D64" s="234" t="s">
        <v>633</v>
      </c>
      <c r="E64" s="235" t="s">
        <v>634</v>
      </c>
    </row>
    <row r="65" spans="1:6" ht="16.5" thickBot="1">
      <c r="A65" s="273">
        <v>1</v>
      </c>
      <c r="B65" s="692" t="s">
        <v>1191</v>
      </c>
      <c r="C65" s="273" t="s">
        <v>1182</v>
      </c>
      <c r="D65" s="974">
        <v>20000</v>
      </c>
      <c r="E65" s="979"/>
    </row>
    <row r="66" spans="1:6" ht="16.5" thickBot="1">
      <c r="A66" s="273">
        <v>2</v>
      </c>
      <c r="B66" s="692" t="s">
        <v>1494</v>
      </c>
      <c r="C66" s="273" t="s">
        <v>1182</v>
      </c>
      <c r="D66" s="974">
        <v>10000</v>
      </c>
      <c r="E66" s="979"/>
    </row>
    <row r="67" spans="1:6" ht="16.5" thickBot="1">
      <c r="A67" s="273">
        <v>3</v>
      </c>
      <c r="B67" s="692" t="s">
        <v>1204</v>
      </c>
      <c r="C67" s="273" t="s">
        <v>1198</v>
      </c>
      <c r="D67" s="974">
        <v>10000</v>
      </c>
      <c r="E67" s="979"/>
    </row>
    <row r="68" spans="1:6" ht="16.5" thickBot="1">
      <c r="A68" s="288" t="s">
        <v>676</v>
      </c>
      <c r="B68" s="289"/>
      <c r="C68" s="692"/>
      <c r="D68" s="416">
        <v>40000</v>
      </c>
      <c r="E68" s="979"/>
    </row>
    <row r="69" spans="1:6">
      <c r="A69" s="244" t="s">
        <v>1495</v>
      </c>
    </row>
    <row r="70" spans="1:6" ht="15.75">
      <c r="A70" s="205" t="s">
        <v>696</v>
      </c>
    </row>
    <row r="71" spans="1:6" ht="15.75">
      <c r="A71" s="205"/>
    </row>
    <row r="72" spans="1:6" ht="15.75">
      <c r="A72" s="205" t="s">
        <v>1212</v>
      </c>
    </row>
    <row r="73" spans="1:6" ht="15.75">
      <c r="A73" s="232" t="s">
        <v>1493</v>
      </c>
    </row>
    <row r="74" spans="1:6" ht="16.5" thickBot="1">
      <c r="A74" s="232"/>
    </row>
    <row r="75" spans="1:6" ht="31.5" customHeight="1" thickBot="1">
      <c r="A75" s="380" t="s">
        <v>0</v>
      </c>
      <c r="B75" s="380" t="s">
        <v>121</v>
      </c>
      <c r="C75" s="380" t="s">
        <v>632</v>
      </c>
      <c r="D75" s="398" t="s">
        <v>894</v>
      </c>
      <c r="E75" s="399"/>
      <c r="F75" s="380" t="s">
        <v>699</v>
      </c>
    </row>
    <row r="76" spans="1:6" ht="16.5" thickBot="1">
      <c r="A76" s="400"/>
      <c r="B76" s="400"/>
      <c r="C76" s="400"/>
      <c r="D76" s="381" t="s">
        <v>828</v>
      </c>
      <c r="E76" s="381" t="s">
        <v>829</v>
      </c>
      <c r="F76" s="400"/>
    </row>
    <row r="77" spans="1:6" ht="17.25" thickBot="1">
      <c r="A77" s="382">
        <v>1</v>
      </c>
      <c r="B77" s="929" t="s">
        <v>39</v>
      </c>
      <c r="C77" s="407" t="s">
        <v>668</v>
      </c>
      <c r="D77" s="312"/>
      <c r="E77" s="930">
        <v>3000</v>
      </c>
      <c r="F77" s="386"/>
    </row>
    <row r="78" spans="1:6" ht="17.25" thickBot="1">
      <c r="A78" s="382">
        <v>2</v>
      </c>
      <c r="B78" s="929" t="s">
        <v>25</v>
      </c>
      <c r="C78" s="407" t="s">
        <v>668</v>
      </c>
      <c r="D78" s="312"/>
      <c r="E78" s="930">
        <v>9000</v>
      </c>
      <c r="F78" s="386"/>
    </row>
    <row r="79" spans="1:6" ht="17.25" thickBot="1">
      <c r="A79" s="382">
        <v>3</v>
      </c>
      <c r="B79" s="929" t="s">
        <v>693</v>
      </c>
      <c r="C79" s="407" t="s">
        <v>668</v>
      </c>
      <c r="D79" s="930">
        <v>3000</v>
      </c>
      <c r="E79" s="386"/>
      <c r="F79" s="387"/>
    </row>
    <row r="80" spans="1:6" ht="17.25" thickBot="1">
      <c r="A80" s="382">
        <v>4</v>
      </c>
      <c r="B80" s="929" t="s">
        <v>213</v>
      </c>
      <c r="C80" s="407" t="s">
        <v>668</v>
      </c>
      <c r="D80" s="312"/>
      <c r="E80" s="930">
        <v>6000</v>
      </c>
      <c r="F80" s="386"/>
    </row>
    <row r="81" spans="1:6" ht="17.25" thickBot="1">
      <c r="A81" s="382">
        <v>5</v>
      </c>
      <c r="B81" s="929" t="s">
        <v>295</v>
      </c>
      <c r="C81" s="407" t="s">
        <v>668</v>
      </c>
      <c r="D81" s="312"/>
      <c r="E81" s="930">
        <v>3000</v>
      </c>
      <c r="F81" s="386"/>
    </row>
    <row r="82" spans="1:6" ht="17.25" thickBot="1">
      <c r="A82" s="382">
        <v>6</v>
      </c>
      <c r="B82" s="929" t="s">
        <v>671</v>
      </c>
      <c r="C82" s="407" t="s">
        <v>668</v>
      </c>
      <c r="D82" s="930">
        <v>3000</v>
      </c>
      <c r="E82" s="386"/>
      <c r="F82" s="386"/>
    </row>
    <row r="83" spans="1:6" ht="17.25" thickBot="1">
      <c r="A83" s="382">
        <v>7</v>
      </c>
      <c r="B83" s="929" t="s">
        <v>672</v>
      </c>
      <c r="C83" s="407" t="s">
        <v>668</v>
      </c>
      <c r="D83" s="930">
        <v>3000</v>
      </c>
      <c r="E83" s="386"/>
      <c r="F83" s="387"/>
    </row>
    <row r="84" spans="1:6" ht="17.25" thickBot="1">
      <c r="A84" s="382">
        <v>8</v>
      </c>
      <c r="B84" s="929" t="s">
        <v>435</v>
      </c>
      <c r="C84" s="407" t="s">
        <v>668</v>
      </c>
      <c r="D84" s="312"/>
      <c r="E84" s="930">
        <v>3000</v>
      </c>
      <c r="F84" s="387"/>
    </row>
    <row r="85" spans="1:6" ht="17.25" thickBot="1">
      <c r="A85" s="382">
        <v>9</v>
      </c>
      <c r="B85" s="929" t="s">
        <v>732</v>
      </c>
      <c r="C85" s="407" t="s">
        <v>668</v>
      </c>
      <c r="D85" s="930">
        <v>3000</v>
      </c>
      <c r="E85" s="386"/>
      <c r="F85" s="386"/>
    </row>
    <row r="86" spans="1:6" ht="17.25" thickBot="1">
      <c r="A86" s="382">
        <v>10</v>
      </c>
      <c r="B86" s="929" t="s">
        <v>56</v>
      </c>
      <c r="C86" s="407" t="s">
        <v>653</v>
      </c>
      <c r="D86" s="312"/>
      <c r="E86" s="930">
        <v>3000</v>
      </c>
      <c r="F86" s="387"/>
    </row>
    <row r="87" spans="1:6" ht="17.25" thickBot="1">
      <c r="A87" s="382">
        <v>11</v>
      </c>
      <c r="B87" s="929" t="s">
        <v>46</v>
      </c>
      <c r="C87" s="407" t="s">
        <v>653</v>
      </c>
      <c r="D87" s="312"/>
      <c r="E87" s="930">
        <v>9000</v>
      </c>
      <c r="F87" s="387"/>
    </row>
    <row r="88" spans="1:6" ht="17.25" thickBot="1">
      <c r="A88" s="382">
        <v>12</v>
      </c>
      <c r="B88" s="929" t="s">
        <v>146</v>
      </c>
      <c r="C88" s="407" t="s">
        <v>653</v>
      </c>
      <c r="D88" s="312"/>
      <c r="E88" s="930">
        <v>3000</v>
      </c>
      <c r="F88" s="387"/>
    </row>
    <row r="89" spans="1:6" ht="17.25" thickBot="1">
      <c r="A89" s="382">
        <v>13</v>
      </c>
      <c r="B89" s="929" t="s">
        <v>689</v>
      </c>
      <c r="C89" s="407" t="s">
        <v>653</v>
      </c>
      <c r="D89" s="930">
        <v>6000</v>
      </c>
      <c r="E89" s="386"/>
      <c r="F89" s="387"/>
    </row>
    <row r="90" spans="1:6" ht="17.25" thickBot="1">
      <c r="A90" s="382">
        <v>14</v>
      </c>
      <c r="B90" s="929" t="s">
        <v>50</v>
      </c>
      <c r="C90" s="407" t="s">
        <v>653</v>
      </c>
      <c r="D90" s="312"/>
      <c r="E90" s="930">
        <v>9000</v>
      </c>
      <c r="F90" s="387"/>
    </row>
    <row r="91" spans="1:6" ht="17.25" thickBot="1">
      <c r="A91" s="382">
        <v>15</v>
      </c>
      <c r="B91" s="929" t="s">
        <v>656</v>
      </c>
      <c r="C91" s="407" t="s">
        <v>653</v>
      </c>
      <c r="D91" s="930">
        <v>3000</v>
      </c>
      <c r="E91" s="386"/>
      <c r="F91" s="387"/>
    </row>
    <row r="92" spans="1:6" ht="17.25" thickBot="1">
      <c r="A92" s="382">
        <v>16</v>
      </c>
      <c r="B92" s="929" t="s">
        <v>1434</v>
      </c>
      <c r="C92" s="407" t="s">
        <v>646</v>
      </c>
      <c r="D92" s="312"/>
      <c r="E92" s="930">
        <v>10000</v>
      </c>
      <c r="F92" s="387"/>
    </row>
    <row r="93" spans="1:6" ht="17.25" thickBot="1">
      <c r="A93" s="382">
        <v>17</v>
      </c>
      <c r="B93" s="929" t="s">
        <v>289</v>
      </c>
      <c r="C93" s="407" t="s">
        <v>646</v>
      </c>
      <c r="D93" s="312"/>
      <c r="E93" s="930">
        <v>27000</v>
      </c>
      <c r="F93" s="387"/>
    </row>
    <row r="94" spans="1:6" ht="17.25" thickBot="1">
      <c r="A94" s="382">
        <v>18</v>
      </c>
      <c r="B94" s="929" t="s">
        <v>148</v>
      </c>
      <c r="C94" s="407" t="s">
        <v>646</v>
      </c>
      <c r="D94" s="312"/>
      <c r="E94" s="930">
        <v>3000</v>
      </c>
      <c r="F94" s="387"/>
    </row>
    <row r="95" spans="1:6" ht="17.25" thickBot="1">
      <c r="A95" s="382">
        <v>19</v>
      </c>
      <c r="B95" s="929" t="s">
        <v>65</v>
      </c>
      <c r="C95" s="407" t="s">
        <v>646</v>
      </c>
      <c r="D95" s="312"/>
      <c r="E95" s="930">
        <v>3000</v>
      </c>
      <c r="F95" s="387"/>
    </row>
    <row r="96" spans="1:6" ht="17.25" thickBot="1">
      <c r="A96" s="382">
        <v>20</v>
      </c>
      <c r="B96" s="929" t="s">
        <v>168</v>
      </c>
      <c r="C96" s="407" t="s">
        <v>646</v>
      </c>
      <c r="D96" s="312"/>
      <c r="E96" s="930">
        <v>3000</v>
      </c>
      <c r="F96" s="387"/>
    </row>
    <row r="97" spans="1:6" ht="17.25" thickBot="1">
      <c r="A97" s="382">
        <v>21</v>
      </c>
      <c r="B97" s="929" t="s">
        <v>675</v>
      </c>
      <c r="C97" s="407" t="s">
        <v>674</v>
      </c>
      <c r="D97" s="930">
        <v>9000</v>
      </c>
      <c r="E97" s="386"/>
      <c r="F97" s="387"/>
    </row>
    <row r="98" spans="1:6" ht="17.25" thickBot="1">
      <c r="A98" s="382">
        <v>22</v>
      </c>
      <c r="B98" s="929" t="s">
        <v>182</v>
      </c>
      <c r="C98" s="407" t="s">
        <v>674</v>
      </c>
      <c r="D98" s="312"/>
      <c r="E98" s="930">
        <v>6000</v>
      </c>
      <c r="F98" s="387"/>
    </row>
    <row r="99" spans="1:6" ht="17.25" thickBot="1">
      <c r="A99" s="382">
        <v>23</v>
      </c>
      <c r="B99" s="929" t="s">
        <v>741</v>
      </c>
      <c r="C99" s="407" t="s">
        <v>674</v>
      </c>
      <c r="D99" s="930">
        <v>3000</v>
      </c>
      <c r="E99" s="386"/>
      <c r="F99" s="387"/>
    </row>
    <row r="100" spans="1:6" ht="17.25" thickBot="1">
      <c r="A100" s="382">
        <v>24</v>
      </c>
      <c r="B100" s="929" t="s">
        <v>187</v>
      </c>
      <c r="C100" s="407" t="s">
        <v>649</v>
      </c>
      <c r="D100" s="312"/>
      <c r="E100" s="930">
        <v>20000</v>
      </c>
      <c r="F100" s="387"/>
    </row>
    <row r="101" spans="1:6" ht="17.25" thickBot="1">
      <c r="A101" s="382">
        <v>25</v>
      </c>
      <c r="B101" s="929" t="s">
        <v>687</v>
      </c>
      <c r="C101" s="407" t="s">
        <v>649</v>
      </c>
      <c r="D101" s="930">
        <v>6000</v>
      </c>
      <c r="E101" s="386"/>
      <c r="F101" s="387"/>
    </row>
    <row r="102" spans="1:6" ht="17.25" thickBot="1">
      <c r="A102" s="382">
        <v>26</v>
      </c>
      <c r="B102" s="929" t="s">
        <v>81</v>
      </c>
      <c r="C102" s="407" t="s">
        <v>649</v>
      </c>
      <c r="D102" s="312"/>
      <c r="E102" s="930">
        <v>3000</v>
      </c>
      <c r="F102" s="387"/>
    </row>
    <row r="103" spans="1:6" ht="17.25" thickBot="1">
      <c r="A103" s="382">
        <v>27</v>
      </c>
      <c r="B103" s="929" t="s">
        <v>686</v>
      </c>
      <c r="C103" s="407" t="s">
        <v>649</v>
      </c>
      <c r="D103" s="930">
        <v>6000</v>
      </c>
      <c r="E103" s="386"/>
      <c r="F103" s="387"/>
    </row>
    <row r="104" spans="1:6" ht="17.25" thickBot="1">
      <c r="A104" s="382">
        <v>28</v>
      </c>
      <c r="B104" s="929" t="s">
        <v>269</v>
      </c>
      <c r="C104" s="407" t="s">
        <v>650</v>
      </c>
      <c r="D104" s="312"/>
      <c r="E104" s="930">
        <v>9000</v>
      </c>
      <c r="F104" s="387"/>
    </row>
    <row r="105" spans="1:6" ht="17.25" thickBot="1">
      <c r="A105" s="382">
        <v>29</v>
      </c>
      <c r="B105" s="929" t="s">
        <v>651</v>
      </c>
      <c r="C105" s="407" t="s">
        <v>650</v>
      </c>
      <c r="D105" s="312"/>
      <c r="E105" s="930">
        <v>9000</v>
      </c>
      <c r="F105" s="387"/>
    </row>
    <row r="106" spans="1:6" ht="17.25" thickBot="1">
      <c r="A106" s="382">
        <v>30</v>
      </c>
      <c r="B106" s="929" t="s">
        <v>688</v>
      </c>
      <c r="C106" s="407" t="s">
        <v>650</v>
      </c>
      <c r="D106" s="930">
        <v>15000</v>
      </c>
      <c r="E106" s="386"/>
      <c r="F106" s="387"/>
    </row>
    <row r="107" spans="1:6" ht="17.25" thickBot="1">
      <c r="A107" s="382">
        <v>31</v>
      </c>
      <c r="B107" s="929" t="s">
        <v>715</v>
      </c>
      <c r="C107" s="407" t="s">
        <v>642</v>
      </c>
      <c r="D107" s="930">
        <v>6000</v>
      </c>
      <c r="E107" s="386"/>
      <c r="F107" s="387"/>
    </row>
    <row r="108" spans="1:6" ht="17.25" thickBot="1">
      <c r="A108" s="382">
        <v>32</v>
      </c>
      <c r="B108" s="929" t="s">
        <v>681</v>
      </c>
      <c r="C108" s="407" t="s">
        <v>642</v>
      </c>
      <c r="D108" s="312"/>
      <c r="E108" s="930">
        <v>6000</v>
      </c>
      <c r="F108" s="387"/>
    </row>
    <row r="109" spans="1:6" ht="17.25" thickBot="1">
      <c r="A109" s="382">
        <v>33</v>
      </c>
      <c r="B109" s="929" t="s">
        <v>682</v>
      </c>
      <c r="C109" s="407" t="s">
        <v>642</v>
      </c>
      <c r="D109" s="930">
        <v>12000</v>
      </c>
      <c r="E109" s="386"/>
      <c r="F109" s="387"/>
    </row>
    <row r="110" spans="1:6" ht="17.25" thickBot="1">
      <c r="A110" s="382">
        <v>34</v>
      </c>
      <c r="B110" s="929" t="s">
        <v>207</v>
      </c>
      <c r="C110" s="407" t="s">
        <v>642</v>
      </c>
      <c r="D110" s="312"/>
      <c r="E110" s="930">
        <v>3000</v>
      </c>
      <c r="F110" s="387"/>
    </row>
    <row r="111" spans="1:6" ht="17.25" thickBot="1">
      <c r="A111" s="382">
        <v>35</v>
      </c>
      <c r="B111" s="929" t="s">
        <v>728</v>
      </c>
      <c r="C111" s="407" t="s">
        <v>642</v>
      </c>
      <c r="D111" s="930">
        <v>3000</v>
      </c>
      <c r="E111" s="386"/>
      <c r="F111" s="387"/>
    </row>
    <row r="112" spans="1:6" ht="17.25" thickBot="1">
      <c r="A112" s="382">
        <v>36</v>
      </c>
      <c r="B112" s="929" t="s">
        <v>210</v>
      </c>
      <c r="C112" s="407" t="s">
        <v>717</v>
      </c>
      <c r="D112" s="312"/>
      <c r="E112" s="930">
        <v>12000</v>
      </c>
      <c r="F112" s="387"/>
    </row>
    <row r="113" spans="1:6" ht="17.25" thickBot="1">
      <c r="A113" s="382">
        <v>37</v>
      </c>
      <c r="B113" s="929" t="s">
        <v>744</v>
      </c>
      <c r="C113" s="407" t="s">
        <v>717</v>
      </c>
      <c r="D113" s="930">
        <v>9000</v>
      </c>
      <c r="E113" s="386"/>
      <c r="F113" s="387"/>
    </row>
    <row r="114" spans="1:6" ht="17.25" thickBot="1">
      <c r="A114" s="382">
        <v>38</v>
      </c>
      <c r="B114" s="929" t="s">
        <v>98</v>
      </c>
      <c r="C114" s="407" t="s">
        <v>717</v>
      </c>
      <c r="D114" s="312"/>
      <c r="E114" s="930">
        <v>3000</v>
      </c>
      <c r="F114" s="387"/>
    </row>
    <row r="115" spans="1:6" ht="17.25" thickBot="1">
      <c r="A115" s="382">
        <v>39</v>
      </c>
      <c r="B115" s="929" t="s">
        <v>638</v>
      </c>
      <c r="C115" s="407" t="s">
        <v>717</v>
      </c>
      <c r="D115" s="930">
        <v>3000</v>
      </c>
      <c r="E115" s="386"/>
      <c r="F115" s="387"/>
    </row>
    <row r="116" spans="1:6" ht="17.25" thickBot="1">
      <c r="A116" s="382">
        <v>40</v>
      </c>
      <c r="B116" s="929" t="s">
        <v>106</v>
      </c>
      <c r="C116" s="407" t="s">
        <v>717</v>
      </c>
      <c r="D116" s="312"/>
      <c r="E116" s="930">
        <v>9000</v>
      </c>
      <c r="F116" s="387"/>
    </row>
    <row r="117" spans="1:6" ht="16.5" thickBot="1">
      <c r="A117" s="401" t="s">
        <v>758</v>
      </c>
      <c r="B117" s="402"/>
      <c r="C117" s="336"/>
      <c r="D117" s="388">
        <v>93000</v>
      </c>
      <c r="E117" s="388">
        <v>174000</v>
      </c>
      <c r="F117" s="389"/>
    </row>
    <row r="118" spans="1:6" ht="16.5" customHeight="1" thickBot="1">
      <c r="A118" s="401" t="s">
        <v>833</v>
      </c>
      <c r="B118" s="402"/>
      <c r="C118" s="336"/>
      <c r="D118" s="403">
        <v>267000</v>
      </c>
      <c r="E118" s="404"/>
      <c r="F118" s="390"/>
    </row>
    <row r="119" spans="1:6" ht="15.75">
      <c r="A119" s="365" t="s">
        <v>1496</v>
      </c>
    </row>
    <row r="120" spans="1:6" ht="15.75">
      <c r="A120" s="205" t="s">
        <v>704</v>
      </c>
    </row>
    <row r="121" spans="1:6" ht="15.75">
      <c r="A121" s="205"/>
    </row>
    <row r="122" spans="1:6" ht="15.75">
      <c r="A122" s="205" t="s">
        <v>1419</v>
      </c>
    </row>
    <row r="123" spans="1:6" ht="15.75">
      <c r="A123" s="232" t="s">
        <v>1497</v>
      </c>
    </row>
    <row r="124" spans="1:6" ht="16.5" thickBot="1">
      <c r="A124" s="232"/>
    </row>
    <row r="125" spans="1:6" ht="29.25" thickBot="1">
      <c r="A125" s="233" t="s">
        <v>0</v>
      </c>
      <c r="B125" s="234" t="s">
        <v>632</v>
      </c>
      <c r="C125" s="234" t="s">
        <v>633</v>
      </c>
      <c r="D125" s="233" t="s">
        <v>634</v>
      </c>
      <c r="E125" s="375"/>
    </row>
    <row r="126" spans="1:6" ht="16.5" thickBot="1">
      <c r="A126" s="255">
        <v>1</v>
      </c>
      <c r="B126" s="256" t="s">
        <v>706</v>
      </c>
      <c r="C126" s="974">
        <v>1500000</v>
      </c>
      <c r="D126" s="759"/>
      <c r="E126" s="932"/>
    </row>
    <row r="127" spans="1:6" ht="16.5" thickBot="1">
      <c r="A127" s="255">
        <v>2</v>
      </c>
      <c r="B127" s="256" t="s">
        <v>1450</v>
      </c>
      <c r="C127" s="974">
        <v>1500000</v>
      </c>
      <c r="D127" s="759"/>
      <c r="E127" s="932"/>
    </row>
    <row r="128" spans="1:6" ht="16.5" thickBot="1">
      <c r="A128" s="255">
        <v>3</v>
      </c>
      <c r="B128" s="256" t="s">
        <v>708</v>
      </c>
      <c r="C128" s="974">
        <v>1000000</v>
      </c>
      <c r="D128" s="759"/>
      <c r="E128" s="932"/>
    </row>
    <row r="129" spans="1:5" ht="16.5" thickBot="1">
      <c r="A129" s="255">
        <v>4</v>
      </c>
      <c r="B129" s="256" t="s">
        <v>890</v>
      </c>
      <c r="C129" s="974">
        <v>1500000</v>
      </c>
      <c r="D129" s="759"/>
      <c r="E129" s="932"/>
    </row>
    <row r="130" spans="1:5" ht="17.25" thickBot="1">
      <c r="A130" s="288" t="s">
        <v>676</v>
      </c>
      <c r="B130" s="289"/>
      <c r="C130" s="262" t="s">
        <v>1498</v>
      </c>
      <c r="D130" s="262"/>
      <c r="E130" s="551"/>
    </row>
    <row r="131" spans="1:5">
      <c r="A131" s="244" t="s">
        <v>1499</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6"/>
  <sheetViews>
    <sheetView topLeftCell="A130" workbookViewId="0">
      <selection activeCell="H65" sqref="H65"/>
    </sheetView>
  </sheetViews>
  <sheetFormatPr defaultRowHeight="15"/>
  <cols>
    <col min="2" max="2" width="28.140625" customWidth="1"/>
    <col min="3" max="3" width="15.7109375" customWidth="1"/>
    <col min="4" max="6" width="11.28515625" customWidth="1"/>
    <col min="7" max="7" width="9.140625" style="643"/>
    <col min="8" max="8" width="11.5703125" style="561" bestFit="1" customWidth="1"/>
  </cols>
  <sheetData>
    <row r="1" spans="1:8" ht="15.75">
      <c r="A1" s="205" t="s">
        <v>868</v>
      </c>
    </row>
    <row r="2" spans="1:8">
      <c r="A2" s="686" t="s">
        <v>1500</v>
      </c>
    </row>
    <row r="3" spans="1:8" ht="16.5" thickBot="1">
      <c r="A3" s="232" t="s">
        <v>1501</v>
      </c>
    </row>
    <row r="4" spans="1:8" ht="28.5" customHeight="1" thickBot="1">
      <c r="A4" s="939" t="s">
        <v>0</v>
      </c>
      <c r="B4" s="939" t="s">
        <v>121</v>
      </c>
      <c r="C4" s="939" t="s">
        <v>632</v>
      </c>
      <c r="D4" s="941" t="s">
        <v>894</v>
      </c>
      <c r="E4" s="942"/>
      <c r="F4" s="939" t="s">
        <v>699</v>
      </c>
    </row>
    <row r="5" spans="1:8" ht="15.75" thickBot="1">
      <c r="A5" s="943"/>
      <c r="B5" s="943"/>
      <c r="C5" s="943"/>
      <c r="D5" s="940" t="s">
        <v>828</v>
      </c>
      <c r="E5" s="940" t="s">
        <v>829</v>
      </c>
      <c r="F5" s="943"/>
    </row>
    <row r="6" spans="1:8" ht="15.75" thickBot="1">
      <c r="A6" s="694">
        <v>1</v>
      </c>
      <c r="B6" s="446" t="s">
        <v>645</v>
      </c>
      <c r="C6" s="447" t="s">
        <v>642</v>
      </c>
      <c r="D6" s="449">
        <v>140</v>
      </c>
      <c r="E6" s="314"/>
      <c r="F6" s="314"/>
      <c r="G6" s="643">
        <v>1000</v>
      </c>
      <c r="H6" s="561">
        <f>E6*G6</f>
        <v>0</v>
      </c>
    </row>
    <row r="7" spans="1:8" ht="15.75" thickBot="1">
      <c r="A7" s="694">
        <v>2</v>
      </c>
      <c r="B7" s="446" t="s">
        <v>715</v>
      </c>
      <c r="C7" s="447" t="s">
        <v>642</v>
      </c>
      <c r="D7" s="449">
        <v>80</v>
      </c>
      <c r="E7" s="314"/>
      <c r="F7" s="314"/>
      <c r="G7" s="643">
        <v>1000</v>
      </c>
      <c r="H7" s="561">
        <f t="shared" ref="H7:H70" si="0">E7*G7</f>
        <v>0</v>
      </c>
    </row>
    <row r="8" spans="1:8" ht="15.75" thickBot="1">
      <c r="A8" s="694">
        <v>3</v>
      </c>
      <c r="B8" s="446" t="s">
        <v>682</v>
      </c>
      <c r="C8" s="447" t="s">
        <v>642</v>
      </c>
      <c r="D8" s="449">
        <v>80</v>
      </c>
      <c r="E8" s="314"/>
      <c r="F8" s="314"/>
      <c r="G8" s="643">
        <v>1000</v>
      </c>
      <c r="H8" s="561">
        <f t="shared" si="0"/>
        <v>0</v>
      </c>
    </row>
    <row r="9" spans="1:8" ht="17.25" thickBot="1">
      <c r="A9" s="694">
        <v>4</v>
      </c>
      <c r="B9" s="446" t="s">
        <v>153</v>
      </c>
      <c r="C9" s="447" t="s">
        <v>642</v>
      </c>
      <c r="D9" s="385"/>
      <c r="E9" s="449">
        <v>100</v>
      </c>
      <c r="F9" s="314"/>
      <c r="G9" s="643">
        <v>1000</v>
      </c>
      <c r="H9" s="561">
        <f t="shared" si="0"/>
        <v>100000</v>
      </c>
    </row>
    <row r="10" spans="1:8" ht="17.25" thickBot="1">
      <c r="A10" s="694">
        <v>5</v>
      </c>
      <c r="B10" s="446" t="s">
        <v>681</v>
      </c>
      <c r="C10" s="447" t="s">
        <v>642</v>
      </c>
      <c r="D10" s="385"/>
      <c r="E10" s="449">
        <v>80</v>
      </c>
      <c r="F10" s="314"/>
      <c r="G10" s="643">
        <v>1000</v>
      </c>
      <c r="H10" s="561">
        <f t="shared" si="0"/>
        <v>80000</v>
      </c>
    </row>
    <row r="11" spans="1:8" ht="15.75" thickBot="1">
      <c r="A11" s="694">
        <v>6</v>
      </c>
      <c r="B11" s="446" t="s">
        <v>641</v>
      </c>
      <c r="C11" s="447" t="s">
        <v>717</v>
      </c>
      <c r="D11" s="449">
        <v>160</v>
      </c>
      <c r="E11" s="314"/>
      <c r="F11" s="314"/>
      <c r="G11" s="643">
        <v>1000</v>
      </c>
      <c r="H11" s="561">
        <f t="shared" si="0"/>
        <v>0</v>
      </c>
    </row>
    <row r="12" spans="1:8" ht="15.75" thickBot="1">
      <c r="A12" s="694">
        <v>7</v>
      </c>
      <c r="B12" s="446" t="s">
        <v>638</v>
      </c>
      <c r="C12" s="447" t="s">
        <v>717</v>
      </c>
      <c r="D12" s="449">
        <v>40</v>
      </c>
      <c r="E12" s="314"/>
      <c r="F12" s="314"/>
      <c r="G12" s="643">
        <v>1000</v>
      </c>
      <c r="H12" s="561">
        <f t="shared" si="0"/>
        <v>0</v>
      </c>
    </row>
    <row r="13" spans="1:8" ht="15.75" thickBot="1">
      <c r="A13" s="694">
        <v>8</v>
      </c>
      <c r="B13" s="446" t="s">
        <v>640</v>
      </c>
      <c r="C13" s="447" t="s">
        <v>717</v>
      </c>
      <c r="D13" s="449">
        <v>60</v>
      </c>
      <c r="E13" s="314"/>
      <c r="F13" s="314"/>
      <c r="G13" s="643">
        <v>1000</v>
      </c>
      <c r="H13" s="561">
        <f t="shared" si="0"/>
        <v>0</v>
      </c>
    </row>
    <row r="14" spans="1:8" ht="15.75" thickBot="1">
      <c r="A14" s="694">
        <v>9</v>
      </c>
      <c r="B14" s="446" t="s">
        <v>744</v>
      </c>
      <c r="C14" s="447" t="s">
        <v>717</v>
      </c>
      <c r="D14" s="449">
        <v>60</v>
      </c>
      <c r="E14" s="314"/>
      <c r="F14" s="314"/>
      <c r="G14" s="643">
        <v>1000</v>
      </c>
      <c r="H14" s="561">
        <f t="shared" si="0"/>
        <v>0</v>
      </c>
    </row>
    <row r="15" spans="1:8" ht="17.25" thickBot="1">
      <c r="A15" s="694">
        <v>10</v>
      </c>
      <c r="B15" s="446" t="s">
        <v>96</v>
      </c>
      <c r="C15" s="447" t="s">
        <v>717</v>
      </c>
      <c r="D15" s="385"/>
      <c r="E15" s="449">
        <v>30</v>
      </c>
      <c r="F15" s="314"/>
      <c r="G15" s="643">
        <v>1000</v>
      </c>
      <c r="H15" s="561">
        <f t="shared" si="0"/>
        <v>30000</v>
      </c>
    </row>
    <row r="16" spans="1:8" ht="17.25" thickBot="1">
      <c r="A16" s="694">
        <v>11</v>
      </c>
      <c r="B16" s="446" t="s">
        <v>210</v>
      </c>
      <c r="C16" s="447" t="s">
        <v>717</v>
      </c>
      <c r="D16" s="385"/>
      <c r="E16" s="449">
        <v>80</v>
      </c>
      <c r="F16" s="314"/>
      <c r="G16" s="643">
        <v>1000</v>
      </c>
      <c r="H16" s="561">
        <f t="shared" si="0"/>
        <v>80000</v>
      </c>
    </row>
    <row r="17" spans="1:8" ht="17.25" thickBot="1">
      <c r="A17" s="694">
        <v>12</v>
      </c>
      <c r="B17" s="446" t="s">
        <v>639</v>
      </c>
      <c r="C17" s="447" t="s">
        <v>717</v>
      </c>
      <c r="D17" s="385"/>
      <c r="E17" s="449">
        <v>30</v>
      </c>
      <c r="F17" s="314"/>
      <c r="G17" s="643">
        <v>1000</v>
      </c>
      <c r="H17" s="561">
        <f t="shared" si="0"/>
        <v>30000</v>
      </c>
    </row>
    <row r="18" spans="1:8" ht="17.25" thickBot="1">
      <c r="A18" s="694">
        <v>13</v>
      </c>
      <c r="B18" s="446" t="s">
        <v>98</v>
      </c>
      <c r="C18" s="447" t="s">
        <v>717</v>
      </c>
      <c r="D18" s="385"/>
      <c r="E18" s="449">
        <v>60</v>
      </c>
      <c r="F18" s="314"/>
      <c r="G18" s="643">
        <v>1000</v>
      </c>
      <c r="H18" s="561">
        <f t="shared" si="0"/>
        <v>60000</v>
      </c>
    </row>
    <row r="19" spans="1:8" ht="15.75" thickBot="1">
      <c r="A19" s="694">
        <v>14</v>
      </c>
      <c r="B19" s="446" t="s">
        <v>648</v>
      </c>
      <c r="C19" s="447" t="s">
        <v>649</v>
      </c>
      <c r="D19" s="449">
        <v>30</v>
      </c>
      <c r="E19" s="314"/>
      <c r="F19" s="314"/>
      <c r="G19" s="643">
        <v>1000</v>
      </c>
      <c r="H19" s="561">
        <f t="shared" si="0"/>
        <v>0</v>
      </c>
    </row>
    <row r="20" spans="1:8" ht="15.75" thickBot="1">
      <c r="A20" s="694">
        <v>15</v>
      </c>
      <c r="B20" s="446" t="s">
        <v>687</v>
      </c>
      <c r="C20" s="447" t="s">
        <v>649</v>
      </c>
      <c r="D20" s="449">
        <v>80</v>
      </c>
      <c r="E20" s="314"/>
      <c r="F20" s="314"/>
      <c r="G20" s="643">
        <v>1000</v>
      </c>
      <c r="H20" s="561">
        <f t="shared" si="0"/>
        <v>0</v>
      </c>
    </row>
    <row r="21" spans="1:8" ht="15.75" thickBot="1">
      <c r="A21" s="694">
        <v>16</v>
      </c>
      <c r="B21" s="446" t="s">
        <v>685</v>
      </c>
      <c r="C21" s="447" t="s">
        <v>649</v>
      </c>
      <c r="D21" s="449">
        <v>330</v>
      </c>
      <c r="E21" s="314"/>
      <c r="F21" s="314"/>
      <c r="G21" s="643">
        <v>1000</v>
      </c>
      <c r="H21" s="561">
        <f t="shared" si="0"/>
        <v>0</v>
      </c>
    </row>
    <row r="22" spans="1:8" ht="15.75" thickBot="1">
      <c r="A22" s="694">
        <v>17</v>
      </c>
      <c r="B22" s="446" t="s">
        <v>684</v>
      </c>
      <c r="C22" s="447" t="s">
        <v>649</v>
      </c>
      <c r="D22" s="449">
        <v>170</v>
      </c>
      <c r="E22" s="314"/>
      <c r="F22" s="314"/>
      <c r="G22" s="643">
        <v>1000</v>
      </c>
      <c r="H22" s="561">
        <f t="shared" si="0"/>
        <v>0</v>
      </c>
    </row>
    <row r="23" spans="1:8" ht="17.25" thickBot="1">
      <c r="A23" s="694">
        <v>18</v>
      </c>
      <c r="B23" s="446" t="s">
        <v>205</v>
      </c>
      <c r="C23" s="447" t="s">
        <v>649</v>
      </c>
      <c r="D23" s="385"/>
      <c r="E23" s="449">
        <v>50</v>
      </c>
      <c r="F23" s="314"/>
      <c r="G23" s="643">
        <v>1000</v>
      </c>
      <c r="H23" s="561">
        <f t="shared" si="0"/>
        <v>50000</v>
      </c>
    </row>
    <row r="24" spans="1:8" ht="17.25" thickBot="1">
      <c r="A24" s="694">
        <v>19</v>
      </c>
      <c r="B24" s="446" t="s">
        <v>81</v>
      </c>
      <c r="C24" s="447" t="s">
        <v>649</v>
      </c>
      <c r="D24" s="385"/>
      <c r="E24" s="449">
        <v>40</v>
      </c>
      <c r="F24" s="314"/>
      <c r="G24" s="643">
        <v>1000</v>
      </c>
      <c r="H24" s="561">
        <f t="shared" si="0"/>
        <v>40000</v>
      </c>
    </row>
    <row r="25" spans="1:8" ht="17.25" thickBot="1">
      <c r="A25" s="694">
        <v>20</v>
      </c>
      <c r="B25" s="446" t="s">
        <v>721</v>
      </c>
      <c r="C25" s="447" t="s">
        <v>649</v>
      </c>
      <c r="D25" s="385"/>
      <c r="E25" s="449">
        <v>90</v>
      </c>
      <c r="F25" s="314"/>
      <c r="G25" s="643">
        <v>1000</v>
      </c>
      <c r="H25" s="561">
        <f t="shared" si="0"/>
        <v>90000</v>
      </c>
    </row>
    <row r="26" spans="1:8" ht="15.75" thickBot="1">
      <c r="A26" s="694">
        <v>21</v>
      </c>
      <c r="B26" s="446" t="s">
        <v>723</v>
      </c>
      <c r="C26" s="447" t="s">
        <v>646</v>
      </c>
      <c r="D26" s="449">
        <v>130</v>
      </c>
      <c r="E26" s="314"/>
      <c r="F26" s="314"/>
      <c r="G26" s="643">
        <v>1000</v>
      </c>
      <c r="H26" s="561">
        <f t="shared" si="0"/>
        <v>0</v>
      </c>
    </row>
    <row r="27" spans="1:8" ht="15.75" thickBot="1">
      <c r="A27" s="694">
        <v>22</v>
      </c>
      <c r="B27" s="446" t="s">
        <v>722</v>
      </c>
      <c r="C27" s="447" t="s">
        <v>646</v>
      </c>
      <c r="D27" s="449">
        <v>40</v>
      </c>
      <c r="E27" s="314"/>
      <c r="F27" s="314"/>
      <c r="G27" s="643">
        <v>1000</v>
      </c>
      <c r="H27" s="561">
        <f t="shared" si="0"/>
        <v>0</v>
      </c>
    </row>
    <row r="28" spans="1:8" ht="15.75" thickBot="1">
      <c r="A28" s="694">
        <v>23</v>
      </c>
      <c r="B28" s="446" t="s">
        <v>683</v>
      </c>
      <c r="C28" s="447" t="s">
        <v>646</v>
      </c>
      <c r="D28" s="449">
        <v>80</v>
      </c>
      <c r="E28" s="314"/>
      <c r="F28" s="314"/>
      <c r="G28" s="643">
        <v>1000</v>
      </c>
      <c r="H28" s="561">
        <f t="shared" si="0"/>
        <v>0</v>
      </c>
    </row>
    <row r="29" spans="1:8" ht="15.75" thickBot="1">
      <c r="A29" s="694">
        <v>24</v>
      </c>
      <c r="B29" s="446" t="s">
        <v>647</v>
      </c>
      <c r="C29" s="447" t="s">
        <v>646</v>
      </c>
      <c r="D29" s="449">
        <v>30</v>
      </c>
      <c r="E29" s="314"/>
      <c r="F29" s="314"/>
      <c r="G29" s="643">
        <v>1000</v>
      </c>
      <c r="H29" s="561">
        <f t="shared" si="0"/>
        <v>0</v>
      </c>
    </row>
    <row r="30" spans="1:8" ht="17.25" thickBot="1">
      <c r="A30" s="694">
        <v>25</v>
      </c>
      <c r="B30" s="446" t="s">
        <v>168</v>
      </c>
      <c r="C30" s="447" t="s">
        <v>646</v>
      </c>
      <c r="D30" s="385"/>
      <c r="E30" s="449">
        <v>70</v>
      </c>
      <c r="F30" s="314"/>
      <c r="G30" s="643">
        <v>1000</v>
      </c>
      <c r="H30" s="561">
        <f t="shared" si="0"/>
        <v>70000</v>
      </c>
    </row>
    <row r="31" spans="1:8" ht="17.25" thickBot="1">
      <c r="A31" s="694">
        <v>26</v>
      </c>
      <c r="B31" s="446" t="s">
        <v>148</v>
      </c>
      <c r="C31" s="447" t="s">
        <v>646</v>
      </c>
      <c r="D31" s="385"/>
      <c r="E31" s="449">
        <v>30</v>
      </c>
      <c r="F31" s="314"/>
      <c r="G31" s="643">
        <v>1000</v>
      </c>
      <c r="H31" s="561">
        <f t="shared" si="0"/>
        <v>30000</v>
      </c>
    </row>
    <row r="32" spans="1:8" ht="17.25" thickBot="1">
      <c r="A32" s="309">
        <v>27</v>
      </c>
      <c r="B32" s="446" t="s">
        <v>725</v>
      </c>
      <c r="C32" s="447" t="s">
        <v>646</v>
      </c>
      <c r="D32" s="385"/>
      <c r="E32" s="449">
        <v>20</v>
      </c>
      <c r="F32" s="314"/>
      <c r="G32" s="643">
        <v>1000</v>
      </c>
      <c r="H32" s="561">
        <f t="shared" si="0"/>
        <v>20000</v>
      </c>
    </row>
    <row r="33" spans="1:8" ht="17.25" thickBot="1">
      <c r="A33" s="309">
        <v>28</v>
      </c>
      <c r="B33" s="446" t="s">
        <v>289</v>
      </c>
      <c r="C33" s="447" t="s">
        <v>646</v>
      </c>
      <c r="D33" s="385"/>
      <c r="E33" s="449">
        <v>70</v>
      </c>
      <c r="F33" s="314"/>
      <c r="G33" s="643">
        <v>1000</v>
      </c>
      <c r="H33" s="561">
        <f t="shared" si="0"/>
        <v>70000</v>
      </c>
    </row>
    <row r="34" spans="1:8" ht="17.25" thickBot="1">
      <c r="A34" s="309">
        <v>29</v>
      </c>
      <c r="B34" s="446" t="s">
        <v>1434</v>
      </c>
      <c r="C34" s="447" t="s">
        <v>646</v>
      </c>
      <c r="D34" s="385"/>
      <c r="E34" s="449">
        <v>80</v>
      </c>
      <c r="F34" s="314"/>
      <c r="G34" s="643">
        <v>1000</v>
      </c>
      <c r="H34" s="561">
        <f t="shared" si="0"/>
        <v>80000</v>
      </c>
    </row>
    <row r="35" spans="1:8" ht="15.75" thickBot="1">
      <c r="A35" s="309">
        <v>30</v>
      </c>
      <c r="B35" s="446" t="s">
        <v>1401</v>
      </c>
      <c r="C35" s="447" t="s">
        <v>650</v>
      </c>
      <c r="D35" s="449">
        <v>30</v>
      </c>
      <c r="E35" s="314"/>
      <c r="F35" s="314"/>
      <c r="G35" s="643">
        <v>1000</v>
      </c>
      <c r="H35" s="561">
        <f t="shared" si="0"/>
        <v>0</v>
      </c>
    </row>
    <row r="36" spans="1:8" ht="15.75" thickBot="1">
      <c r="A36" s="309">
        <v>31</v>
      </c>
      <c r="B36" s="446" t="s">
        <v>728</v>
      </c>
      <c r="C36" s="447" t="s">
        <v>650</v>
      </c>
      <c r="D36" s="449">
        <v>20</v>
      </c>
      <c r="E36" s="314"/>
      <c r="F36" s="314"/>
      <c r="G36" s="643">
        <v>1000</v>
      </c>
      <c r="H36" s="561">
        <f t="shared" si="0"/>
        <v>0</v>
      </c>
    </row>
    <row r="37" spans="1:8" ht="15.75" thickBot="1">
      <c r="A37" s="309">
        <v>32</v>
      </c>
      <c r="B37" s="446" t="s">
        <v>651</v>
      </c>
      <c r="C37" s="447" t="s">
        <v>650</v>
      </c>
      <c r="D37" s="449">
        <v>90</v>
      </c>
      <c r="E37" s="314"/>
      <c r="F37" s="314"/>
      <c r="G37" s="643">
        <v>1000</v>
      </c>
      <c r="H37" s="561">
        <f t="shared" si="0"/>
        <v>0</v>
      </c>
    </row>
    <row r="38" spans="1:8" ht="15.75" thickBot="1">
      <c r="A38" s="309">
        <v>33</v>
      </c>
      <c r="B38" s="446" t="s">
        <v>688</v>
      </c>
      <c r="C38" s="447" t="s">
        <v>650</v>
      </c>
      <c r="D38" s="449">
        <v>90</v>
      </c>
      <c r="E38" s="314"/>
      <c r="F38" s="314"/>
      <c r="G38" s="643">
        <v>1000</v>
      </c>
      <c r="H38" s="561">
        <f t="shared" si="0"/>
        <v>0</v>
      </c>
    </row>
    <row r="39" spans="1:8" ht="15.75" thickBot="1">
      <c r="A39" s="309">
        <v>34</v>
      </c>
      <c r="B39" s="446" t="s">
        <v>727</v>
      </c>
      <c r="C39" s="447" t="s">
        <v>650</v>
      </c>
      <c r="D39" s="449">
        <v>40</v>
      </c>
      <c r="E39" s="314"/>
      <c r="F39" s="314"/>
      <c r="G39" s="643">
        <v>1000</v>
      </c>
      <c r="H39" s="561">
        <f t="shared" si="0"/>
        <v>0</v>
      </c>
    </row>
    <row r="40" spans="1:8" ht="17.25" thickBot="1">
      <c r="A40" s="309">
        <v>35</v>
      </c>
      <c r="B40" s="446" t="s">
        <v>269</v>
      </c>
      <c r="C40" s="447" t="s">
        <v>650</v>
      </c>
      <c r="D40" s="385"/>
      <c r="E40" s="449">
        <v>160</v>
      </c>
      <c r="F40" s="314"/>
      <c r="G40" s="643">
        <v>1000</v>
      </c>
      <c r="H40" s="561">
        <f t="shared" si="0"/>
        <v>160000</v>
      </c>
    </row>
    <row r="41" spans="1:8" ht="17.25" thickBot="1">
      <c r="A41" s="309">
        <v>36</v>
      </c>
      <c r="B41" s="446" t="s">
        <v>91</v>
      </c>
      <c r="C41" s="447" t="s">
        <v>650</v>
      </c>
      <c r="D41" s="385"/>
      <c r="E41" s="449">
        <v>20</v>
      </c>
      <c r="F41" s="314"/>
      <c r="G41" s="643">
        <v>1000</v>
      </c>
      <c r="H41" s="561">
        <f t="shared" si="0"/>
        <v>20000</v>
      </c>
    </row>
    <row r="42" spans="1:8" ht="17.25" thickBot="1">
      <c r="A42" s="309">
        <v>37</v>
      </c>
      <c r="B42" s="446" t="s">
        <v>83</v>
      </c>
      <c r="C42" s="447" t="s">
        <v>650</v>
      </c>
      <c r="D42" s="385"/>
      <c r="E42" s="449">
        <v>20</v>
      </c>
      <c r="F42" s="314"/>
      <c r="G42" s="643">
        <v>1000</v>
      </c>
      <c r="H42" s="561">
        <f t="shared" si="0"/>
        <v>20000</v>
      </c>
    </row>
    <row r="43" spans="1:8" ht="15.75" thickBot="1">
      <c r="A43" s="309">
        <v>38</v>
      </c>
      <c r="B43" s="446" t="s">
        <v>689</v>
      </c>
      <c r="C43" s="447" t="s">
        <v>653</v>
      </c>
      <c r="D43" s="449">
        <v>20</v>
      </c>
      <c r="E43" s="314"/>
      <c r="F43" s="314"/>
      <c r="G43" s="643">
        <v>1000</v>
      </c>
      <c r="H43" s="561">
        <f t="shared" si="0"/>
        <v>0</v>
      </c>
    </row>
    <row r="44" spans="1:8" ht="15.75" thickBot="1">
      <c r="A44" s="309">
        <v>39</v>
      </c>
      <c r="B44" s="446" t="s">
        <v>656</v>
      </c>
      <c r="C44" s="447" t="s">
        <v>653</v>
      </c>
      <c r="D44" s="449">
        <v>30</v>
      </c>
      <c r="E44" s="314"/>
      <c r="F44" s="314"/>
      <c r="G44" s="643">
        <v>1000</v>
      </c>
      <c r="H44" s="561">
        <f t="shared" si="0"/>
        <v>0</v>
      </c>
    </row>
    <row r="45" spans="1:8" ht="15.75" thickBot="1">
      <c r="A45" s="309">
        <v>40</v>
      </c>
      <c r="B45" s="446" t="s">
        <v>658</v>
      </c>
      <c r="C45" s="447" t="s">
        <v>653</v>
      </c>
      <c r="D45" s="449">
        <v>70</v>
      </c>
      <c r="E45" s="314"/>
      <c r="F45" s="314"/>
      <c r="G45" s="643">
        <v>1000</v>
      </c>
      <c r="H45" s="561">
        <f t="shared" si="0"/>
        <v>0</v>
      </c>
    </row>
    <row r="46" spans="1:8" ht="15.75" thickBot="1">
      <c r="A46" s="309">
        <v>41</v>
      </c>
      <c r="B46" s="446" t="s">
        <v>730</v>
      </c>
      <c r="C46" s="447" t="s">
        <v>653</v>
      </c>
      <c r="D46" s="449">
        <v>60</v>
      </c>
      <c r="E46" s="314"/>
      <c r="F46" s="314"/>
      <c r="G46" s="643">
        <v>1000</v>
      </c>
      <c r="H46" s="561">
        <f t="shared" si="0"/>
        <v>0</v>
      </c>
    </row>
    <row r="47" spans="1:8" ht="15.75" thickBot="1">
      <c r="A47" s="309">
        <v>42</v>
      </c>
      <c r="B47" s="446" t="s">
        <v>659</v>
      </c>
      <c r="C47" s="447" t="s">
        <v>653</v>
      </c>
      <c r="D47" s="449">
        <v>10</v>
      </c>
      <c r="E47" s="314"/>
      <c r="F47" s="314"/>
      <c r="G47" s="643">
        <v>1000</v>
      </c>
      <c r="H47" s="561">
        <f t="shared" si="0"/>
        <v>0</v>
      </c>
    </row>
    <row r="48" spans="1:8" ht="17.25" thickBot="1">
      <c r="A48" s="309">
        <v>43</v>
      </c>
      <c r="B48" s="446" t="s">
        <v>146</v>
      </c>
      <c r="C48" s="447" t="s">
        <v>653</v>
      </c>
      <c r="D48" s="385"/>
      <c r="E48" s="449">
        <v>30</v>
      </c>
      <c r="F48" s="314"/>
      <c r="G48" s="643">
        <v>1000</v>
      </c>
      <c r="H48" s="561">
        <f t="shared" si="0"/>
        <v>30000</v>
      </c>
    </row>
    <row r="49" spans="1:8" ht="17.25" thickBot="1">
      <c r="A49" s="309">
        <v>44</v>
      </c>
      <c r="B49" s="446" t="s">
        <v>147</v>
      </c>
      <c r="C49" s="447" t="s">
        <v>653</v>
      </c>
      <c r="D49" s="385"/>
      <c r="E49" s="449">
        <v>40</v>
      </c>
      <c r="F49" s="314"/>
      <c r="G49" s="643">
        <v>1000</v>
      </c>
      <c r="H49" s="561">
        <f t="shared" si="0"/>
        <v>40000</v>
      </c>
    </row>
    <row r="50" spans="1:8" ht="17.25" thickBot="1">
      <c r="A50" s="309">
        <v>45</v>
      </c>
      <c r="B50" s="446" t="s">
        <v>60</v>
      </c>
      <c r="C50" s="447" t="s">
        <v>653</v>
      </c>
      <c r="D50" s="385"/>
      <c r="E50" s="449">
        <v>30</v>
      </c>
      <c r="F50" s="314"/>
      <c r="G50" s="643">
        <v>1000</v>
      </c>
      <c r="H50" s="561">
        <f t="shared" si="0"/>
        <v>30000</v>
      </c>
    </row>
    <row r="51" spans="1:8" ht="17.25" thickBot="1">
      <c r="A51" s="309">
        <v>46</v>
      </c>
      <c r="B51" s="446" t="s">
        <v>690</v>
      </c>
      <c r="C51" s="447" t="s">
        <v>653</v>
      </c>
      <c r="D51" s="799"/>
      <c r="E51" s="447">
        <v>50</v>
      </c>
      <c r="F51" s="314"/>
      <c r="G51" s="643">
        <v>1000</v>
      </c>
      <c r="H51" s="561">
        <f t="shared" si="0"/>
        <v>50000</v>
      </c>
    </row>
    <row r="52" spans="1:8" ht="17.25" thickBot="1">
      <c r="A52" s="309">
        <v>47</v>
      </c>
      <c r="B52" s="446" t="s">
        <v>1488</v>
      </c>
      <c r="C52" s="447" t="s">
        <v>653</v>
      </c>
      <c r="D52" s="385"/>
      <c r="E52" s="449">
        <v>150</v>
      </c>
      <c r="F52" s="314"/>
      <c r="G52" s="643">
        <v>1000</v>
      </c>
      <c r="H52" s="561">
        <f t="shared" si="0"/>
        <v>150000</v>
      </c>
    </row>
    <row r="53" spans="1:8" ht="15.75" thickBot="1">
      <c r="A53" s="309">
        <v>48</v>
      </c>
      <c r="B53" s="446" t="s">
        <v>670</v>
      </c>
      <c r="C53" s="447" t="s">
        <v>668</v>
      </c>
      <c r="D53" s="449">
        <v>50</v>
      </c>
      <c r="E53" s="314"/>
      <c r="F53" s="314"/>
      <c r="G53" s="643">
        <v>1000</v>
      </c>
      <c r="H53" s="561">
        <f t="shared" si="0"/>
        <v>0</v>
      </c>
    </row>
    <row r="54" spans="1:8" ht="15.75" thickBot="1">
      <c r="A54" s="309">
        <v>49</v>
      </c>
      <c r="B54" s="446" t="s">
        <v>693</v>
      </c>
      <c r="C54" s="447" t="s">
        <v>668</v>
      </c>
      <c r="D54" s="449">
        <v>90</v>
      </c>
      <c r="E54" s="314"/>
      <c r="F54" s="314"/>
      <c r="G54" s="643">
        <v>1000</v>
      </c>
      <c r="H54" s="561">
        <f t="shared" si="0"/>
        <v>0</v>
      </c>
    </row>
    <row r="55" spans="1:8" ht="15.75" thickBot="1">
      <c r="A55" s="309">
        <v>50</v>
      </c>
      <c r="B55" s="446" t="s">
        <v>672</v>
      </c>
      <c r="C55" s="447" t="s">
        <v>668</v>
      </c>
      <c r="D55" s="449">
        <v>40</v>
      </c>
      <c r="E55" s="314"/>
      <c r="F55" s="314"/>
      <c r="G55" s="643">
        <v>1000</v>
      </c>
      <c r="H55" s="561">
        <f t="shared" si="0"/>
        <v>0</v>
      </c>
    </row>
    <row r="56" spans="1:8" ht="15.75" thickBot="1">
      <c r="A56" s="309">
        <v>51</v>
      </c>
      <c r="B56" s="446" t="s">
        <v>732</v>
      </c>
      <c r="C56" s="447" t="s">
        <v>668</v>
      </c>
      <c r="D56" s="449">
        <v>60</v>
      </c>
      <c r="E56" s="314"/>
      <c r="F56" s="314"/>
      <c r="G56" s="643">
        <v>1000</v>
      </c>
      <c r="H56" s="561">
        <f t="shared" si="0"/>
        <v>0</v>
      </c>
    </row>
    <row r="57" spans="1:8" ht="15.75" thickBot="1">
      <c r="A57" s="309">
        <v>52</v>
      </c>
      <c r="B57" s="446" t="s">
        <v>692</v>
      </c>
      <c r="C57" s="447" t="s">
        <v>668</v>
      </c>
      <c r="D57" s="449">
        <v>130</v>
      </c>
      <c r="E57" s="314"/>
      <c r="F57" s="314"/>
      <c r="G57" s="643">
        <v>1000</v>
      </c>
      <c r="H57" s="561">
        <f t="shared" si="0"/>
        <v>0</v>
      </c>
    </row>
    <row r="58" spans="1:8" ht="17.25" thickBot="1">
      <c r="A58" s="309">
        <v>53</v>
      </c>
      <c r="B58" s="446" t="s">
        <v>29</v>
      </c>
      <c r="C58" s="447" t="s">
        <v>668</v>
      </c>
      <c r="D58" s="385"/>
      <c r="E58" s="449">
        <v>30</v>
      </c>
      <c r="F58" s="314"/>
      <c r="G58" s="643">
        <v>1000</v>
      </c>
      <c r="H58" s="561">
        <f t="shared" si="0"/>
        <v>30000</v>
      </c>
    </row>
    <row r="59" spans="1:8" ht="15.75" thickBot="1">
      <c r="A59" s="309">
        <v>54</v>
      </c>
      <c r="B59" s="446" t="s">
        <v>741</v>
      </c>
      <c r="C59" s="447" t="s">
        <v>674</v>
      </c>
      <c r="D59" s="449">
        <v>60</v>
      </c>
      <c r="E59" s="314"/>
      <c r="F59" s="314"/>
      <c r="G59" s="643">
        <v>1000</v>
      </c>
      <c r="H59" s="561">
        <f t="shared" si="0"/>
        <v>0</v>
      </c>
    </row>
    <row r="60" spans="1:8" ht="15.75" thickBot="1">
      <c r="A60" s="309">
        <v>55</v>
      </c>
      <c r="B60" s="446" t="s">
        <v>675</v>
      </c>
      <c r="C60" s="447" t="s">
        <v>674</v>
      </c>
      <c r="D60" s="449">
        <v>60</v>
      </c>
      <c r="E60" s="314"/>
      <c r="F60" s="314"/>
      <c r="G60" s="643">
        <v>1000</v>
      </c>
      <c r="H60" s="561">
        <f t="shared" si="0"/>
        <v>0</v>
      </c>
    </row>
    <row r="61" spans="1:8" ht="17.25" thickBot="1">
      <c r="A61" s="309">
        <v>56</v>
      </c>
      <c r="B61" s="446" t="s">
        <v>150</v>
      </c>
      <c r="C61" s="447" t="s">
        <v>674</v>
      </c>
      <c r="D61" s="385"/>
      <c r="E61" s="449">
        <v>100</v>
      </c>
      <c r="F61" s="314"/>
      <c r="G61" s="643">
        <v>1000</v>
      </c>
      <c r="H61" s="561">
        <f t="shared" si="0"/>
        <v>100000</v>
      </c>
    </row>
    <row r="62" spans="1:8" ht="17.25" thickBot="1">
      <c r="A62" s="309">
        <v>57</v>
      </c>
      <c r="B62" s="446" t="s">
        <v>149</v>
      </c>
      <c r="C62" s="447" t="s">
        <v>674</v>
      </c>
      <c r="D62" s="385"/>
      <c r="E62" s="449">
        <v>160</v>
      </c>
      <c r="F62" s="314"/>
      <c r="G62" s="643">
        <v>1000</v>
      </c>
      <c r="H62" s="561">
        <f t="shared" si="0"/>
        <v>160000</v>
      </c>
    </row>
    <row r="63" spans="1:8" ht="17.25" thickBot="1">
      <c r="A63" s="309">
        <v>58</v>
      </c>
      <c r="B63" s="446" t="s">
        <v>72</v>
      </c>
      <c r="C63" s="447" t="s">
        <v>674</v>
      </c>
      <c r="D63" s="385"/>
      <c r="E63" s="449">
        <v>80</v>
      </c>
      <c r="F63" s="314"/>
      <c r="G63" s="643">
        <v>1000</v>
      </c>
      <c r="H63" s="561">
        <f t="shared" si="0"/>
        <v>80000</v>
      </c>
    </row>
    <row r="64" spans="1:8" ht="15.75" thickBot="1">
      <c r="A64" s="700" t="s">
        <v>758</v>
      </c>
      <c r="B64" s="701"/>
      <c r="C64" s="318"/>
      <c r="D64" s="695">
        <v>2460000</v>
      </c>
      <c r="E64" s="695">
        <v>1700000</v>
      </c>
      <c r="F64" s="696"/>
      <c r="H64" s="561">
        <f t="shared" si="0"/>
        <v>0</v>
      </c>
    </row>
    <row r="65" spans="1:8" ht="15.75" customHeight="1" thickBot="1">
      <c r="A65" s="700" t="s">
        <v>864</v>
      </c>
      <c r="B65" s="701"/>
      <c r="C65" s="318"/>
      <c r="D65" s="702">
        <v>4160000</v>
      </c>
      <c r="E65" s="703"/>
      <c r="F65" s="697"/>
      <c r="H65" s="561">
        <f t="shared" si="0"/>
        <v>0</v>
      </c>
    </row>
    <row r="66" spans="1:8">
      <c r="A66" s="284"/>
      <c r="H66" s="561">
        <f t="shared" si="0"/>
        <v>0</v>
      </c>
    </row>
    <row r="67" spans="1:8" ht="15.75">
      <c r="A67" s="205" t="s">
        <v>678</v>
      </c>
      <c r="H67" s="561">
        <f t="shared" si="0"/>
        <v>0</v>
      </c>
    </row>
    <row r="68" spans="1:8" ht="15.75">
      <c r="A68" s="205"/>
      <c r="H68" s="561">
        <f t="shared" si="0"/>
        <v>0</v>
      </c>
    </row>
    <row r="69" spans="1:8">
      <c r="A69" s="686" t="s">
        <v>1502</v>
      </c>
      <c r="H69" s="561">
        <f t="shared" si="0"/>
        <v>0</v>
      </c>
    </row>
    <row r="70" spans="1:8" ht="15.75">
      <c r="A70" s="232" t="s">
        <v>1501</v>
      </c>
      <c r="H70" s="561">
        <f t="shared" si="0"/>
        <v>0</v>
      </c>
    </row>
    <row r="71" spans="1:8" ht="16.5" thickBot="1">
      <c r="A71" s="232"/>
      <c r="H71" s="561">
        <f t="shared" ref="H71:H134" si="1">E71*G71</f>
        <v>0</v>
      </c>
    </row>
    <row r="72" spans="1:8" ht="28.5" customHeight="1" thickBot="1">
      <c r="A72" s="939" t="s">
        <v>0</v>
      </c>
      <c r="B72" s="939" t="s">
        <v>121</v>
      </c>
      <c r="C72" s="939" t="s">
        <v>632</v>
      </c>
      <c r="D72" s="941" t="s">
        <v>894</v>
      </c>
      <c r="E72" s="942"/>
      <c r="F72" s="939" t="s">
        <v>699</v>
      </c>
      <c r="H72" s="561">
        <f t="shared" si="1"/>
        <v>0</v>
      </c>
    </row>
    <row r="73" spans="1:8" ht="15.75" thickBot="1">
      <c r="A73" s="943"/>
      <c r="B73" s="943"/>
      <c r="C73" s="943"/>
      <c r="D73" s="940" t="s">
        <v>828</v>
      </c>
      <c r="E73" s="940" t="s">
        <v>829</v>
      </c>
      <c r="F73" s="943"/>
      <c r="H73" s="561" t="e">
        <f t="shared" si="1"/>
        <v>#VALUE!</v>
      </c>
    </row>
    <row r="74" spans="1:8" ht="17.25" thickBot="1">
      <c r="A74" s="980">
        <v>1</v>
      </c>
      <c r="B74" s="929" t="s">
        <v>685</v>
      </c>
      <c r="C74" s="799" t="s">
        <v>649</v>
      </c>
      <c r="D74" s="800">
        <v>300000</v>
      </c>
      <c r="E74" s="312"/>
      <c r="F74" s="799" t="s">
        <v>1503</v>
      </c>
      <c r="H74" s="561">
        <f t="shared" si="1"/>
        <v>0</v>
      </c>
    </row>
    <row r="75" spans="1:8" ht="17.25" thickBot="1">
      <c r="A75" s="980">
        <v>2</v>
      </c>
      <c r="B75" s="929" t="s">
        <v>684</v>
      </c>
      <c r="C75" s="799" t="s">
        <v>649</v>
      </c>
      <c r="D75" s="800">
        <v>200000</v>
      </c>
      <c r="E75" s="312"/>
      <c r="F75" s="799" t="s">
        <v>1504</v>
      </c>
      <c r="H75" s="561">
        <f t="shared" si="1"/>
        <v>0</v>
      </c>
    </row>
    <row r="76" spans="1:8" ht="17.25" thickBot="1">
      <c r="A76" s="980">
        <v>3</v>
      </c>
      <c r="B76" s="929" t="s">
        <v>641</v>
      </c>
      <c r="C76" s="799" t="s">
        <v>717</v>
      </c>
      <c r="D76" s="800">
        <v>50000</v>
      </c>
      <c r="E76" s="312"/>
      <c r="F76" s="799" t="s">
        <v>1505</v>
      </c>
      <c r="H76" s="561">
        <f t="shared" si="1"/>
        <v>0</v>
      </c>
    </row>
    <row r="77" spans="1:8" ht="17.25" thickBot="1">
      <c r="A77" s="980">
        <v>4</v>
      </c>
      <c r="B77" s="929" t="s">
        <v>269</v>
      </c>
      <c r="C77" s="799" t="s">
        <v>650</v>
      </c>
      <c r="D77" s="385"/>
      <c r="E77" s="800">
        <v>50000</v>
      </c>
      <c r="F77" s="799" t="s">
        <v>1505</v>
      </c>
      <c r="H77" s="561">
        <f t="shared" si="1"/>
        <v>0</v>
      </c>
    </row>
    <row r="78" spans="1:8" ht="17.25" thickBot="1">
      <c r="A78" s="992" t="s">
        <v>758</v>
      </c>
      <c r="B78" s="993"/>
      <c r="C78" s="981"/>
      <c r="D78" s="982">
        <v>550000</v>
      </c>
      <c r="E78" s="982">
        <v>50000</v>
      </c>
      <c r="F78" s="983"/>
      <c r="H78" s="561">
        <f t="shared" si="1"/>
        <v>0</v>
      </c>
    </row>
    <row r="79" spans="1:8" ht="17.25" customHeight="1" thickBot="1">
      <c r="A79" s="992" t="s">
        <v>864</v>
      </c>
      <c r="B79" s="993"/>
      <c r="C79" s="981"/>
      <c r="D79" s="994">
        <v>600000</v>
      </c>
      <c r="E79" s="995"/>
      <c r="F79" s="984"/>
      <c r="H79" s="561">
        <f t="shared" si="1"/>
        <v>0</v>
      </c>
    </row>
    <row r="80" spans="1:8">
      <c r="A80" s="244"/>
      <c r="H80" s="561">
        <f t="shared" si="1"/>
        <v>0</v>
      </c>
    </row>
    <row r="81" spans="1:8" ht="16.5">
      <c r="A81" s="246"/>
      <c r="B81" s="248"/>
      <c r="H81" s="561">
        <f t="shared" si="1"/>
        <v>0</v>
      </c>
    </row>
    <row r="82" spans="1:8" ht="15.75">
      <c r="A82" s="205" t="s">
        <v>696</v>
      </c>
      <c r="H82" s="561">
        <f t="shared" si="1"/>
        <v>0</v>
      </c>
    </row>
    <row r="83" spans="1:8" ht="15.75">
      <c r="A83" s="205"/>
      <c r="H83" s="561">
        <f t="shared" si="1"/>
        <v>0</v>
      </c>
    </row>
    <row r="84" spans="1:8">
      <c r="A84" s="686" t="s">
        <v>1506</v>
      </c>
      <c r="H84" s="561">
        <f t="shared" si="1"/>
        <v>0</v>
      </c>
    </row>
    <row r="85" spans="1:8" ht="16.5" thickBot="1">
      <c r="A85" s="232" t="s">
        <v>1501</v>
      </c>
      <c r="H85" s="561">
        <f t="shared" si="1"/>
        <v>0</v>
      </c>
    </row>
    <row r="86" spans="1:8" ht="28.5" customHeight="1" thickBot="1">
      <c r="A86" s="551"/>
      <c r="B86" s="939" t="s">
        <v>0</v>
      </c>
      <c r="C86" s="939" t="s">
        <v>121</v>
      </c>
      <c r="D86" s="939" t="s">
        <v>632</v>
      </c>
      <c r="E86" s="941" t="s">
        <v>894</v>
      </c>
      <c r="F86" s="942"/>
      <c r="G86" s="996" t="s">
        <v>699</v>
      </c>
      <c r="H86" s="561" t="e">
        <f t="shared" si="1"/>
        <v>#VALUE!</v>
      </c>
    </row>
    <row r="87" spans="1:8" ht="17.25" thickBot="1">
      <c r="A87" s="551"/>
      <c r="B87" s="943"/>
      <c r="C87" s="943"/>
      <c r="D87" s="943"/>
      <c r="E87" s="940" t="s">
        <v>828</v>
      </c>
      <c r="F87" s="940" t="s">
        <v>829</v>
      </c>
      <c r="G87" s="997"/>
      <c r="H87" s="561" t="e">
        <f t="shared" si="1"/>
        <v>#VALUE!</v>
      </c>
    </row>
    <row r="88" spans="1:8" ht="17.25" thickBot="1">
      <c r="A88" s="551"/>
      <c r="B88" s="707" t="s">
        <v>39</v>
      </c>
      <c r="C88" s="708" t="s">
        <v>668</v>
      </c>
      <c r="D88" s="710"/>
      <c r="E88" s="710">
        <v>140</v>
      </c>
      <c r="G88" s="998">
        <v>1000</v>
      </c>
      <c r="H88" s="561">
        <f t="shared" si="1"/>
        <v>140000</v>
      </c>
    </row>
    <row r="89" spans="1:8" ht="17.25" thickBot="1">
      <c r="A89" s="551"/>
      <c r="B89" s="707" t="s">
        <v>29</v>
      </c>
      <c r="C89" s="708" t="s">
        <v>668</v>
      </c>
      <c r="D89" s="710"/>
      <c r="E89" s="710">
        <v>40</v>
      </c>
      <c r="G89" s="998">
        <v>1000</v>
      </c>
      <c r="H89" s="561">
        <f t="shared" si="1"/>
        <v>40000</v>
      </c>
    </row>
    <row r="90" spans="1:8" ht="17.25" thickBot="1">
      <c r="A90" s="551"/>
      <c r="B90" s="707" t="s">
        <v>31</v>
      </c>
      <c r="C90" s="708" t="s">
        <v>668</v>
      </c>
      <c r="D90" s="710"/>
      <c r="E90" s="710">
        <v>125</v>
      </c>
      <c r="G90" s="998">
        <v>1000</v>
      </c>
      <c r="H90" s="561">
        <f t="shared" si="1"/>
        <v>125000</v>
      </c>
    </row>
    <row r="91" spans="1:8" ht="17.25" thickBot="1">
      <c r="A91" s="551"/>
      <c r="B91" s="707" t="s">
        <v>213</v>
      </c>
      <c r="C91" s="708" t="s">
        <v>668</v>
      </c>
      <c r="D91" s="710"/>
      <c r="E91" s="710">
        <v>20</v>
      </c>
      <c r="G91" s="998">
        <v>1000</v>
      </c>
      <c r="H91" s="561">
        <f t="shared" si="1"/>
        <v>20000</v>
      </c>
    </row>
    <row r="92" spans="1:8" ht="17.25" thickBot="1">
      <c r="A92" s="551"/>
      <c r="B92" s="707" t="s">
        <v>262</v>
      </c>
      <c r="C92" s="708" t="s">
        <v>668</v>
      </c>
      <c r="D92" s="710"/>
      <c r="E92" s="710">
        <v>40</v>
      </c>
      <c r="G92" s="998">
        <v>1000</v>
      </c>
      <c r="H92" s="561">
        <f t="shared" si="1"/>
        <v>40000</v>
      </c>
    </row>
    <row r="93" spans="1:8" ht="17.25" thickBot="1">
      <c r="A93" s="551"/>
      <c r="B93" s="707" t="s">
        <v>1316</v>
      </c>
      <c r="C93" s="708" t="s">
        <v>668</v>
      </c>
      <c r="D93" s="710"/>
      <c r="E93" s="710">
        <v>30</v>
      </c>
      <c r="G93" s="998">
        <v>1000</v>
      </c>
      <c r="H93" s="561">
        <f t="shared" si="1"/>
        <v>30000</v>
      </c>
    </row>
    <row r="94" spans="1:8" ht="17.25" thickBot="1">
      <c r="A94" s="551"/>
      <c r="B94" s="707" t="s">
        <v>693</v>
      </c>
      <c r="C94" s="708" t="s">
        <v>668</v>
      </c>
      <c r="D94" s="710">
        <v>10</v>
      </c>
      <c r="E94" s="710"/>
      <c r="G94" s="998">
        <v>1000</v>
      </c>
      <c r="H94" s="561">
        <f t="shared" si="1"/>
        <v>0</v>
      </c>
    </row>
    <row r="95" spans="1:8" ht="17.25" thickBot="1">
      <c r="A95" s="551"/>
      <c r="B95" s="707" t="s">
        <v>671</v>
      </c>
      <c r="C95" s="708" t="s">
        <v>668</v>
      </c>
      <c r="D95" s="710">
        <v>10</v>
      </c>
      <c r="E95" s="710"/>
      <c r="G95" s="998">
        <v>1000</v>
      </c>
      <c r="H95" s="561">
        <f t="shared" si="1"/>
        <v>0</v>
      </c>
    </row>
    <row r="96" spans="1:8" ht="17.25" thickBot="1">
      <c r="A96" s="551"/>
      <c r="B96" s="707" t="s">
        <v>669</v>
      </c>
      <c r="C96" s="708" t="s">
        <v>668</v>
      </c>
      <c r="D96" s="710">
        <v>20</v>
      </c>
      <c r="E96" s="710"/>
      <c r="G96" s="998">
        <v>1000</v>
      </c>
      <c r="H96" s="561">
        <f t="shared" si="1"/>
        <v>0</v>
      </c>
    </row>
    <row r="97" spans="1:8" ht="17.25" thickBot="1">
      <c r="A97" s="551"/>
      <c r="B97" s="707" t="s">
        <v>273</v>
      </c>
      <c r="C97" s="708" t="s">
        <v>668</v>
      </c>
      <c r="D97" s="710"/>
      <c r="E97" s="710">
        <v>130</v>
      </c>
      <c r="G97" s="998">
        <v>1000</v>
      </c>
      <c r="H97" s="561">
        <f t="shared" si="1"/>
        <v>130000</v>
      </c>
    </row>
    <row r="98" spans="1:8" ht="17.25" thickBot="1">
      <c r="A98" s="551"/>
      <c r="B98" s="707" t="s">
        <v>48</v>
      </c>
      <c r="C98" s="708" t="s">
        <v>653</v>
      </c>
      <c r="D98" s="710"/>
      <c r="E98" s="710">
        <v>20</v>
      </c>
      <c r="G98" s="998">
        <v>1000</v>
      </c>
      <c r="H98" s="561">
        <f t="shared" si="1"/>
        <v>20000</v>
      </c>
    </row>
    <row r="99" spans="1:8" ht="17.25" thickBot="1">
      <c r="A99" s="551"/>
      <c r="B99" s="707" t="s">
        <v>52</v>
      </c>
      <c r="C99" s="708" t="s">
        <v>653</v>
      </c>
      <c r="D99" s="710"/>
      <c r="E99" s="710">
        <v>10</v>
      </c>
      <c r="G99" s="998">
        <v>1000</v>
      </c>
      <c r="H99" s="561">
        <f t="shared" si="1"/>
        <v>10000</v>
      </c>
    </row>
    <row r="100" spans="1:8" ht="17.25" thickBot="1">
      <c r="A100" s="551"/>
      <c r="B100" s="707" t="s">
        <v>46</v>
      </c>
      <c r="C100" s="708" t="s">
        <v>653</v>
      </c>
      <c r="D100" s="710"/>
      <c r="E100" s="710">
        <v>10</v>
      </c>
      <c r="G100" s="998">
        <v>1000</v>
      </c>
      <c r="H100" s="561">
        <f t="shared" si="1"/>
        <v>10000</v>
      </c>
    </row>
    <row r="101" spans="1:8" ht="17.25" thickBot="1">
      <c r="A101" s="551"/>
      <c r="B101" s="707" t="s">
        <v>730</v>
      </c>
      <c r="C101" s="708" t="s">
        <v>653</v>
      </c>
      <c r="D101" s="710">
        <v>20</v>
      </c>
      <c r="E101" s="710"/>
      <c r="G101" s="998">
        <v>1000</v>
      </c>
      <c r="H101" s="561">
        <f t="shared" si="1"/>
        <v>0</v>
      </c>
    </row>
    <row r="102" spans="1:8" ht="17.25" thickBot="1">
      <c r="A102" s="551"/>
      <c r="B102" s="707" t="s">
        <v>56</v>
      </c>
      <c r="C102" s="708" t="s">
        <v>653</v>
      </c>
      <c r="D102" s="710"/>
      <c r="E102" s="710">
        <v>20</v>
      </c>
      <c r="G102" s="998">
        <v>1000</v>
      </c>
      <c r="H102" s="561">
        <f t="shared" si="1"/>
        <v>20000</v>
      </c>
    </row>
    <row r="103" spans="1:8" ht="17.25" thickBot="1">
      <c r="A103" s="551"/>
      <c r="B103" s="707" t="s">
        <v>50</v>
      </c>
      <c r="C103" s="708" t="s">
        <v>653</v>
      </c>
      <c r="D103" s="710"/>
      <c r="E103" s="710">
        <v>30</v>
      </c>
      <c r="G103" s="998">
        <v>1000</v>
      </c>
      <c r="H103" s="561">
        <f t="shared" si="1"/>
        <v>30000</v>
      </c>
    </row>
    <row r="104" spans="1:8" ht="17.25" thickBot="1">
      <c r="A104" s="551"/>
      <c r="B104" s="707" t="s">
        <v>65</v>
      </c>
      <c r="C104" s="708" t="s">
        <v>646</v>
      </c>
      <c r="D104" s="710"/>
      <c r="E104" s="710">
        <v>20</v>
      </c>
      <c r="G104" s="998">
        <v>1000</v>
      </c>
      <c r="H104" s="561">
        <f t="shared" si="1"/>
        <v>20000</v>
      </c>
    </row>
    <row r="105" spans="1:8" ht="17.25" thickBot="1">
      <c r="A105" s="551"/>
      <c r="B105" s="707" t="s">
        <v>1314</v>
      </c>
      <c r="C105" s="708" t="s">
        <v>646</v>
      </c>
      <c r="D105" s="710"/>
      <c r="E105" s="710">
        <v>10</v>
      </c>
      <c r="G105" s="998">
        <v>1000</v>
      </c>
      <c r="H105" s="561">
        <f t="shared" si="1"/>
        <v>10000</v>
      </c>
    </row>
    <row r="106" spans="1:8" ht="17.25" thickBot="1">
      <c r="A106" s="551"/>
      <c r="B106" s="707" t="s">
        <v>148</v>
      </c>
      <c r="C106" s="708" t="s">
        <v>646</v>
      </c>
      <c r="D106" s="710"/>
      <c r="E106" s="710">
        <v>60</v>
      </c>
      <c r="G106" s="998">
        <v>1000</v>
      </c>
      <c r="H106" s="561">
        <f t="shared" si="1"/>
        <v>60000</v>
      </c>
    </row>
    <row r="107" spans="1:8" ht="17.25" thickBot="1">
      <c r="A107" s="551"/>
      <c r="B107" s="707" t="s">
        <v>647</v>
      </c>
      <c r="C107" s="708" t="s">
        <v>646</v>
      </c>
      <c r="D107" s="710">
        <v>35</v>
      </c>
      <c r="E107" s="711"/>
      <c r="G107" s="998">
        <v>1000</v>
      </c>
      <c r="H107" s="561">
        <f t="shared" si="1"/>
        <v>0</v>
      </c>
    </row>
    <row r="108" spans="1:8" ht="17.25" thickBot="1">
      <c r="A108" s="551"/>
      <c r="B108" s="707" t="s">
        <v>168</v>
      </c>
      <c r="C108" s="708" t="s">
        <v>646</v>
      </c>
      <c r="D108" s="710"/>
      <c r="E108" s="710">
        <v>10</v>
      </c>
      <c r="G108" s="998">
        <v>1000</v>
      </c>
      <c r="H108" s="561">
        <f t="shared" si="1"/>
        <v>10000</v>
      </c>
    </row>
    <row r="109" spans="1:8" ht="17.25" thickBot="1">
      <c r="A109" s="551"/>
      <c r="B109" s="707" t="s">
        <v>1434</v>
      </c>
      <c r="C109" s="708" t="s">
        <v>646</v>
      </c>
      <c r="D109" s="710"/>
      <c r="E109" s="710">
        <v>10</v>
      </c>
      <c r="G109" s="998">
        <v>1000</v>
      </c>
      <c r="H109" s="561">
        <f t="shared" si="1"/>
        <v>10000</v>
      </c>
    </row>
    <row r="110" spans="1:8" ht="17.25" thickBot="1">
      <c r="A110" s="551"/>
      <c r="B110" s="707" t="s">
        <v>72</v>
      </c>
      <c r="C110" s="708" t="s">
        <v>674</v>
      </c>
      <c r="D110" s="710"/>
      <c r="E110" s="710">
        <v>80</v>
      </c>
      <c r="G110" s="998">
        <v>1000</v>
      </c>
      <c r="H110" s="561">
        <f t="shared" si="1"/>
        <v>80000</v>
      </c>
    </row>
    <row r="111" spans="1:8" ht="17.25" thickBot="1">
      <c r="A111" s="551"/>
      <c r="B111" s="707" t="s">
        <v>150</v>
      </c>
      <c r="C111" s="708" t="s">
        <v>674</v>
      </c>
      <c r="D111" s="710"/>
      <c r="E111" s="710">
        <v>10</v>
      </c>
      <c r="G111" s="998">
        <v>1000</v>
      </c>
      <c r="H111" s="561">
        <f t="shared" si="1"/>
        <v>10000</v>
      </c>
    </row>
    <row r="112" spans="1:8" ht="17.25" thickBot="1">
      <c r="A112" s="551"/>
      <c r="B112" s="707" t="s">
        <v>182</v>
      </c>
      <c r="C112" s="708" t="s">
        <v>674</v>
      </c>
      <c r="D112" s="710"/>
      <c r="E112" s="710">
        <v>10</v>
      </c>
      <c r="G112" s="998">
        <v>1000</v>
      </c>
      <c r="H112" s="561">
        <f t="shared" si="1"/>
        <v>10000</v>
      </c>
    </row>
    <row r="113" spans="1:8" ht="17.25" thickBot="1">
      <c r="A113" s="551"/>
      <c r="B113" s="707" t="s">
        <v>149</v>
      </c>
      <c r="C113" s="708" t="s">
        <v>674</v>
      </c>
      <c r="D113" s="710"/>
      <c r="E113" s="710">
        <v>20</v>
      </c>
      <c r="G113" s="998">
        <v>1000</v>
      </c>
      <c r="H113" s="561">
        <f t="shared" si="1"/>
        <v>20000</v>
      </c>
    </row>
    <row r="114" spans="1:8" ht="17.25" thickBot="1">
      <c r="A114" s="551"/>
      <c r="B114" s="707" t="s">
        <v>741</v>
      </c>
      <c r="C114" s="708" t="s">
        <v>674</v>
      </c>
      <c r="D114" s="710">
        <v>20</v>
      </c>
      <c r="E114" s="711"/>
      <c r="G114" s="998">
        <v>1000</v>
      </c>
      <c r="H114" s="561">
        <f t="shared" si="1"/>
        <v>0</v>
      </c>
    </row>
    <row r="115" spans="1:8" ht="17.25" thickBot="1">
      <c r="A115" s="551"/>
      <c r="B115" s="707" t="s">
        <v>675</v>
      </c>
      <c r="C115" s="708" t="s">
        <v>674</v>
      </c>
      <c r="D115" s="710">
        <v>30</v>
      </c>
      <c r="E115" s="711"/>
      <c r="G115" s="998">
        <v>1000</v>
      </c>
      <c r="H115" s="561">
        <f t="shared" si="1"/>
        <v>0</v>
      </c>
    </row>
    <row r="116" spans="1:8" ht="17.25" thickBot="1">
      <c r="A116" s="551"/>
      <c r="B116" s="707" t="s">
        <v>742</v>
      </c>
      <c r="C116" s="708" t="s">
        <v>674</v>
      </c>
      <c r="D116" s="710">
        <v>165</v>
      </c>
      <c r="E116" s="711"/>
      <c r="G116" s="998">
        <v>1000</v>
      </c>
      <c r="H116" s="561">
        <f t="shared" si="1"/>
        <v>0</v>
      </c>
    </row>
    <row r="117" spans="1:8" ht="17.25" thickBot="1">
      <c r="A117" s="551"/>
      <c r="B117" s="707" t="s">
        <v>743</v>
      </c>
      <c r="C117" s="708" t="s">
        <v>674</v>
      </c>
      <c r="D117" s="710">
        <v>30</v>
      </c>
      <c r="E117" s="710"/>
      <c r="G117" s="998">
        <v>1000</v>
      </c>
      <c r="H117" s="561">
        <f t="shared" si="1"/>
        <v>0</v>
      </c>
    </row>
    <row r="118" spans="1:8" ht="17.25" thickBot="1">
      <c r="A118" s="551"/>
      <c r="B118" s="707" t="s">
        <v>81</v>
      </c>
      <c r="C118" s="708" t="s">
        <v>649</v>
      </c>
      <c r="D118" s="710"/>
      <c r="E118" s="710">
        <v>40</v>
      </c>
      <c r="G118" s="998">
        <v>1000</v>
      </c>
      <c r="H118" s="561">
        <f t="shared" si="1"/>
        <v>40000</v>
      </c>
    </row>
    <row r="119" spans="1:8" ht="17.25" thickBot="1">
      <c r="A119" s="551"/>
      <c r="B119" s="707" t="s">
        <v>27</v>
      </c>
      <c r="C119" s="708" t="s">
        <v>649</v>
      </c>
      <c r="D119" s="710"/>
      <c r="E119" s="710">
        <v>70</v>
      </c>
      <c r="G119" s="998">
        <v>1000</v>
      </c>
      <c r="H119" s="561">
        <f t="shared" si="1"/>
        <v>70000</v>
      </c>
    </row>
    <row r="120" spans="1:8" ht="17.25" thickBot="1">
      <c r="A120" s="551"/>
      <c r="B120" s="707" t="s">
        <v>221</v>
      </c>
      <c r="C120" s="708" t="s">
        <v>649</v>
      </c>
      <c r="D120" s="710"/>
      <c r="E120" s="710">
        <v>95</v>
      </c>
      <c r="G120" s="998">
        <v>1000</v>
      </c>
      <c r="H120" s="561">
        <f t="shared" si="1"/>
        <v>95000</v>
      </c>
    </row>
    <row r="121" spans="1:8" ht="17.25" thickBot="1">
      <c r="A121" s="551"/>
      <c r="B121" s="707" t="s">
        <v>687</v>
      </c>
      <c r="C121" s="708" t="s">
        <v>649</v>
      </c>
      <c r="D121" s="710">
        <v>30</v>
      </c>
      <c r="E121" s="710"/>
      <c r="G121" s="998">
        <v>1000</v>
      </c>
      <c r="H121" s="561">
        <f t="shared" si="1"/>
        <v>0</v>
      </c>
    </row>
    <row r="122" spans="1:8" ht="17.25" thickBot="1">
      <c r="A122" s="551"/>
      <c r="B122" s="707" t="s">
        <v>205</v>
      </c>
      <c r="C122" s="708" t="s">
        <v>649</v>
      </c>
      <c r="D122" s="710"/>
      <c r="E122" s="710">
        <v>40</v>
      </c>
      <c r="G122" s="998">
        <v>1000</v>
      </c>
      <c r="H122" s="561">
        <f t="shared" si="1"/>
        <v>40000</v>
      </c>
    </row>
    <row r="123" spans="1:8" ht="17.25" thickBot="1">
      <c r="A123" s="551"/>
      <c r="B123" s="707" t="s">
        <v>831</v>
      </c>
      <c r="C123" s="708" t="s">
        <v>649</v>
      </c>
      <c r="D123" s="710"/>
      <c r="E123" s="710">
        <v>20</v>
      </c>
      <c r="G123" s="998">
        <v>1000</v>
      </c>
      <c r="H123" s="561">
        <f t="shared" si="1"/>
        <v>20000</v>
      </c>
    </row>
    <row r="124" spans="1:8" ht="17.25" thickBot="1">
      <c r="A124" s="551"/>
      <c r="B124" s="707" t="s">
        <v>187</v>
      </c>
      <c r="C124" s="708" t="s">
        <v>649</v>
      </c>
      <c r="D124" s="710"/>
      <c r="E124" s="710">
        <v>10</v>
      </c>
      <c r="G124" s="998">
        <v>1000</v>
      </c>
      <c r="H124" s="561">
        <f t="shared" si="1"/>
        <v>10000</v>
      </c>
    </row>
    <row r="125" spans="1:8" ht="17.25" thickBot="1">
      <c r="A125" s="551"/>
      <c r="B125" s="707" t="s">
        <v>152</v>
      </c>
      <c r="C125" s="708" t="s">
        <v>649</v>
      </c>
      <c r="D125" s="710"/>
      <c r="E125" s="710">
        <v>45</v>
      </c>
      <c r="G125" s="998">
        <v>1000</v>
      </c>
      <c r="H125" s="561">
        <f t="shared" si="1"/>
        <v>45000</v>
      </c>
    </row>
    <row r="126" spans="1:8" ht="17.25" thickBot="1">
      <c r="A126" s="551"/>
      <c r="B126" s="707" t="s">
        <v>91</v>
      </c>
      <c r="C126" s="708" t="s">
        <v>650</v>
      </c>
      <c r="D126" s="710"/>
      <c r="E126" s="710">
        <v>65</v>
      </c>
      <c r="G126" s="998">
        <v>1000</v>
      </c>
      <c r="H126" s="561">
        <f t="shared" si="1"/>
        <v>65000</v>
      </c>
    </row>
    <row r="127" spans="1:8" ht="17.25" thickBot="1">
      <c r="A127" s="551"/>
      <c r="B127" s="707" t="s">
        <v>83</v>
      </c>
      <c r="C127" s="708" t="s">
        <v>650</v>
      </c>
      <c r="D127" s="710"/>
      <c r="E127" s="710">
        <v>60</v>
      </c>
      <c r="G127" s="998">
        <v>1000</v>
      </c>
      <c r="H127" s="561">
        <f t="shared" si="1"/>
        <v>60000</v>
      </c>
    </row>
    <row r="128" spans="1:8" ht="17.25" thickBot="1">
      <c r="A128" s="551"/>
      <c r="B128" s="707" t="s">
        <v>651</v>
      </c>
      <c r="C128" s="708" t="s">
        <v>650</v>
      </c>
      <c r="D128" s="710">
        <v>10</v>
      </c>
      <c r="E128" s="710"/>
      <c r="G128" s="998">
        <v>1000</v>
      </c>
      <c r="H128" s="561">
        <f t="shared" si="1"/>
        <v>0</v>
      </c>
    </row>
    <row r="129" spans="1:8" ht="17.25" thickBot="1">
      <c r="A129" s="551"/>
      <c r="B129" s="707" t="s">
        <v>728</v>
      </c>
      <c r="C129" s="708" t="s">
        <v>650</v>
      </c>
      <c r="D129" s="710">
        <v>30</v>
      </c>
      <c r="E129" s="710"/>
      <c r="G129" s="998">
        <v>1000</v>
      </c>
      <c r="H129" s="561">
        <f t="shared" si="1"/>
        <v>0</v>
      </c>
    </row>
    <row r="130" spans="1:8" ht="17.25" thickBot="1">
      <c r="A130" s="551"/>
      <c r="B130" s="707" t="s">
        <v>727</v>
      </c>
      <c r="C130" s="708" t="s">
        <v>650</v>
      </c>
      <c r="D130" s="710">
        <v>45</v>
      </c>
      <c r="E130" s="711"/>
      <c r="G130" s="998">
        <v>1000</v>
      </c>
      <c r="H130" s="561">
        <f t="shared" si="1"/>
        <v>0</v>
      </c>
    </row>
    <row r="131" spans="1:8" ht="17.25" thickBot="1">
      <c r="A131" s="551"/>
      <c r="B131" s="707" t="s">
        <v>1401</v>
      </c>
      <c r="C131" s="708" t="s">
        <v>650</v>
      </c>
      <c r="D131" s="710">
        <v>50</v>
      </c>
      <c r="E131" s="711"/>
      <c r="G131" s="998">
        <v>1000</v>
      </c>
      <c r="H131" s="561">
        <f t="shared" si="1"/>
        <v>0</v>
      </c>
    </row>
    <row r="132" spans="1:8" ht="17.25" thickBot="1">
      <c r="A132" s="551"/>
      <c r="B132" s="707" t="s">
        <v>644</v>
      </c>
      <c r="C132" s="708" t="s">
        <v>642</v>
      </c>
      <c r="D132" s="710"/>
      <c r="E132" s="710">
        <v>10</v>
      </c>
      <c r="G132" s="998">
        <v>1000</v>
      </c>
      <c r="H132" s="561">
        <f t="shared" si="1"/>
        <v>10000</v>
      </c>
    </row>
    <row r="133" spans="1:8" ht="17.25" thickBot="1">
      <c r="A133" s="551"/>
      <c r="B133" s="707" t="s">
        <v>715</v>
      </c>
      <c r="C133" s="708" t="s">
        <v>642</v>
      </c>
      <c r="D133" s="710">
        <v>20</v>
      </c>
      <c r="E133" s="986"/>
      <c r="G133" s="998">
        <v>1000</v>
      </c>
      <c r="H133" s="561">
        <f t="shared" si="1"/>
        <v>0</v>
      </c>
    </row>
    <row r="134" spans="1:8" ht="17.25" thickBot="1">
      <c r="A134" s="551"/>
      <c r="B134" s="707" t="s">
        <v>98</v>
      </c>
      <c r="C134" s="708" t="s">
        <v>636</v>
      </c>
      <c r="D134" s="710"/>
      <c r="E134" s="710">
        <v>50</v>
      </c>
      <c r="G134" s="998">
        <v>1000</v>
      </c>
      <c r="H134" s="561">
        <f t="shared" si="1"/>
        <v>50000</v>
      </c>
    </row>
    <row r="135" spans="1:8" ht="17.25" thickBot="1">
      <c r="A135" s="551"/>
      <c r="B135" s="707" t="s">
        <v>210</v>
      </c>
      <c r="C135" s="708" t="s">
        <v>636</v>
      </c>
      <c r="D135" s="710"/>
      <c r="E135" s="710">
        <v>90</v>
      </c>
      <c r="G135" s="998">
        <v>1000</v>
      </c>
      <c r="H135" s="561">
        <f t="shared" ref="H135:H155" si="2">E135*G135</f>
        <v>90000</v>
      </c>
    </row>
    <row r="136" spans="1:8" ht="17.25" thickBot="1">
      <c r="A136" s="551"/>
      <c r="B136" s="707" t="s">
        <v>96</v>
      </c>
      <c r="C136" s="708" t="s">
        <v>636</v>
      </c>
      <c r="D136" s="710"/>
      <c r="E136" s="710">
        <v>70</v>
      </c>
      <c r="G136" s="998">
        <v>1000</v>
      </c>
      <c r="H136" s="561">
        <f t="shared" si="2"/>
        <v>70000</v>
      </c>
    </row>
    <row r="137" spans="1:8" ht="17.25" thickBot="1">
      <c r="A137" s="551"/>
      <c r="B137" s="707" t="s">
        <v>106</v>
      </c>
      <c r="C137" s="708" t="s">
        <v>636</v>
      </c>
      <c r="D137" s="710"/>
      <c r="E137" s="710">
        <v>55</v>
      </c>
      <c r="G137" s="998">
        <v>1000</v>
      </c>
      <c r="H137" s="561">
        <f t="shared" si="2"/>
        <v>55000</v>
      </c>
    </row>
    <row r="138" spans="1:8" ht="17.25" thickBot="1">
      <c r="A138" s="551"/>
      <c r="B138" s="707" t="s">
        <v>639</v>
      </c>
      <c r="C138" s="708" t="s">
        <v>636</v>
      </c>
      <c r="D138" s="710"/>
      <c r="E138" s="710">
        <v>10</v>
      </c>
      <c r="G138" s="998">
        <v>1000</v>
      </c>
      <c r="H138" s="561">
        <f t="shared" si="2"/>
        <v>10000</v>
      </c>
    </row>
    <row r="139" spans="1:8" ht="17.25" thickBot="1">
      <c r="A139" s="551"/>
      <c r="B139" s="707" t="s">
        <v>638</v>
      </c>
      <c r="C139" s="708" t="s">
        <v>636</v>
      </c>
      <c r="D139" s="710">
        <v>100</v>
      </c>
      <c r="E139" s="710"/>
      <c r="G139" s="998">
        <v>1000</v>
      </c>
      <c r="H139" s="561">
        <f t="shared" si="2"/>
        <v>0</v>
      </c>
    </row>
    <row r="140" spans="1:8" ht="17.25" thickBot="1">
      <c r="A140" s="551"/>
      <c r="B140" s="707" t="s">
        <v>154</v>
      </c>
      <c r="C140" s="708" t="s">
        <v>636</v>
      </c>
      <c r="D140" s="710"/>
      <c r="E140" s="710">
        <v>190</v>
      </c>
      <c r="G140" s="998">
        <v>1000</v>
      </c>
      <c r="H140" s="561">
        <f t="shared" si="2"/>
        <v>190000</v>
      </c>
    </row>
    <row r="141" spans="1:8" ht="17.25" thickBot="1">
      <c r="A141" s="551"/>
      <c r="B141" s="707" t="s">
        <v>17</v>
      </c>
      <c r="C141" s="708" t="s">
        <v>1224</v>
      </c>
      <c r="D141" s="710"/>
      <c r="E141" s="710">
        <v>20</v>
      </c>
      <c r="G141" s="998">
        <v>1000</v>
      </c>
      <c r="H141" s="561">
        <f t="shared" si="2"/>
        <v>20000</v>
      </c>
    </row>
    <row r="142" spans="1:8" ht="17.25" thickBot="1">
      <c r="A142" s="551"/>
      <c r="B142" s="707" t="s">
        <v>144</v>
      </c>
      <c r="C142" s="708" t="s">
        <v>1224</v>
      </c>
      <c r="D142" s="710"/>
      <c r="E142" s="710">
        <v>95</v>
      </c>
      <c r="G142" s="998">
        <v>1000</v>
      </c>
      <c r="H142" s="561">
        <f t="shared" si="2"/>
        <v>95000</v>
      </c>
    </row>
    <row r="143" spans="1:8" ht="17.25" thickBot="1">
      <c r="A143" s="551"/>
      <c r="B143" s="707" t="s">
        <v>1236</v>
      </c>
      <c r="C143" s="708" t="s">
        <v>774</v>
      </c>
      <c r="D143" s="710">
        <v>80</v>
      </c>
      <c r="E143" s="710"/>
      <c r="G143" s="998">
        <v>1000</v>
      </c>
      <c r="H143" s="561">
        <f t="shared" si="2"/>
        <v>0</v>
      </c>
    </row>
    <row r="144" spans="1:8" ht="17.25" thickBot="1">
      <c r="A144" s="551"/>
      <c r="B144" s="707" t="s">
        <v>1507</v>
      </c>
      <c r="C144" s="708" t="s">
        <v>1508</v>
      </c>
      <c r="D144" s="710"/>
      <c r="E144" s="710">
        <v>10</v>
      </c>
      <c r="G144" s="998">
        <v>1000</v>
      </c>
      <c r="H144" s="561">
        <f t="shared" si="2"/>
        <v>10000</v>
      </c>
    </row>
    <row r="145" spans="1:8" ht="17.25" thickBot="1">
      <c r="A145" s="551"/>
      <c r="B145" s="707" t="s">
        <v>1170</v>
      </c>
      <c r="C145" s="708" t="s">
        <v>1508</v>
      </c>
      <c r="D145" s="710"/>
      <c r="E145" s="710">
        <v>20</v>
      </c>
      <c r="G145" s="998">
        <v>1000</v>
      </c>
      <c r="H145" s="561">
        <f t="shared" si="2"/>
        <v>20000</v>
      </c>
    </row>
    <row r="146" spans="1:8" ht="17.25" thickBot="1">
      <c r="A146" s="551"/>
      <c r="B146" s="707" t="s">
        <v>1177</v>
      </c>
      <c r="C146" s="708" t="s">
        <v>1508</v>
      </c>
      <c r="D146" s="710"/>
      <c r="E146" s="710">
        <v>10</v>
      </c>
      <c r="G146" s="998">
        <v>1000</v>
      </c>
      <c r="H146" s="561">
        <f t="shared" si="2"/>
        <v>10000</v>
      </c>
    </row>
    <row r="147" spans="1:8" ht="17.25" thickBot="1">
      <c r="A147" s="551"/>
      <c r="B147" s="707" t="s">
        <v>1228</v>
      </c>
      <c r="C147" s="708" t="s">
        <v>1508</v>
      </c>
      <c r="D147" s="710"/>
      <c r="E147" s="710">
        <v>20</v>
      </c>
      <c r="G147" s="998">
        <v>1000</v>
      </c>
      <c r="H147" s="561">
        <f t="shared" si="2"/>
        <v>20000</v>
      </c>
    </row>
    <row r="148" spans="1:8" ht="17.25" thickBot="1">
      <c r="A148" s="551"/>
      <c r="B148" s="707" t="s">
        <v>896</v>
      </c>
      <c r="C148" s="708" t="s">
        <v>1409</v>
      </c>
      <c r="D148" s="710"/>
      <c r="E148" s="710">
        <v>10</v>
      </c>
      <c r="G148" s="998">
        <v>1000</v>
      </c>
      <c r="H148" s="561">
        <f t="shared" si="2"/>
        <v>10000</v>
      </c>
    </row>
    <row r="149" spans="1:8" ht="17.25" thickBot="1">
      <c r="A149" s="551"/>
      <c r="B149" s="707" t="s">
        <v>1187</v>
      </c>
      <c r="C149" s="708" t="s">
        <v>1413</v>
      </c>
      <c r="D149" s="710"/>
      <c r="E149" s="710">
        <v>10</v>
      </c>
      <c r="G149" s="998">
        <v>1000</v>
      </c>
      <c r="H149" s="561">
        <f t="shared" si="2"/>
        <v>10000</v>
      </c>
    </row>
    <row r="150" spans="1:8" ht="17.25" thickBot="1">
      <c r="A150" s="551"/>
      <c r="B150" s="707" t="s">
        <v>1231</v>
      </c>
      <c r="C150" s="708" t="s">
        <v>1412</v>
      </c>
      <c r="D150" s="710"/>
      <c r="E150" s="710">
        <v>10</v>
      </c>
      <c r="G150" s="998">
        <v>1000</v>
      </c>
      <c r="H150" s="561">
        <f t="shared" si="2"/>
        <v>10000</v>
      </c>
    </row>
    <row r="151" spans="1:8" ht="17.25" thickBot="1">
      <c r="A151" s="551"/>
      <c r="B151" s="707" t="s">
        <v>1509</v>
      </c>
      <c r="C151" s="708" t="s">
        <v>1413</v>
      </c>
      <c r="D151" s="710"/>
      <c r="E151" s="710">
        <v>10</v>
      </c>
      <c r="G151" s="998">
        <v>1000</v>
      </c>
      <c r="H151" s="561">
        <f t="shared" si="2"/>
        <v>10000</v>
      </c>
    </row>
    <row r="152" spans="1:8" ht="17.25" thickBot="1">
      <c r="A152" s="551"/>
      <c r="B152" s="707" t="s">
        <v>861</v>
      </c>
      <c r="C152" s="708" t="s">
        <v>1414</v>
      </c>
      <c r="D152" s="710"/>
      <c r="E152" s="710">
        <v>10</v>
      </c>
      <c r="G152" s="998">
        <v>1000</v>
      </c>
      <c r="H152" s="561">
        <f t="shared" si="2"/>
        <v>10000</v>
      </c>
    </row>
    <row r="153" spans="1:8" ht="17.25" thickBot="1">
      <c r="A153" s="551"/>
      <c r="B153" s="707" t="s">
        <v>1201</v>
      </c>
      <c r="C153" s="708" t="s">
        <v>1416</v>
      </c>
      <c r="D153" s="710"/>
      <c r="E153" s="710">
        <v>10</v>
      </c>
      <c r="G153" s="998">
        <v>1000</v>
      </c>
      <c r="H153" s="561">
        <f t="shared" si="2"/>
        <v>10000</v>
      </c>
    </row>
    <row r="154" spans="1:8" ht="17.25" thickBot="1">
      <c r="A154" s="551"/>
      <c r="B154" s="707" t="s">
        <v>1208</v>
      </c>
      <c r="C154" s="708" t="s">
        <v>1416</v>
      </c>
      <c r="D154" s="710"/>
      <c r="E154" s="710">
        <v>10</v>
      </c>
      <c r="G154" s="998">
        <v>1000</v>
      </c>
      <c r="H154" s="561">
        <f t="shared" si="2"/>
        <v>10000</v>
      </c>
    </row>
    <row r="155" spans="1:8" ht="17.25" thickBot="1">
      <c r="A155" s="551"/>
      <c r="B155" s="700" t="s">
        <v>758</v>
      </c>
      <c r="C155" s="701"/>
      <c r="D155" s="318"/>
      <c r="E155" s="695">
        <v>705000</v>
      </c>
      <c r="F155" s="695">
        <v>2010000</v>
      </c>
      <c r="G155" s="999"/>
      <c r="H155" s="561">
        <f t="shared" si="2"/>
        <v>0</v>
      </c>
    </row>
    <row r="156" spans="1:8" ht="17.25" customHeight="1" thickBot="1">
      <c r="A156" s="551"/>
      <c r="B156" s="700" t="s">
        <v>864</v>
      </c>
      <c r="C156" s="701"/>
      <c r="D156" s="318"/>
      <c r="E156" s="702">
        <v>2715000</v>
      </c>
      <c r="F156" s="703"/>
      <c r="G156" s="1000"/>
      <c r="H156" s="1001"/>
    </row>
    <row r="157" spans="1:8" ht="15.75">
      <c r="A157" s="205" t="s">
        <v>704</v>
      </c>
    </row>
    <row r="158" spans="1:8" ht="15.75">
      <c r="A158" s="205"/>
    </row>
    <row r="159" spans="1:8" ht="15.75">
      <c r="A159" s="205" t="s">
        <v>1510</v>
      </c>
    </row>
    <row r="160" spans="1:8" ht="15.75">
      <c r="A160" s="232" t="s">
        <v>1511</v>
      </c>
    </row>
    <row r="161" spans="1:4" ht="15.75" thickBot="1">
      <c r="A161" s="987"/>
    </row>
    <row r="162" spans="1:4" ht="32.25" thickBot="1">
      <c r="A162" s="252" t="s">
        <v>0</v>
      </c>
      <c r="B162" s="253" t="s">
        <v>632</v>
      </c>
      <c r="C162" s="988" t="s">
        <v>1245</v>
      </c>
      <c r="D162" s="989" t="s">
        <v>634</v>
      </c>
    </row>
    <row r="163" spans="1:4" ht="16.5" thickBot="1">
      <c r="A163" s="273">
        <v>1</v>
      </c>
      <c r="B163" s="256" t="s">
        <v>708</v>
      </c>
      <c r="C163" s="990">
        <v>500000</v>
      </c>
      <c r="D163" s="413"/>
    </row>
    <row r="164" spans="1:4" ht="16.5" thickBot="1">
      <c r="A164" s="273">
        <v>2</v>
      </c>
      <c r="B164" s="256" t="s">
        <v>837</v>
      </c>
      <c r="C164" s="990">
        <v>500000</v>
      </c>
      <c r="D164" s="413"/>
    </row>
    <row r="165" spans="1:4" ht="16.5" thickBot="1">
      <c r="A165" s="288" t="s">
        <v>758</v>
      </c>
      <c r="B165" s="289"/>
      <c r="C165" s="991">
        <v>1000000</v>
      </c>
      <c r="D165" s="418"/>
    </row>
    <row r="166" spans="1:4">
      <c r="A166" s="244"/>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4"/>
  <sheetViews>
    <sheetView workbookViewId="0">
      <selection activeCell="H65" sqref="H65"/>
    </sheetView>
  </sheetViews>
  <sheetFormatPr defaultRowHeight="15"/>
  <cols>
    <col min="2" max="2" width="30.28515625" customWidth="1"/>
    <col min="3" max="3" width="18.28515625" customWidth="1"/>
  </cols>
  <sheetData>
    <row r="1" spans="1:6" ht="15.75">
      <c r="A1" s="205" t="s">
        <v>1161</v>
      </c>
    </row>
    <row r="2" spans="1:6" ht="15.75">
      <c r="A2" s="205"/>
    </row>
    <row r="3" spans="1:6">
      <c r="A3" s="686" t="s">
        <v>1162</v>
      </c>
    </row>
    <row r="4" spans="1:6" ht="15.75">
      <c r="A4" s="232" t="s">
        <v>1512</v>
      </c>
    </row>
    <row r="5" spans="1:6" ht="16.5" thickBot="1">
      <c r="A5" s="232"/>
    </row>
    <row r="6" spans="1:6" ht="31.5" customHeight="1" thickBot="1">
      <c r="A6" s="380" t="s">
        <v>0</v>
      </c>
      <c r="B6" s="380" t="s">
        <v>121</v>
      </c>
      <c r="C6" s="380" t="s">
        <v>632</v>
      </c>
      <c r="D6" s="398" t="s">
        <v>894</v>
      </c>
      <c r="E6" s="399"/>
      <c r="F6" s="380" t="s">
        <v>699</v>
      </c>
    </row>
    <row r="7" spans="1:6" ht="16.5" thickBot="1">
      <c r="A7" s="400"/>
      <c r="B7" s="400"/>
      <c r="C7" s="400"/>
      <c r="D7" s="381" t="s">
        <v>828</v>
      </c>
      <c r="E7" s="381" t="s">
        <v>829</v>
      </c>
      <c r="F7" s="400"/>
    </row>
    <row r="8" spans="1:6" ht="15.75" thickBot="1">
      <c r="A8" s="694">
        <v>1</v>
      </c>
      <c r="B8" s="383" t="s">
        <v>39</v>
      </c>
      <c r="C8" s="384" t="s">
        <v>668</v>
      </c>
      <c r="D8" s="314"/>
      <c r="E8" s="313">
        <v>82950</v>
      </c>
      <c r="F8" s="314"/>
    </row>
    <row r="9" spans="1:6" ht="15.75" thickBot="1">
      <c r="A9" s="694">
        <v>2</v>
      </c>
      <c r="B9" s="383" t="s">
        <v>29</v>
      </c>
      <c r="C9" s="384" t="s">
        <v>668</v>
      </c>
      <c r="D9" s="314"/>
      <c r="E9" s="313">
        <v>63000</v>
      </c>
      <c r="F9" s="314"/>
    </row>
    <row r="10" spans="1:6" ht="15.75" thickBot="1">
      <c r="A10" s="694">
        <v>3</v>
      </c>
      <c r="B10" s="383" t="s">
        <v>31</v>
      </c>
      <c r="C10" s="384" t="s">
        <v>668</v>
      </c>
      <c r="D10" s="314"/>
      <c r="E10" s="313">
        <v>46150</v>
      </c>
      <c r="F10" s="314"/>
    </row>
    <row r="11" spans="1:6" ht="15.75" thickBot="1">
      <c r="A11" s="694">
        <v>4</v>
      </c>
      <c r="B11" s="383" t="s">
        <v>213</v>
      </c>
      <c r="C11" s="384" t="s">
        <v>668</v>
      </c>
      <c r="D11" s="314"/>
      <c r="E11" s="313">
        <v>60000</v>
      </c>
      <c r="F11" s="314"/>
    </row>
    <row r="12" spans="1:6" ht="15.75" thickBot="1">
      <c r="A12" s="694">
        <v>5</v>
      </c>
      <c r="B12" s="383" t="s">
        <v>262</v>
      </c>
      <c r="C12" s="384" t="s">
        <v>668</v>
      </c>
      <c r="D12" s="314"/>
      <c r="E12" s="313">
        <v>35000</v>
      </c>
      <c r="F12" s="314"/>
    </row>
    <row r="13" spans="1:6" ht="15.75" thickBot="1">
      <c r="A13" s="694">
        <v>6</v>
      </c>
      <c r="B13" s="383" t="s">
        <v>295</v>
      </c>
      <c r="C13" s="384" t="s">
        <v>668</v>
      </c>
      <c r="D13" s="314"/>
      <c r="E13" s="313">
        <v>141900</v>
      </c>
      <c r="F13" s="314"/>
    </row>
    <row r="14" spans="1:6" ht="15.75" thickBot="1">
      <c r="A14" s="694">
        <v>7</v>
      </c>
      <c r="B14" s="383" t="s">
        <v>435</v>
      </c>
      <c r="C14" s="384" t="s">
        <v>668</v>
      </c>
      <c r="D14" s="314"/>
      <c r="E14" s="313">
        <v>36200</v>
      </c>
      <c r="F14" s="314"/>
    </row>
    <row r="15" spans="1:6" ht="15.75" thickBot="1">
      <c r="A15" s="694">
        <v>8</v>
      </c>
      <c r="B15" s="383" t="s">
        <v>671</v>
      </c>
      <c r="C15" s="384" t="s">
        <v>668</v>
      </c>
      <c r="D15" s="313">
        <v>30000</v>
      </c>
      <c r="E15" s="314"/>
      <c r="F15" s="314"/>
    </row>
    <row r="16" spans="1:6" ht="15.75" thickBot="1">
      <c r="A16" s="694">
        <v>9</v>
      </c>
      <c r="B16" s="383" t="s">
        <v>654</v>
      </c>
      <c r="C16" s="384" t="s">
        <v>653</v>
      </c>
      <c r="D16" s="313">
        <v>155400</v>
      </c>
      <c r="E16" s="314"/>
      <c r="F16" s="314"/>
    </row>
    <row r="17" spans="1:6" ht="15.75" thickBot="1">
      <c r="A17" s="694">
        <v>10</v>
      </c>
      <c r="B17" s="383" t="s">
        <v>48</v>
      </c>
      <c r="C17" s="384" t="s">
        <v>653</v>
      </c>
      <c r="D17" s="314"/>
      <c r="E17" s="313">
        <v>232950</v>
      </c>
      <c r="F17" s="314"/>
    </row>
    <row r="18" spans="1:6" ht="15.75" thickBot="1">
      <c r="A18" s="694">
        <v>11</v>
      </c>
      <c r="B18" s="383" t="s">
        <v>52</v>
      </c>
      <c r="C18" s="384" t="s">
        <v>653</v>
      </c>
      <c r="D18" s="314"/>
      <c r="E18" s="313">
        <v>143000</v>
      </c>
      <c r="F18" s="314"/>
    </row>
    <row r="19" spans="1:6" ht="15.75" thickBot="1">
      <c r="A19" s="694">
        <v>12</v>
      </c>
      <c r="B19" s="383" t="s">
        <v>46</v>
      </c>
      <c r="C19" s="384" t="s">
        <v>653</v>
      </c>
      <c r="D19" s="314"/>
      <c r="E19" s="313">
        <v>75000</v>
      </c>
      <c r="F19" s="314"/>
    </row>
    <row r="20" spans="1:6" ht="15.75" thickBot="1">
      <c r="A20" s="694">
        <v>13</v>
      </c>
      <c r="B20" s="383" t="s">
        <v>730</v>
      </c>
      <c r="C20" s="384" t="s">
        <v>653</v>
      </c>
      <c r="D20" s="313">
        <v>75000</v>
      </c>
      <c r="E20" s="314"/>
      <c r="F20" s="314"/>
    </row>
    <row r="21" spans="1:6" ht="15.75" thickBot="1">
      <c r="A21" s="694">
        <v>14</v>
      </c>
      <c r="B21" s="383" t="s">
        <v>690</v>
      </c>
      <c r="C21" s="384" t="s">
        <v>653</v>
      </c>
      <c r="D21" s="314"/>
      <c r="E21" s="313">
        <v>30000</v>
      </c>
      <c r="F21" s="314"/>
    </row>
    <row r="22" spans="1:6" ht="15.75" thickBot="1">
      <c r="A22" s="694">
        <v>15</v>
      </c>
      <c r="B22" s="383" t="s">
        <v>56</v>
      </c>
      <c r="C22" s="384" t="s">
        <v>653</v>
      </c>
      <c r="D22" s="314"/>
      <c r="E22" s="313">
        <v>228000</v>
      </c>
      <c r="F22" s="314"/>
    </row>
    <row r="23" spans="1:6" ht="15.75" thickBot="1">
      <c r="A23" s="694">
        <v>16</v>
      </c>
      <c r="B23" s="383" t="s">
        <v>65</v>
      </c>
      <c r="C23" s="384" t="s">
        <v>646</v>
      </c>
      <c r="D23" s="314"/>
      <c r="E23" s="313">
        <v>97500</v>
      </c>
      <c r="F23" s="314"/>
    </row>
    <row r="24" spans="1:6" ht="15.75" thickBot="1">
      <c r="A24" s="694">
        <v>17</v>
      </c>
      <c r="B24" s="383" t="s">
        <v>1314</v>
      </c>
      <c r="C24" s="384" t="s">
        <v>646</v>
      </c>
      <c r="D24" s="314"/>
      <c r="E24" s="313">
        <v>46500</v>
      </c>
      <c r="F24" s="314"/>
    </row>
    <row r="25" spans="1:6" ht="15.75" thickBot="1">
      <c r="A25" s="694">
        <v>18</v>
      </c>
      <c r="B25" s="383" t="s">
        <v>723</v>
      </c>
      <c r="C25" s="384" t="s">
        <v>646</v>
      </c>
      <c r="D25" s="313">
        <v>101950</v>
      </c>
      <c r="E25" s="314"/>
      <c r="F25" s="314"/>
    </row>
    <row r="26" spans="1:6" ht="15.75" thickBot="1">
      <c r="A26" s="694">
        <v>19</v>
      </c>
      <c r="B26" s="383" t="s">
        <v>647</v>
      </c>
      <c r="C26" s="384" t="s">
        <v>646</v>
      </c>
      <c r="D26" s="313">
        <v>81000</v>
      </c>
      <c r="E26" s="314"/>
      <c r="F26" s="314"/>
    </row>
    <row r="27" spans="1:6" ht="15.75" thickBot="1">
      <c r="A27" s="694">
        <v>20</v>
      </c>
      <c r="B27" s="383" t="s">
        <v>1434</v>
      </c>
      <c r="C27" s="384" t="s">
        <v>646</v>
      </c>
      <c r="D27" s="314"/>
      <c r="E27" s="313">
        <v>63500</v>
      </c>
      <c r="F27" s="314"/>
    </row>
    <row r="28" spans="1:6" ht="15.75" thickBot="1">
      <c r="A28" s="694">
        <v>21</v>
      </c>
      <c r="B28" s="383" t="s">
        <v>182</v>
      </c>
      <c r="C28" s="384" t="s">
        <v>674</v>
      </c>
      <c r="D28" s="314"/>
      <c r="E28" s="313">
        <v>30000</v>
      </c>
      <c r="F28" s="314"/>
    </row>
    <row r="29" spans="1:6" ht="15.75" thickBot="1">
      <c r="A29" s="694">
        <v>22</v>
      </c>
      <c r="B29" s="383" t="s">
        <v>742</v>
      </c>
      <c r="C29" s="384" t="s">
        <v>674</v>
      </c>
      <c r="D29" s="313">
        <v>1442000</v>
      </c>
      <c r="E29" s="314"/>
      <c r="F29" s="314"/>
    </row>
    <row r="30" spans="1:6" ht="15.75" thickBot="1">
      <c r="A30" s="694">
        <v>23</v>
      </c>
      <c r="B30" s="383" t="s">
        <v>81</v>
      </c>
      <c r="C30" s="384" t="s">
        <v>649</v>
      </c>
      <c r="D30" s="314"/>
      <c r="E30" s="313">
        <v>37500</v>
      </c>
      <c r="F30" s="314"/>
    </row>
    <row r="31" spans="1:6" ht="15.75" thickBot="1">
      <c r="A31" s="694">
        <v>24</v>
      </c>
      <c r="B31" s="383" t="s">
        <v>221</v>
      </c>
      <c r="C31" s="384" t="s">
        <v>649</v>
      </c>
      <c r="D31" s="314"/>
      <c r="E31" s="313">
        <v>30000</v>
      </c>
      <c r="F31" s="314"/>
    </row>
    <row r="32" spans="1:6" ht="15.75" thickBot="1">
      <c r="A32" s="694">
        <v>25</v>
      </c>
      <c r="B32" s="383" t="s">
        <v>685</v>
      </c>
      <c r="C32" s="384" t="s">
        <v>649</v>
      </c>
      <c r="D32" s="313">
        <v>30000</v>
      </c>
      <c r="E32" s="314"/>
      <c r="F32" s="314"/>
    </row>
    <row r="33" spans="1:6" ht="15.75" thickBot="1">
      <c r="A33" s="694">
        <v>26</v>
      </c>
      <c r="B33" s="383" t="s">
        <v>831</v>
      </c>
      <c r="C33" s="384" t="s">
        <v>649</v>
      </c>
      <c r="D33" s="314"/>
      <c r="E33" s="313">
        <v>70000</v>
      </c>
      <c r="F33" s="314"/>
    </row>
    <row r="34" spans="1:6" ht="15.75" thickBot="1">
      <c r="A34" s="309">
        <v>27</v>
      </c>
      <c r="B34" s="383" t="s">
        <v>187</v>
      </c>
      <c r="C34" s="384" t="s">
        <v>649</v>
      </c>
      <c r="D34" s="314"/>
      <c r="E34" s="313">
        <v>400000</v>
      </c>
      <c r="F34" s="314"/>
    </row>
    <row r="35" spans="1:6" ht="15.75" thickBot="1">
      <c r="A35" s="309">
        <v>28</v>
      </c>
      <c r="B35" s="383" t="s">
        <v>152</v>
      </c>
      <c r="C35" s="384" t="s">
        <v>649</v>
      </c>
      <c r="D35" s="314"/>
      <c r="E35" s="313">
        <v>286000</v>
      </c>
      <c r="F35" s="314"/>
    </row>
    <row r="36" spans="1:6" ht="15.75" thickBot="1">
      <c r="A36" s="309">
        <v>29</v>
      </c>
      <c r="B36" s="383" t="s">
        <v>91</v>
      </c>
      <c r="C36" s="384" t="s">
        <v>650</v>
      </c>
      <c r="D36" s="314"/>
      <c r="E36" s="313">
        <v>34500</v>
      </c>
      <c r="F36" s="314"/>
    </row>
    <row r="37" spans="1:6" ht="15.75" thickBot="1">
      <c r="A37" s="309">
        <v>30</v>
      </c>
      <c r="B37" s="383" t="s">
        <v>83</v>
      </c>
      <c r="C37" s="384" t="s">
        <v>650</v>
      </c>
      <c r="D37" s="314"/>
      <c r="E37" s="313">
        <v>31950</v>
      </c>
      <c r="F37" s="314"/>
    </row>
    <row r="38" spans="1:6" ht="15.75" thickBot="1">
      <c r="A38" s="309">
        <v>31</v>
      </c>
      <c r="B38" s="383" t="s">
        <v>269</v>
      </c>
      <c r="C38" s="384" t="s">
        <v>650</v>
      </c>
      <c r="D38" s="314"/>
      <c r="E38" s="313">
        <v>70700</v>
      </c>
      <c r="F38" s="314"/>
    </row>
    <row r="39" spans="1:6" ht="15.75" thickBot="1">
      <c r="A39" s="309">
        <v>32</v>
      </c>
      <c r="B39" s="383" t="s">
        <v>1401</v>
      </c>
      <c r="C39" s="384" t="s">
        <v>650</v>
      </c>
      <c r="D39" s="313">
        <v>7000</v>
      </c>
      <c r="E39" s="314"/>
      <c r="F39" s="314"/>
    </row>
    <row r="40" spans="1:6" ht="15.75" thickBot="1">
      <c r="A40" s="309">
        <v>33</v>
      </c>
      <c r="B40" s="383" t="s">
        <v>755</v>
      </c>
      <c r="C40" s="384" t="s">
        <v>642</v>
      </c>
      <c r="D40" s="313">
        <v>95400</v>
      </c>
      <c r="E40" s="314"/>
      <c r="F40" s="314"/>
    </row>
    <row r="41" spans="1:6" ht="15.75" thickBot="1">
      <c r="A41" s="309">
        <v>34</v>
      </c>
      <c r="B41" s="383" t="s">
        <v>644</v>
      </c>
      <c r="C41" s="384" t="s">
        <v>642</v>
      </c>
      <c r="D41" s="314"/>
      <c r="E41" s="313">
        <v>30000</v>
      </c>
      <c r="F41" s="314"/>
    </row>
    <row r="42" spans="1:6" ht="15.75" thickBot="1">
      <c r="A42" s="309">
        <v>35</v>
      </c>
      <c r="B42" s="383" t="s">
        <v>153</v>
      </c>
      <c r="C42" s="384" t="s">
        <v>642</v>
      </c>
      <c r="D42" s="314"/>
      <c r="E42" s="313">
        <v>75000</v>
      </c>
      <c r="F42" s="314"/>
    </row>
    <row r="43" spans="1:6" ht="15.75" thickBot="1">
      <c r="A43" s="309">
        <v>36</v>
      </c>
      <c r="B43" s="383" t="s">
        <v>715</v>
      </c>
      <c r="C43" s="384" t="s">
        <v>642</v>
      </c>
      <c r="D43" s="313">
        <v>210000</v>
      </c>
      <c r="E43" s="314"/>
      <c r="F43" s="314"/>
    </row>
    <row r="44" spans="1:6" ht="15.75" thickBot="1">
      <c r="A44" s="309">
        <v>37</v>
      </c>
      <c r="B44" s="383" t="s">
        <v>645</v>
      </c>
      <c r="C44" s="384" t="s">
        <v>642</v>
      </c>
      <c r="D44" s="313">
        <v>50000</v>
      </c>
      <c r="E44" s="314"/>
      <c r="F44" s="314"/>
    </row>
    <row r="45" spans="1:6" ht="15.75" thickBot="1">
      <c r="A45" s="309">
        <v>38</v>
      </c>
      <c r="B45" s="383" t="s">
        <v>637</v>
      </c>
      <c r="C45" s="384" t="s">
        <v>636</v>
      </c>
      <c r="D45" s="313">
        <v>200000</v>
      </c>
      <c r="E45" s="314"/>
      <c r="F45" s="314"/>
    </row>
    <row r="46" spans="1:6" ht="15.75" thickBot="1">
      <c r="A46" s="309">
        <v>39</v>
      </c>
      <c r="B46" s="383" t="s">
        <v>98</v>
      </c>
      <c r="C46" s="384" t="s">
        <v>636</v>
      </c>
      <c r="D46" s="314"/>
      <c r="E46" s="313">
        <v>112200</v>
      </c>
      <c r="F46" s="314"/>
    </row>
    <row r="47" spans="1:6" ht="15.75" thickBot="1">
      <c r="A47" s="309">
        <v>40</v>
      </c>
      <c r="B47" s="383" t="s">
        <v>210</v>
      </c>
      <c r="C47" s="384" t="s">
        <v>636</v>
      </c>
      <c r="D47" s="314"/>
      <c r="E47" s="313">
        <v>30000</v>
      </c>
      <c r="F47" s="314"/>
    </row>
    <row r="48" spans="1:6" ht="15.75" thickBot="1">
      <c r="A48" s="309">
        <v>41</v>
      </c>
      <c r="B48" s="383" t="s">
        <v>640</v>
      </c>
      <c r="C48" s="384" t="s">
        <v>636</v>
      </c>
      <c r="D48" s="313">
        <v>30000</v>
      </c>
      <c r="E48" s="314"/>
      <c r="F48" s="314"/>
    </row>
    <row r="49" spans="1:6" ht="15.75" thickBot="1">
      <c r="A49" s="309">
        <v>42</v>
      </c>
      <c r="B49" s="383" t="s">
        <v>154</v>
      </c>
      <c r="C49" s="384" t="s">
        <v>636</v>
      </c>
      <c r="D49" s="314"/>
      <c r="E49" s="313">
        <v>126250</v>
      </c>
      <c r="F49" s="314"/>
    </row>
    <row r="50" spans="1:6" ht="15.75" thickBot="1">
      <c r="A50" s="309">
        <v>43</v>
      </c>
      <c r="B50" s="383" t="s">
        <v>747</v>
      </c>
      <c r="C50" s="384" t="s">
        <v>746</v>
      </c>
      <c r="D50" s="313">
        <v>117850</v>
      </c>
      <c r="E50" s="314"/>
      <c r="F50" s="314"/>
    </row>
    <row r="51" spans="1:6" ht="15.75" thickBot="1">
      <c r="A51" s="309">
        <v>44</v>
      </c>
      <c r="B51" s="383" t="s">
        <v>660</v>
      </c>
      <c r="C51" s="384" t="s">
        <v>746</v>
      </c>
      <c r="D51" s="313">
        <v>75000</v>
      </c>
      <c r="E51" s="314"/>
      <c r="F51" s="314"/>
    </row>
    <row r="52" spans="1:6" ht="15.75" thickBot="1">
      <c r="A52" s="309">
        <v>45</v>
      </c>
      <c r="B52" s="383" t="s">
        <v>143</v>
      </c>
      <c r="C52" s="384" t="s">
        <v>746</v>
      </c>
      <c r="D52" s="314"/>
      <c r="E52" s="313">
        <v>75000</v>
      </c>
      <c r="F52" s="314"/>
    </row>
    <row r="53" spans="1:6" ht="15.75" thickBot="1">
      <c r="A53" s="309">
        <v>46</v>
      </c>
      <c r="B53" s="383" t="s">
        <v>1247</v>
      </c>
      <c r="C53" s="384" t="s">
        <v>756</v>
      </c>
      <c r="D53" s="313">
        <v>30000</v>
      </c>
      <c r="E53" s="314"/>
      <c r="F53" s="314"/>
    </row>
    <row r="54" spans="1:6" ht="15.75" thickBot="1">
      <c r="A54" s="309">
        <v>47</v>
      </c>
      <c r="B54" s="383" t="s">
        <v>1248</v>
      </c>
      <c r="C54" s="384" t="s">
        <v>756</v>
      </c>
      <c r="D54" s="313">
        <v>30000</v>
      </c>
      <c r="E54" s="314"/>
      <c r="F54" s="314"/>
    </row>
    <row r="55" spans="1:6" ht="15.75" thickBot="1">
      <c r="A55" s="309">
        <v>48</v>
      </c>
      <c r="B55" s="383" t="s">
        <v>144</v>
      </c>
      <c r="C55" s="384" t="s">
        <v>1224</v>
      </c>
      <c r="D55" s="314"/>
      <c r="E55" s="313">
        <v>70000</v>
      </c>
      <c r="F55" s="314"/>
    </row>
    <row r="56" spans="1:6" ht="15.75" thickBot="1">
      <c r="A56" s="309">
        <v>49</v>
      </c>
      <c r="B56" s="383" t="s">
        <v>1236</v>
      </c>
      <c r="C56" s="384" t="s">
        <v>774</v>
      </c>
      <c r="D56" s="313">
        <v>75000</v>
      </c>
      <c r="E56" s="314"/>
      <c r="F56" s="314"/>
    </row>
    <row r="57" spans="1:6" ht="16.5" thickBot="1">
      <c r="A57" s="401" t="s">
        <v>758</v>
      </c>
      <c r="B57" s="402"/>
      <c r="C57" s="336"/>
      <c r="D57" s="388">
        <v>2835600</v>
      </c>
      <c r="E57" s="388">
        <v>2890750</v>
      </c>
      <c r="F57" s="389"/>
    </row>
    <row r="58" spans="1:6" ht="16.5" customHeight="1" thickBot="1">
      <c r="A58" s="401" t="s">
        <v>864</v>
      </c>
      <c r="B58" s="402"/>
      <c r="C58" s="336"/>
      <c r="D58" s="403">
        <v>5726350</v>
      </c>
      <c r="E58" s="404"/>
      <c r="F58" s="390"/>
    </row>
    <row r="59" spans="1:6" ht="15.75">
      <c r="A59" s="365" t="s">
        <v>1513</v>
      </c>
    </row>
    <row r="60" spans="1:6" ht="15.75">
      <c r="A60" s="205" t="s">
        <v>678</v>
      </c>
    </row>
    <row r="61" spans="1:6" ht="15.75">
      <c r="A61" s="205"/>
    </row>
    <row r="62" spans="1:6" ht="15.75">
      <c r="A62" s="205" t="s">
        <v>1476</v>
      </c>
    </row>
    <row r="63" spans="1:6" ht="15.75">
      <c r="A63" s="232" t="s">
        <v>1514</v>
      </c>
    </row>
    <row r="64" spans="1:6" ht="16.5" thickBot="1">
      <c r="A64" s="232"/>
    </row>
    <row r="65" spans="1:5" ht="57.75" thickBot="1">
      <c r="A65" s="233" t="s">
        <v>0</v>
      </c>
      <c r="B65" s="234" t="s">
        <v>121</v>
      </c>
      <c r="C65" s="234" t="s">
        <v>632</v>
      </c>
      <c r="D65" s="234" t="s">
        <v>633</v>
      </c>
      <c r="E65" s="235" t="s">
        <v>634</v>
      </c>
    </row>
    <row r="66" spans="1:5" ht="15.75" thickBot="1">
      <c r="A66" s="236">
        <v>1</v>
      </c>
      <c r="B66" s="237" t="s">
        <v>1507</v>
      </c>
      <c r="C66" s="236" t="s">
        <v>1171</v>
      </c>
      <c r="D66" s="238">
        <v>8000</v>
      </c>
      <c r="E66" s="239"/>
    </row>
    <row r="67" spans="1:5" ht="15.75" thickBot="1">
      <c r="A67" s="236">
        <v>2</v>
      </c>
      <c r="B67" s="237" t="s">
        <v>1515</v>
      </c>
      <c r="C67" s="236" t="s">
        <v>1171</v>
      </c>
      <c r="D67" s="238">
        <v>3500</v>
      </c>
      <c r="E67" s="239"/>
    </row>
    <row r="68" spans="1:5" ht="15.75" thickBot="1">
      <c r="A68" s="236">
        <v>3</v>
      </c>
      <c r="B68" s="237" t="s">
        <v>1170</v>
      </c>
      <c r="C68" s="236" t="s">
        <v>1171</v>
      </c>
      <c r="D68" s="238">
        <v>8500</v>
      </c>
      <c r="E68" s="239"/>
    </row>
    <row r="69" spans="1:5" ht="15.75" thickBot="1">
      <c r="A69" s="236">
        <v>4</v>
      </c>
      <c r="B69" s="237" t="s">
        <v>842</v>
      </c>
      <c r="C69" s="236" t="s">
        <v>1171</v>
      </c>
      <c r="D69" s="238">
        <v>10000</v>
      </c>
      <c r="E69" s="239"/>
    </row>
    <row r="70" spans="1:5" ht="15.75" thickBot="1">
      <c r="A70" s="236">
        <v>5</v>
      </c>
      <c r="B70" s="237" t="s">
        <v>772</v>
      </c>
      <c r="C70" s="236" t="s">
        <v>1171</v>
      </c>
      <c r="D70" s="238">
        <v>3500</v>
      </c>
      <c r="E70" s="239"/>
    </row>
    <row r="71" spans="1:5" ht="15.75" thickBot="1">
      <c r="A71" s="236">
        <v>6</v>
      </c>
      <c r="B71" s="237" t="s">
        <v>896</v>
      </c>
      <c r="C71" s="236" t="s">
        <v>1171</v>
      </c>
      <c r="D71" s="238">
        <v>7950</v>
      </c>
      <c r="E71" s="239"/>
    </row>
    <row r="72" spans="1:5" ht="15.75" thickBot="1">
      <c r="A72" s="236">
        <v>7</v>
      </c>
      <c r="B72" s="237" t="s">
        <v>847</v>
      </c>
      <c r="C72" s="236" t="s">
        <v>1179</v>
      </c>
      <c r="D72" s="238">
        <v>5000</v>
      </c>
      <c r="E72" s="239"/>
    </row>
    <row r="73" spans="1:5" ht="15.75" thickBot="1">
      <c r="A73" s="236">
        <v>8</v>
      </c>
      <c r="B73" s="237" t="s">
        <v>849</v>
      </c>
      <c r="C73" s="236" t="s">
        <v>1179</v>
      </c>
      <c r="D73" s="238">
        <v>5000</v>
      </c>
      <c r="E73" s="239"/>
    </row>
    <row r="74" spans="1:5" ht="15.75" thickBot="1">
      <c r="A74" s="236">
        <v>9</v>
      </c>
      <c r="B74" s="973" t="s">
        <v>850</v>
      </c>
      <c r="C74" s="236" t="s">
        <v>1179</v>
      </c>
      <c r="D74" s="238">
        <v>3500</v>
      </c>
      <c r="E74" s="239"/>
    </row>
    <row r="75" spans="1:5" ht="15.75" thickBot="1">
      <c r="A75" s="236">
        <v>10</v>
      </c>
      <c r="B75" s="237" t="s">
        <v>1516</v>
      </c>
      <c r="C75" s="236" t="s">
        <v>1182</v>
      </c>
      <c r="D75" s="238">
        <v>13500</v>
      </c>
      <c r="E75" s="239"/>
    </row>
    <row r="76" spans="1:5" ht="15.75" thickBot="1">
      <c r="A76" s="236">
        <v>11</v>
      </c>
      <c r="B76" s="237" t="s">
        <v>1494</v>
      </c>
      <c r="C76" s="236" t="s">
        <v>1182</v>
      </c>
      <c r="D76" s="238">
        <v>10000</v>
      </c>
      <c r="E76" s="239"/>
    </row>
    <row r="77" spans="1:5" ht="15.75" thickBot="1">
      <c r="A77" s="236">
        <v>12</v>
      </c>
      <c r="B77" s="237" t="s">
        <v>1206</v>
      </c>
      <c r="C77" s="236" t="s">
        <v>1198</v>
      </c>
      <c r="D77" s="238">
        <v>3500</v>
      </c>
      <c r="E77" s="239"/>
    </row>
    <row r="78" spans="1:5" ht="15.75" thickBot="1">
      <c r="A78" s="236">
        <v>13</v>
      </c>
      <c r="B78" s="237" t="s">
        <v>1415</v>
      </c>
      <c r="C78" s="236" t="s">
        <v>1182</v>
      </c>
      <c r="D78" s="238">
        <v>6000</v>
      </c>
      <c r="E78" s="239"/>
    </row>
    <row r="79" spans="1:5" ht="15.75" thickBot="1">
      <c r="A79" s="286" t="s">
        <v>758</v>
      </c>
      <c r="B79" s="287"/>
      <c r="C79" s="241"/>
      <c r="D79" s="693">
        <v>87950</v>
      </c>
      <c r="E79" s="243"/>
    </row>
    <row r="80" spans="1:5">
      <c r="A80" s="244" t="s">
        <v>1517</v>
      </c>
    </row>
    <row r="81" spans="1:6">
      <c r="A81" s="284"/>
    </row>
    <row r="82" spans="1:6">
      <c r="A82" s="691"/>
      <c r="B82" s="248"/>
    </row>
    <row r="83" spans="1:6" ht="15.75">
      <c r="A83" s="205" t="s">
        <v>696</v>
      </c>
    </row>
    <row r="84" spans="1:6" ht="15.75">
      <c r="A84" s="205"/>
    </row>
    <row r="85" spans="1:6" ht="15.75">
      <c r="A85" s="205" t="s">
        <v>1212</v>
      </c>
    </row>
    <row r="86" spans="1:6" ht="15.75">
      <c r="A86" s="232" t="s">
        <v>1514</v>
      </c>
    </row>
    <row r="87" spans="1:6" ht="16.5" thickBot="1">
      <c r="A87" s="232"/>
    </row>
    <row r="88" spans="1:6" ht="31.5" customHeight="1" thickBot="1">
      <c r="A88" s="380" t="s">
        <v>0</v>
      </c>
      <c r="B88" s="380" t="s">
        <v>121</v>
      </c>
      <c r="C88" s="380" t="s">
        <v>632</v>
      </c>
      <c r="D88" s="398" t="s">
        <v>894</v>
      </c>
      <c r="E88" s="399"/>
      <c r="F88" s="380" t="s">
        <v>699</v>
      </c>
    </row>
    <row r="89" spans="1:6" ht="16.5" thickBot="1">
      <c r="A89" s="400"/>
      <c r="B89" s="400"/>
      <c r="C89" s="400"/>
      <c r="D89" s="381" t="s">
        <v>828</v>
      </c>
      <c r="E89" s="381" t="s">
        <v>829</v>
      </c>
      <c r="F89" s="400"/>
    </row>
    <row r="90" spans="1:6" ht="17.25" thickBot="1">
      <c r="A90" s="382">
        <v>1</v>
      </c>
      <c r="B90" s="929" t="s">
        <v>154</v>
      </c>
      <c r="C90" s="407" t="s">
        <v>717</v>
      </c>
      <c r="D90" s="312"/>
      <c r="E90" s="930">
        <v>3000</v>
      </c>
      <c r="F90" s="386"/>
    </row>
    <row r="91" spans="1:6" ht="17.25" thickBot="1">
      <c r="A91" s="382">
        <v>2</v>
      </c>
      <c r="B91" s="929" t="s">
        <v>289</v>
      </c>
      <c r="C91" s="407" t="s">
        <v>646</v>
      </c>
      <c r="D91" s="312"/>
      <c r="E91" s="930">
        <v>21000</v>
      </c>
      <c r="F91" s="386"/>
    </row>
    <row r="92" spans="1:6" ht="17.25" thickBot="1">
      <c r="A92" s="382">
        <v>3</v>
      </c>
      <c r="B92" s="929" t="s">
        <v>65</v>
      </c>
      <c r="C92" s="407" t="s">
        <v>646</v>
      </c>
      <c r="D92" s="312"/>
      <c r="E92" s="930">
        <v>3000</v>
      </c>
      <c r="F92" s="387"/>
    </row>
    <row r="93" spans="1:6" ht="17.25" thickBot="1">
      <c r="A93" s="382">
        <v>4</v>
      </c>
      <c r="B93" s="929" t="s">
        <v>168</v>
      </c>
      <c r="C93" s="407" t="s">
        <v>646</v>
      </c>
      <c r="D93" s="312"/>
      <c r="E93" s="930">
        <v>6000</v>
      </c>
      <c r="F93" s="386"/>
    </row>
    <row r="94" spans="1:6" ht="17.25" thickBot="1">
      <c r="A94" s="382">
        <v>5</v>
      </c>
      <c r="B94" s="929" t="s">
        <v>27</v>
      </c>
      <c r="C94" s="407" t="s">
        <v>649</v>
      </c>
      <c r="D94" s="312"/>
      <c r="E94" s="930">
        <v>3000</v>
      </c>
      <c r="F94" s="386"/>
    </row>
    <row r="95" spans="1:6" ht="17.25" thickBot="1">
      <c r="A95" s="382">
        <v>6</v>
      </c>
      <c r="B95" s="929" t="s">
        <v>81</v>
      </c>
      <c r="C95" s="407" t="s">
        <v>649</v>
      </c>
      <c r="D95" s="312"/>
      <c r="E95" s="930">
        <v>3000</v>
      </c>
      <c r="F95" s="386"/>
    </row>
    <row r="96" spans="1:6" ht="17.25" thickBot="1">
      <c r="A96" s="382">
        <v>7</v>
      </c>
      <c r="B96" s="929" t="s">
        <v>205</v>
      </c>
      <c r="C96" s="407" t="s">
        <v>649</v>
      </c>
      <c r="D96" s="312"/>
      <c r="E96" s="930">
        <v>9000</v>
      </c>
      <c r="F96" s="387"/>
    </row>
    <row r="97" spans="1:6" ht="17.25" thickBot="1">
      <c r="A97" s="382">
        <v>8</v>
      </c>
      <c r="B97" s="929" t="s">
        <v>152</v>
      </c>
      <c r="C97" s="407" t="s">
        <v>649</v>
      </c>
      <c r="D97" s="312"/>
      <c r="E97" s="930">
        <v>70000</v>
      </c>
      <c r="F97" s="387"/>
    </row>
    <row r="98" spans="1:6" ht="17.25" thickBot="1">
      <c r="A98" s="382">
        <v>9</v>
      </c>
      <c r="B98" s="929" t="s">
        <v>187</v>
      </c>
      <c r="C98" s="407" t="s">
        <v>649</v>
      </c>
      <c r="D98" s="312"/>
      <c r="E98" s="930">
        <v>10000</v>
      </c>
      <c r="F98" s="386"/>
    </row>
    <row r="99" spans="1:6" ht="17.25" thickBot="1">
      <c r="A99" s="382">
        <v>10</v>
      </c>
      <c r="B99" s="929" t="s">
        <v>687</v>
      </c>
      <c r="C99" s="407" t="s">
        <v>649</v>
      </c>
      <c r="D99" s="930">
        <v>20000</v>
      </c>
      <c r="E99" s="386"/>
      <c r="F99" s="387"/>
    </row>
    <row r="100" spans="1:6" ht="17.25" thickBot="1">
      <c r="A100" s="382">
        <v>11</v>
      </c>
      <c r="B100" s="929" t="s">
        <v>684</v>
      </c>
      <c r="C100" s="407" t="s">
        <v>649</v>
      </c>
      <c r="D100" s="930">
        <v>10000</v>
      </c>
      <c r="E100" s="386"/>
      <c r="F100" s="387"/>
    </row>
    <row r="101" spans="1:6" ht="17.25" thickBot="1">
      <c r="A101" s="382">
        <v>12</v>
      </c>
      <c r="B101" s="929" t="s">
        <v>686</v>
      </c>
      <c r="C101" s="407" t="s">
        <v>649</v>
      </c>
      <c r="D101" s="930">
        <v>10000</v>
      </c>
      <c r="E101" s="386"/>
      <c r="F101" s="387"/>
    </row>
    <row r="102" spans="1:6" ht="17.25" thickBot="1">
      <c r="A102" s="382">
        <v>13</v>
      </c>
      <c r="B102" s="929" t="s">
        <v>685</v>
      </c>
      <c r="C102" s="407" t="s">
        <v>649</v>
      </c>
      <c r="D102" s="930">
        <v>20000</v>
      </c>
      <c r="E102" s="386"/>
      <c r="F102" s="387"/>
    </row>
    <row r="103" spans="1:6" ht="17.25" thickBot="1">
      <c r="A103" s="382">
        <v>14</v>
      </c>
      <c r="B103" s="929" t="s">
        <v>651</v>
      </c>
      <c r="C103" s="407" t="s">
        <v>650</v>
      </c>
      <c r="D103" s="930">
        <v>6000</v>
      </c>
      <c r="E103" s="386"/>
      <c r="F103" s="387"/>
    </row>
    <row r="104" spans="1:6" ht="17.25" thickBot="1">
      <c r="A104" s="382">
        <v>15</v>
      </c>
      <c r="B104" s="929" t="s">
        <v>688</v>
      </c>
      <c r="C104" s="407" t="s">
        <v>650</v>
      </c>
      <c r="D104" s="930">
        <v>3000</v>
      </c>
      <c r="E104" s="386"/>
      <c r="F104" s="387"/>
    </row>
    <row r="105" spans="1:6" ht="17.25" thickBot="1">
      <c r="A105" s="382">
        <v>16</v>
      </c>
      <c r="B105" s="929" t="s">
        <v>269</v>
      </c>
      <c r="C105" s="407" t="s">
        <v>650</v>
      </c>
      <c r="D105" s="312"/>
      <c r="E105" s="930">
        <v>3000</v>
      </c>
      <c r="F105" s="387"/>
    </row>
    <row r="106" spans="1:6" ht="17.25" thickBot="1">
      <c r="A106" s="382">
        <v>17</v>
      </c>
      <c r="B106" s="929" t="s">
        <v>46</v>
      </c>
      <c r="C106" s="407" t="s">
        <v>653</v>
      </c>
      <c r="D106" s="312"/>
      <c r="E106" s="930">
        <v>6000</v>
      </c>
      <c r="F106" s="387"/>
    </row>
    <row r="107" spans="1:6" ht="17.25" thickBot="1">
      <c r="A107" s="382">
        <v>18</v>
      </c>
      <c r="B107" s="929" t="s">
        <v>147</v>
      </c>
      <c r="C107" s="407" t="s">
        <v>653</v>
      </c>
      <c r="D107" s="312"/>
      <c r="E107" s="930">
        <v>3000</v>
      </c>
      <c r="F107" s="387"/>
    </row>
    <row r="108" spans="1:6" ht="17.25" thickBot="1">
      <c r="A108" s="382">
        <v>19</v>
      </c>
      <c r="B108" s="929" t="s">
        <v>56</v>
      </c>
      <c r="C108" s="407" t="s">
        <v>653</v>
      </c>
      <c r="D108" s="312"/>
      <c r="E108" s="930">
        <v>3000</v>
      </c>
      <c r="F108" s="387"/>
    </row>
    <row r="109" spans="1:6" ht="17.25" thickBot="1">
      <c r="A109" s="382">
        <v>20</v>
      </c>
      <c r="B109" s="929" t="s">
        <v>689</v>
      </c>
      <c r="C109" s="407" t="s">
        <v>653</v>
      </c>
      <c r="D109" s="930">
        <v>3000</v>
      </c>
      <c r="E109" s="386"/>
      <c r="F109" s="387"/>
    </row>
    <row r="110" spans="1:6" ht="17.25" thickBot="1">
      <c r="A110" s="382">
        <v>21</v>
      </c>
      <c r="B110" s="929" t="s">
        <v>658</v>
      </c>
      <c r="C110" s="407" t="s">
        <v>653</v>
      </c>
      <c r="D110" s="930">
        <v>3000</v>
      </c>
      <c r="E110" s="386"/>
      <c r="F110" s="387"/>
    </row>
    <row r="111" spans="1:6" ht="17.25" thickBot="1">
      <c r="A111" s="382">
        <v>22</v>
      </c>
      <c r="B111" s="929" t="s">
        <v>146</v>
      </c>
      <c r="C111" s="407" t="s">
        <v>653</v>
      </c>
      <c r="D111" s="312"/>
      <c r="E111" s="930">
        <v>3000</v>
      </c>
      <c r="F111" s="387"/>
    </row>
    <row r="112" spans="1:6" ht="17.25" thickBot="1">
      <c r="A112" s="382">
        <v>23</v>
      </c>
      <c r="B112" s="929" t="s">
        <v>747</v>
      </c>
      <c r="C112" s="407" t="s">
        <v>661</v>
      </c>
      <c r="D112" s="930">
        <v>6000</v>
      </c>
      <c r="E112" s="386"/>
      <c r="F112" s="387"/>
    </row>
    <row r="113" spans="1:6" ht="17.25" thickBot="1">
      <c r="A113" s="382">
        <v>24</v>
      </c>
      <c r="B113" s="929" t="s">
        <v>693</v>
      </c>
      <c r="C113" s="407" t="s">
        <v>668</v>
      </c>
      <c r="D113" s="930">
        <v>6000</v>
      </c>
      <c r="E113" s="386"/>
      <c r="F113" s="387"/>
    </row>
    <row r="114" spans="1:6" ht="17.25" thickBot="1">
      <c r="A114" s="382">
        <v>25</v>
      </c>
      <c r="B114" s="929" t="s">
        <v>273</v>
      </c>
      <c r="C114" s="407" t="s">
        <v>668</v>
      </c>
      <c r="D114" s="312"/>
      <c r="E114" s="930">
        <v>3000</v>
      </c>
      <c r="F114" s="387"/>
    </row>
    <row r="115" spans="1:6" ht="17.25" thickBot="1">
      <c r="A115" s="382">
        <v>26</v>
      </c>
      <c r="B115" s="929" t="s">
        <v>692</v>
      </c>
      <c r="C115" s="407" t="s">
        <v>668</v>
      </c>
      <c r="D115" s="930">
        <v>3000</v>
      </c>
      <c r="E115" s="386"/>
      <c r="F115" s="387"/>
    </row>
    <row r="116" spans="1:6" ht="17.25" thickBot="1">
      <c r="A116" s="382">
        <v>27</v>
      </c>
      <c r="B116" s="929" t="s">
        <v>262</v>
      </c>
      <c r="C116" s="407" t="s">
        <v>668</v>
      </c>
      <c r="D116" s="312"/>
      <c r="E116" s="930">
        <v>6000</v>
      </c>
      <c r="F116" s="387"/>
    </row>
    <row r="117" spans="1:6" ht="17.25" thickBot="1">
      <c r="A117" s="382">
        <v>28</v>
      </c>
      <c r="B117" s="929" t="s">
        <v>213</v>
      </c>
      <c r="C117" s="407" t="s">
        <v>668</v>
      </c>
      <c r="D117" s="312"/>
      <c r="E117" s="930">
        <v>3000</v>
      </c>
      <c r="F117" s="387"/>
    </row>
    <row r="118" spans="1:6" ht="17.25" thickBot="1">
      <c r="A118" s="382">
        <v>29</v>
      </c>
      <c r="B118" s="929" t="s">
        <v>435</v>
      </c>
      <c r="C118" s="407" t="s">
        <v>668</v>
      </c>
      <c r="D118" s="312"/>
      <c r="E118" s="930">
        <v>3000</v>
      </c>
      <c r="F118" s="387"/>
    </row>
    <row r="119" spans="1:6" ht="17.25" thickBot="1">
      <c r="A119" s="382">
        <v>30</v>
      </c>
      <c r="B119" s="929" t="s">
        <v>149</v>
      </c>
      <c r="C119" s="407" t="s">
        <v>674</v>
      </c>
      <c r="D119" s="312"/>
      <c r="E119" s="930">
        <v>12000</v>
      </c>
      <c r="F119" s="387"/>
    </row>
    <row r="120" spans="1:6" ht="17.25" thickBot="1">
      <c r="A120" s="382">
        <v>31</v>
      </c>
      <c r="B120" s="929" t="s">
        <v>150</v>
      </c>
      <c r="C120" s="407" t="s">
        <v>674</v>
      </c>
      <c r="D120" s="312"/>
      <c r="E120" s="930">
        <v>9000</v>
      </c>
      <c r="F120" s="387"/>
    </row>
    <row r="121" spans="1:6" ht="17.25" thickBot="1">
      <c r="A121" s="382">
        <v>32</v>
      </c>
      <c r="B121" s="929" t="s">
        <v>72</v>
      </c>
      <c r="C121" s="407" t="s">
        <v>674</v>
      </c>
      <c r="D121" s="312"/>
      <c r="E121" s="930">
        <v>3000</v>
      </c>
      <c r="F121" s="387"/>
    </row>
    <row r="122" spans="1:6" ht="17.25" thickBot="1">
      <c r="A122" s="382">
        <v>33</v>
      </c>
      <c r="B122" s="929" t="s">
        <v>741</v>
      </c>
      <c r="C122" s="407" t="s">
        <v>674</v>
      </c>
      <c r="D122" s="930">
        <v>3000</v>
      </c>
      <c r="E122" s="386"/>
      <c r="F122" s="387"/>
    </row>
    <row r="123" spans="1:6" ht="16.5" thickBot="1">
      <c r="A123" s="401" t="s">
        <v>758</v>
      </c>
      <c r="B123" s="402"/>
      <c r="C123" s="336"/>
      <c r="D123" s="388">
        <v>93000</v>
      </c>
      <c r="E123" s="388">
        <v>185000</v>
      </c>
      <c r="F123" s="389"/>
    </row>
    <row r="124" spans="1:6" ht="16.5" customHeight="1" thickBot="1">
      <c r="A124" s="401" t="s">
        <v>833</v>
      </c>
      <c r="B124" s="402"/>
      <c r="C124" s="336"/>
      <c r="D124" s="403">
        <v>278000</v>
      </c>
      <c r="E124" s="404"/>
      <c r="F124" s="390"/>
    </row>
    <row r="125" spans="1:6" ht="15.75">
      <c r="A125" s="365" t="s">
        <v>1518</v>
      </c>
    </row>
    <row r="126" spans="1:6">
      <c r="A126" s="244"/>
    </row>
    <row r="127" spans="1:6">
      <c r="A127" s="244"/>
    </row>
    <row r="128" spans="1:6">
      <c r="A128" s="244"/>
    </row>
    <row r="129" spans="1:5">
      <c r="A129" s="244"/>
    </row>
    <row r="130" spans="1:5">
      <c r="A130" s="244"/>
    </row>
    <row r="131" spans="1:5" ht="16.5">
      <c r="A131" s="594"/>
      <c r="B131" s="248"/>
    </row>
    <row r="132" spans="1:5" ht="15.75">
      <c r="A132" s="205" t="s">
        <v>704</v>
      </c>
    </row>
    <row r="133" spans="1:5" ht="15.75">
      <c r="A133" s="205"/>
    </row>
    <row r="134" spans="1:5" ht="15.75">
      <c r="A134" s="205" t="s">
        <v>1419</v>
      </c>
    </row>
    <row r="135" spans="1:5" ht="15.75">
      <c r="A135" s="232" t="s">
        <v>1514</v>
      </c>
    </row>
    <row r="136" spans="1:5" ht="16.5" thickBot="1">
      <c r="A136" s="232"/>
    </row>
    <row r="137" spans="1:5" ht="29.25" thickBot="1">
      <c r="A137" s="233" t="s">
        <v>0</v>
      </c>
      <c r="B137" s="234" t="s">
        <v>632</v>
      </c>
      <c r="C137" s="234" t="s">
        <v>633</v>
      </c>
      <c r="D137" s="233" t="s">
        <v>634</v>
      </c>
      <c r="E137" s="375"/>
    </row>
    <row r="138" spans="1:5" ht="16.5" thickBot="1">
      <c r="A138" s="255">
        <v>1</v>
      </c>
      <c r="B138" s="256" t="s">
        <v>706</v>
      </c>
      <c r="C138" s="974">
        <v>1000000</v>
      </c>
      <c r="D138" s="759"/>
      <c r="E138" s="932"/>
    </row>
    <row r="139" spans="1:5" ht="16.5" thickBot="1">
      <c r="A139" s="255">
        <v>2</v>
      </c>
      <c r="B139" s="256" t="s">
        <v>1450</v>
      </c>
      <c r="C139" s="974">
        <v>2000000</v>
      </c>
      <c r="D139" s="759"/>
      <c r="E139" s="932"/>
    </row>
    <row r="140" spans="1:5" ht="16.5" thickBot="1">
      <c r="A140" s="255">
        <v>3</v>
      </c>
      <c r="B140" s="256" t="s">
        <v>836</v>
      </c>
      <c r="C140" s="974">
        <v>2000000</v>
      </c>
      <c r="D140" s="759"/>
      <c r="E140" s="932"/>
    </row>
    <row r="141" spans="1:5" ht="16.5" thickBot="1">
      <c r="A141" s="255">
        <v>4</v>
      </c>
      <c r="B141" s="256" t="s">
        <v>708</v>
      </c>
      <c r="C141" s="974">
        <v>2000000</v>
      </c>
      <c r="D141" s="759"/>
      <c r="E141" s="932"/>
    </row>
    <row r="142" spans="1:5" ht="17.25" thickBot="1">
      <c r="A142" s="288" t="s">
        <v>676</v>
      </c>
      <c r="B142" s="289"/>
      <c r="C142" s="931">
        <v>7000000</v>
      </c>
      <c r="D142" s="262"/>
      <c r="E142" s="551"/>
    </row>
    <row r="143" spans="1:5">
      <c r="A143" s="244" t="s">
        <v>1519</v>
      </c>
    </row>
    <row r="144" spans="1:5">
      <c r="A144" s="244"/>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
  <sheetViews>
    <sheetView topLeftCell="A19" workbookViewId="0">
      <selection activeCell="H65" sqref="H65"/>
    </sheetView>
  </sheetViews>
  <sheetFormatPr defaultRowHeight="15"/>
  <cols>
    <col min="4" max="4" width="18.5703125" customWidth="1"/>
    <col min="5" max="5" width="18.7109375" customWidth="1"/>
    <col min="7" max="7" width="13.28515625" style="561" bestFit="1" customWidth="1"/>
  </cols>
  <sheetData>
    <row r="1" spans="1:7" ht="15.75">
      <c r="A1" s="205"/>
    </row>
    <row r="2" spans="1:7">
      <c r="A2" s="686" t="s">
        <v>766</v>
      </c>
    </row>
    <row r="3" spans="1:7" ht="15.75">
      <c r="A3" s="232" t="s">
        <v>1520</v>
      </c>
    </row>
    <row r="4" spans="1:7" ht="16.5" thickBot="1">
      <c r="A4" s="232"/>
    </row>
    <row r="5" spans="1:7" ht="28.5" customHeight="1" thickBot="1">
      <c r="A5" s="939" t="s">
        <v>0</v>
      </c>
      <c r="B5" s="939" t="s">
        <v>121</v>
      </c>
      <c r="C5" s="939" t="s">
        <v>632</v>
      </c>
      <c r="D5" s="941" t="s">
        <v>894</v>
      </c>
      <c r="E5" s="942"/>
      <c r="F5" s="939" t="s">
        <v>699</v>
      </c>
    </row>
    <row r="6" spans="1:7" ht="15.75" thickBot="1">
      <c r="A6" s="943"/>
      <c r="B6" s="943"/>
      <c r="C6" s="943"/>
      <c r="D6" s="940" t="s">
        <v>828</v>
      </c>
      <c r="E6" s="940" t="s">
        <v>829</v>
      </c>
      <c r="F6" s="943"/>
    </row>
    <row r="7" spans="1:7" ht="48" thickBot="1">
      <c r="A7" s="694">
        <v>1</v>
      </c>
      <c r="B7" s="690" t="s">
        <v>757</v>
      </c>
      <c r="C7" s="1002" t="s">
        <v>668</v>
      </c>
      <c r="D7" s="387" t="s">
        <v>1521</v>
      </c>
      <c r="E7" s="314"/>
      <c r="F7" s="314"/>
    </row>
    <row r="8" spans="1:7" ht="32.25" thickBot="1">
      <c r="A8" s="694">
        <v>2</v>
      </c>
      <c r="B8" s="690" t="s">
        <v>731</v>
      </c>
      <c r="C8" s="1002" t="s">
        <v>668</v>
      </c>
      <c r="D8" s="387" t="s">
        <v>1522</v>
      </c>
      <c r="E8" s="314"/>
      <c r="F8" s="314"/>
    </row>
    <row r="9" spans="1:7" ht="48" thickBot="1">
      <c r="A9" s="694">
        <v>3</v>
      </c>
      <c r="B9" s="690" t="s">
        <v>654</v>
      </c>
      <c r="C9" s="1002" t="s">
        <v>653</v>
      </c>
      <c r="D9" s="387" t="s">
        <v>1523</v>
      </c>
      <c r="E9" s="314"/>
      <c r="F9" s="314"/>
    </row>
    <row r="10" spans="1:7" ht="32.25" thickBot="1">
      <c r="A10" s="694">
        <v>4</v>
      </c>
      <c r="B10" s="690" t="s">
        <v>151</v>
      </c>
      <c r="C10" s="1002" t="s">
        <v>653</v>
      </c>
      <c r="D10" s="387"/>
      <c r="E10" s="387" t="s">
        <v>1524</v>
      </c>
      <c r="F10" s="314"/>
      <c r="G10" s="561">
        <v>1800000</v>
      </c>
    </row>
    <row r="11" spans="1:7" ht="48" thickBot="1">
      <c r="A11" s="694">
        <v>5</v>
      </c>
      <c r="B11" s="690" t="s">
        <v>215</v>
      </c>
      <c r="C11" s="1002" t="s">
        <v>653</v>
      </c>
      <c r="D11" s="387"/>
      <c r="E11" s="387" t="s">
        <v>1523</v>
      </c>
      <c r="F11" s="314"/>
      <c r="G11" s="561">
        <v>2000000</v>
      </c>
    </row>
    <row r="12" spans="1:7" ht="32.25" thickBot="1">
      <c r="A12" s="694">
        <v>6</v>
      </c>
      <c r="B12" s="690" t="s">
        <v>655</v>
      </c>
      <c r="C12" s="1002" t="s">
        <v>653</v>
      </c>
      <c r="D12" s="387" t="s">
        <v>1525</v>
      </c>
      <c r="E12" s="314"/>
      <c r="F12" s="314"/>
    </row>
    <row r="13" spans="1:7" ht="48" thickBot="1">
      <c r="A13" s="694">
        <v>7</v>
      </c>
      <c r="B13" s="690" t="s">
        <v>282</v>
      </c>
      <c r="C13" s="1002" t="s">
        <v>646</v>
      </c>
      <c r="D13" s="387"/>
      <c r="E13" s="387" t="s">
        <v>1526</v>
      </c>
      <c r="F13" s="314"/>
      <c r="G13" s="561">
        <v>3200000</v>
      </c>
    </row>
    <row r="14" spans="1:7" ht="48" thickBot="1">
      <c r="A14" s="694">
        <v>8</v>
      </c>
      <c r="B14" s="690" t="s">
        <v>1165</v>
      </c>
      <c r="C14" s="1002" t="s">
        <v>674</v>
      </c>
      <c r="D14" s="387" t="s">
        <v>1523</v>
      </c>
      <c r="E14" s="314"/>
      <c r="F14" s="314"/>
    </row>
    <row r="15" spans="1:7" ht="48" thickBot="1">
      <c r="A15" s="694">
        <v>9</v>
      </c>
      <c r="B15" s="690" t="s">
        <v>673</v>
      </c>
      <c r="C15" s="1002" t="s">
        <v>674</v>
      </c>
      <c r="D15" s="387" t="s">
        <v>1524</v>
      </c>
      <c r="E15" s="314"/>
      <c r="F15" s="314"/>
    </row>
    <row r="16" spans="1:7" ht="48" thickBot="1">
      <c r="A16" s="694">
        <v>10</v>
      </c>
      <c r="B16" s="690" t="s">
        <v>648</v>
      </c>
      <c r="C16" s="1002" t="s">
        <v>649</v>
      </c>
      <c r="D16" s="387" t="s">
        <v>1527</v>
      </c>
      <c r="E16" s="385"/>
      <c r="F16" s="314"/>
    </row>
    <row r="17" spans="1:7" ht="48" thickBot="1">
      <c r="A17" s="694">
        <v>11</v>
      </c>
      <c r="B17" s="690" t="s">
        <v>78</v>
      </c>
      <c r="C17" s="1002" t="s">
        <v>649</v>
      </c>
      <c r="D17" s="387"/>
      <c r="E17" s="387" t="s">
        <v>1528</v>
      </c>
      <c r="F17" s="314"/>
      <c r="G17" s="561">
        <v>2200000</v>
      </c>
    </row>
    <row r="18" spans="1:7" ht="63.75" thickBot="1">
      <c r="A18" s="694">
        <v>12</v>
      </c>
      <c r="B18" s="690" t="s">
        <v>89</v>
      </c>
      <c r="C18" s="1002" t="s">
        <v>650</v>
      </c>
      <c r="D18" s="387"/>
      <c r="E18" s="387" t="s">
        <v>1529</v>
      </c>
      <c r="F18" s="314"/>
      <c r="G18" s="561">
        <v>3400000</v>
      </c>
    </row>
    <row r="19" spans="1:7" ht="32.25" thickBot="1">
      <c r="A19" s="694">
        <v>13</v>
      </c>
      <c r="B19" s="690" t="s">
        <v>765</v>
      </c>
      <c r="C19" s="1002" t="s">
        <v>650</v>
      </c>
      <c r="D19" s="387"/>
      <c r="E19" s="387" t="s">
        <v>1525</v>
      </c>
      <c r="F19" s="314"/>
      <c r="G19" s="561">
        <v>1600000</v>
      </c>
    </row>
    <row r="20" spans="1:7" ht="48" thickBot="1">
      <c r="A20" s="694">
        <v>14</v>
      </c>
      <c r="B20" s="690" t="s">
        <v>755</v>
      </c>
      <c r="C20" s="1002" t="s">
        <v>642</v>
      </c>
      <c r="D20" s="387" t="s">
        <v>1525</v>
      </c>
      <c r="E20" s="314"/>
      <c r="F20" s="314"/>
    </row>
    <row r="21" spans="1:7" ht="48" thickBot="1">
      <c r="A21" s="694">
        <v>15</v>
      </c>
      <c r="B21" s="690" t="s">
        <v>94</v>
      </c>
      <c r="C21" s="1002" t="s">
        <v>642</v>
      </c>
      <c r="D21" s="387"/>
      <c r="E21" s="387" t="s">
        <v>1525</v>
      </c>
      <c r="F21" s="314"/>
      <c r="G21" s="561">
        <v>1600000</v>
      </c>
    </row>
    <row r="22" spans="1:7" ht="48" thickBot="1">
      <c r="A22" s="694">
        <v>16</v>
      </c>
      <c r="B22" s="690" t="s">
        <v>716</v>
      </c>
      <c r="C22" s="1002" t="s">
        <v>642</v>
      </c>
      <c r="D22" s="387"/>
      <c r="E22" s="387" t="s">
        <v>1524</v>
      </c>
      <c r="F22" s="314"/>
      <c r="G22" s="561">
        <v>1800000</v>
      </c>
    </row>
    <row r="23" spans="1:7" ht="48" thickBot="1">
      <c r="A23" s="694">
        <v>17</v>
      </c>
      <c r="B23" s="690" t="s">
        <v>635</v>
      </c>
      <c r="C23" s="1002" t="s">
        <v>636</v>
      </c>
      <c r="D23" s="387" t="s">
        <v>1523</v>
      </c>
      <c r="E23" s="314"/>
      <c r="F23" s="314"/>
    </row>
    <row r="24" spans="1:7" ht="48" thickBot="1">
      <c r="A24" s="694">
        <v>18</v>
      </c>
      <c r="B24" s="690" t="s">
        <v>637</v>
      </c>
      <c r="C24" s="1002" t="s">
        <v>636</v>
      </c>
      <c r="D24" s="387" t="s">
        <v>1530</v>
      </c>
      <c r="E24" s="385"/>
      <c r="F24" s="314"/>
    </row>
    <row r="25" spans="1:7" ht="48" thickBot="1">
      <c r="A25" s="694">
        <v>19</v>
      </c>
      <c r="B25" s="690" t="s">
        <v>108</v>
      </c>
      <c r="C25" s="1002" t="s">
        <v>756</v>
      </c>
      <c r="D25" s="387"/>
      <c r="E25" s="387" t="s">
        <v>1523</v>
      </c>
      <c r="F25" s="314"/>
      <c r="G25" s="561">
        <v>2000000</v>
      </c>
    </row>
    <row r="26" spans="1:7" ht="16.5" thickBot="1">
      <c r="A26" s="401" t="s">
        <v>758</v>
      </c>
      <c r="B26" s="402"/>
      <c r="C26" s="336"/>
      <c r="D26" s="389" t="s">
        <v>1531</v>
      </c>
      <c r="E26" s="389" t="s">
        <v>1532</v>
      </c>
      <c r="F26" s="389"/>
    </row>
    <row r="27" spans="1:7" ht="56.25" customHeight="1" thickBot="1">
      <c r="A27" s="401" t="s">
        <v>864</v>
      </c>
      <c r="B27" s="402"/>
      <c r="C27" s="336"/>
      <c r="D27" s="401" t="s">
        <v>1533</v>
      </c>
      <c r="E27" s="402"/>
      <c r="F27" s="390"/>
    </row>
    <row r="28" spans="1:7">
      <c r="A28" s="244" t="s">
        <v>1534</v>
      </c>
    </row>
    <row r="29" spans="1:7">
      <c r="A29" s="244"/>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3"/>
  <sheetViews>
    <sheetView topLeftCell="A100" workbookViewId="0">
      <selection activeCell="H103" sqref="H103"/>
    </sheetView>
  </sheetViews>
  <sheetFormatPr defaultRowHeight="15"/>
  <cols>
    <col min="2" max="2" width="31.5703125" customWidth="1"/>
    <col min="4" max="4" width="16.7109375" customWidth="1"/>
  </cols>
  <sheetData>
    <row r="1" spans="1:8" ht="15.75">
      <c r="A1" s="205" t="s">
        <v>868</v>
      </c>
    </row>
    <row r="2" spans="1:8">
      <c r="A2" s="686" t="s">
        <v>1500</v>
      </c>
    </row>
    <row r="3" spans="1:8" ht="16.5" thickBot="1">
      <c r="A3" s="232" t="s">
        <v>1535</v>
      </c>
    </row>
    <row r="4" spans="1:8" ht="28.5" customHeight="1" thickBot="1">
      <c r="A4" s="939" t="s">
        <v>0</v>
      </c>
      <c r="B4" s="939" t="s">
        <v>121</v>
      </c>
      <c r="C4" s="939" t="s">
        <v>632</v>
      </c>
      <c r="D4" s="941" t="s">
        <v>894</v>
      </c>
      <c r="E4" s="942"/>
      <c r="F4" s="939" t="s">
        <v>699</v>
      </c>
    </row>
    <row r="5" spans="1:8" ht="15.75" thickBot="1">
      <c r="A5" s="943"/>
      <c r="B5" s="943"/>
      <c r="C5" s="943"/>
      <c r="D5" s="940" t="s">
        <v>828</v>
      </c>
      <c r="E5" s="940" t="s">
        <v>829</v>
      </c>
      <c r="F5" s="943"/>
    </row>
    <row r="6" spans="1:8" ht="15.75" thickBot="1">
      <c r="A6" s="694">
        <v>1</v>
      </c>
      <c r="B6" s="446" t="s">
        <v>645</v>
      </c>
      <c r="C6" s="447" t="s">
        <v>642</v>
      </c>
      <c r="D6" s="447">
        <v>20</v>
      </c>
      <c r="E6" s="314"/>
      <c r="F6" s="314"/>
      <c r="G6">
        <v>1000</v>
      </c>
      <c r="H6">
        <f>E6*G6</f>
        <v>0</v>
      </c>
    </row>
    <row r="7" spans="1:8" ht="15.75" thickBot="1">
      <c r="A7" s="694">
        <v>2</v>
      </c>
      <c r="B7" s="446" t="s">
        <v>715</v>
      </c>
      <c r="C7" s="447" t="s">
        <v>642</v>
      </c>
      <c r="D7" s="447">
        <v>30</v>
      </c>
      <c r="E7" s="314"/>
      <c r="F7" s="314"/>
      <c r="G7">
        <v>1000</v>
      </c>
      <c r="H7">
        <f t="shared" ref="H7:H70" si="0">E7*G7</f>
        <v>0</v>
      </c>
    </row>
    <row r="8" spans="1:8" ht="17.25" thickBot="1">
      <c r="A8" s="694">
        <v>3</v>
      </c>
      <c r="B8" s="446" t="s">
        <v>153</v>
      </c>
      <c r="C8" s="447" t="s">
        <v>642</v>
      </c>
      <c r="D8" s="799"/>
      <c r="E8" s="449">
        <v>30</v>
      </c>
      <c r="F8" s="314"/>
      <c r="G8">
        <v>1000</v>
      </c>
      <c r="H8">
        <f t="shared" si="0"/>
        <v>30000</v>
      </c>
    </row>
    <row r="9" spans="1:8" ht="17.25" thickBot="1">
      <c r="A9" s="694">
        <v>4</v>
      </c>
      <c r="B9" s="446" t="s">
        <v>641</v>
      </c>
      <c r="C9" s="447" t="s">
        <v>717</v>
      </c>
      <c r="D9" s="447">
        <v>110</v>
      </c>
      <c r="E9" s="385"/>
      <c r="F9" s="314"/>
      <c r="G9">
        <v>1000</v>
      </c>
      <c r="H9">
        <f t="shared" si="0"/>
        <v>0</v>
      </c>
    </row>
    <row r="10" spans="1:8" ht="17.25" thickBot="1">
      <c r="A10" s="694">
        <v>5</v>
      </c>
      <c r="B10" s="446" t="s">
        <v>640</v>
      </c>
      <c r="C10" s="447" t="s">
        <v>717</v>
      </c>
      <c r="D10" s="447">
        <v>10</v>
      </c>
      <c r="E10" s="385"/>
      <c r="F10" s="314"/>
      <c r="G10">
        <v>1000</v>
      </c>
      <c r="H10">
        <f t="shared" si="0"/>
        <v>0</v>
      </c>
    </row>
    <row r="11" spans="1:8" ht="17.25" thickBot="1">
      <c r="A11" s="694">
        <v>6</v>
      </c>
      <c r="B11" s="446" t="s">
        <v>96</v>
      </c>
      <c r="C11" s="447" t="s">
        <v>717</v>
      </c>
      <c r="D11" s="799"/>
      <c r="E11" s="447">
        <v>30</v>
      </c>
      <c r="F11" s="314"/>
      <c r="G11">
        <v>1000</v>
      </c>
      <c r="H11">
        <f t="shared" si="0"/>
        <v>30000</v>
      </c>
    </row>
    <row r="12" spans="1:8" ht="17.25" thickBot="1">
      <c r="A12" s="694">
        <v>7</v>
      </c>
      <c r="B12" s="446" t="s">
        <v>210</v>
      </c>
      <c r="C12" s="447" t="s">
        <v>717</v>
      </c>
      <c r="D12" s="799"/>
      <c r="E12" s="447">
        <v>20</v>
      </c>
      <c r="F12" s="314"/>
      <c r="G12">
        <v>1000</v>
      </c>
      <c r="H12">
        <f t="shared" si="0"/>
        <v>20000</v>
      </c>
    </row>
    <row r="13" spans="1:8" ht="17.25" thickBot="1">
      <c r="A13" s="694">
        <v>8</v>
      </c>
      <c r="B13" s="446" t="s">
        <v>639</v>
      </c>
      <c r="C13" s="447" t="s">
        <v>717</v>
      </c>
      <c r="D13" s="799"/>
      <c r="E13" s="447">
        <v>40</v>
      </c>
      <c r="F13" s="314"/>
      <c r="G13">
        <v>1000</v>
      </c>
      <c r="H13">
        <f t="shared" si="0"/>
        <v>40000</v>
      </c>
    </row>
    <row r="14" spans="1:8" ht="15.75" thickBot="1">
      <c r="A14" s="694">
        <v>9</v>
      </c>
      <c r="B14" s="446" t="s">
        <v>648</v>
      </c>
      <c r="C14" s="447" t="s">
        <v>649</v>
      </c>
      <c r="D14" s="447">
        <v>20</v>
      </c>
      <c r="E14" s="314"/>
      <c r="F14" s="314"/>
      <c r="G14">
        <v>1000</v>
      </c>
      <c r="H14">
        <f t="shared" si="0"/>
        <v>0</v>
      </c>
    </row>
    <row r="15" spans="1:8" ht="17.25" thickBot="1">
      <c r="A15" s="694">
        <v>10</v>
      </c>
      <c r="B15" s="446" t="s">
        <v>687</v>
      </c>
      <c r="C15" s="447" t="s">
        <v>649</v>
      </c>
      <c r="D15" s="447">
        <v>170</v>
      </c>
      <c r="E15" s="385"/>
      <c r="F15" s="314"/>
      <c r="G15">
        <v>1000</v>
      </c>
      <c r="H15">
        <f t="shared" si="0"/>
        <v>0</v>
      </c>
    </row>
    <row r="16" spans="1:8" ht="17.25" thickBot="1">
      <c r="A16" s="694">
        <v>11</v>
      </c>
      <c r="B16" s="446" t="s">
        <v>685</v>
      </c>
      <c r="C16" s="447" t="s">
        <v>649</v>
      </c>
      <c r="D16" s="447">
        <v>70</v>
      </c>
      <c r="E16" s="385"/>
      <c r="F16" s="314"/>
      <c r="G16">
        <v>1000</v>
      </c>
      <c r="H16">
        <f t="shared" si="0"/>
        <v>0</v>
      </c>
    </row>
    <row r="17" spans="1:8" ht="17.25" thickBot="1">
      <c r="A17" s="694">
        <v>12</v>
      </c>
      <c r="B17" s="446" t="s">
        <v>686</v>
      </c>
      <c r="C17" s="447" t="s">
        <v>649</v>
      </c>
      <c r="D17" s="447">
        <v>190</v>
      </c>
      <c r="E17" s="385"/>
      <c r="F17" s="314"/>
      <c r="G17">
        <v>1000</v>
      </c>
      <c r="H17">
        <f t="shared" si="0"/>
        <v>0</v>
      </c>
    </row>
    <row r="18" spans="1:8" ht="17.25" thickBot="1">
      <c r="A18" s="694">
        <v>13</v>
      </c>
      <c r="B18" s="446" t="s">
        <v>684</v>
      </c>
      <c r="C18" s="447" t="s">
        <v>649</v>
      </c>
      <c r="D18" s="447">
        <v>80</v>
      </c>
      <c r="E18" s="385"/>
      <c r="F18" s="314"/>
      <c r="G18">
        <v>1000</v>
      </c>
      <c r="H18">
        <f t="shared" si="0"/>
        <v>0</v>
      </c>
    </row>
    <row r="19" spans="1:8" ht="17.25" thickBot="1">
      <c r="A19" s="694">
        <v>14</v>
      </c>
      <c r="B19" s="446" t="s">
        <v>205</v>
      </c>
      <c r="C19" s="447" t="s">
        <v>649</v>
      </c>
      <c r="D19" s="799"/>
      <c r="E19" s="447">
        <v>120</v>
      </c>
      <c r="F19" s="314"/>
      <c r="G19">
        <v>1000</v>
      </c>
      <c r="H19">
        <f t="shared" si="0"/>
        <v>120000</v>
      </c>
    </row>
    <row r="20" spans="1:8" ht="17.25" thickBot="1">
      <c r="A20" s="694">
        <v>15</v>
      </c>
      <c r="B20" s="446" t="s">
        <v>721</v>
      </c>
      <c r="C20" s="447" t="s">
        <v>649</v>
      </c>
      <c r="D20" s="799"/>
      <c r="E20" s="447">
        <v>30</v>
      </c>
      <c r="F20" s="314"/>
      <c r="G20">
        <v>1000</v>
      </c>
      <c r="H20">
        <f t="shared" si="0"/>
        <v>30000</v>
      </c>
    </row>
    <row r="21" spans="1:8" ht="15.75" thickBot="1">
      <c r="A21" s="694">
        <v>16</v>
      </c>
      <c r="B21" s="446" t="s">
        <v>683</v>
      </c>
      <c r="C21" s="447" t="s">
        <v>646</v>
      </c>
      <c r="D21" s="447">
        <v>10</v>
      </c>
      <c r="E21" s="314"/>
      <c r="F21" s="314"/>
      <c r="G21">
        <v>1000</v>
      </c>
      <c r="H21">
        <f t="shared" si="0"/>
        <v>0</v>
      </c>
    </row>
    <row r="22" spans="1:8" ht="15.75" thickBot="1">
      <c r="A22" s="694">
        <v>17</v>
      </c>
      <c r="B22" s="446" t="s">
        <v>647</v>
      </c>
      <c r="C22" s="447" t="s">
        <v>646</v>
      </c>
      <c r="D22" s="447">
        <v>20</v>
      </c>
      <c r="E22" s="314"/>
      <c r="F22" s="314"/>
      <c r="G22">
        <v>1000</v>
      </c>
      <c r="H22">
        <f t="shared" si="0"/>
        <v>0</v>
      </c>
    </row>
    <row r="23" spans="1:8" ht="17.25" thickBot="1">
      <c r="A23" s="694">
        <v>18</v>
      </c>
      <c r="B23" s="446" t="s">
        <v>168</v>
      </c>
      <c r="C23" s="447" t="s">
        <v>646</v>
      </c>
      <c r="D23" s="799"/>
      <c r="E23" s="447">
        <v>90</v>
      </c>
      <c r="F23" s="314"/>
      <c r="G23">
        <v>1000</v>
      </c>
      <c r="H23">
        <f t="shared" si="0"/>
        <v>90000</v>
      </c>
    </row>
    <row r="24" spans="1:8" ht="17.25" thickBot="1">
      <c r="A24" s="694">
        <v>19</v>
      </c>
      <c r="B24" s="446" t="s">
        <v>148</v>
      </c>
      <c r="C24" s="447" t="s">
        <v>646</v>
      </c>
      <c r="D24" s="799"/>
      <c r="E24" s="447">
        <v>50</v>
      </c>
      <c r="F24" s="314"/>
      <c r="G24">
        <v>1000</v>
      </c>
      <c r="H24">
        <f t="shared" si="0"/>
        <v>50000</v>
      </c>
    </row>
    <row r="25" spans="1:8" ht="17.25" thickBot="1">
      <c r="A25" s="694">
        <v>20</v>
      </c>
      <c r="B25" s="446" t="s">
        <v>725</v>
      </c>
      <c r="C25" s="447" t="s">
        <v>646</v>
      </c>
      <c r="D25" s="799"/>
      <c r="E25" s="447">
        <v>20</v>
      </c>
      <c r="F25" s="314"/>
      <c r="G25">
        <v>1000</v>
      </c>
      <c r="H25">
        <f t="shared" si="0"/>
        <v>20000</v>
      </c>
    </row>
    <row r="26" spans="1:8" ht="17.25" thickBot="1">
      <c r="A26" s="694">
        <v>21</v>
      </c>
      <c r="B26" s="1003" t="s">
        <v>1434</v>
      </c>
      <c r="C26" s="447" t="s">
        <v>646</v>
      </c>
      <c r="D26" s="799"/>
      <c r="E26" s="447">
        <v>40</v>
      </c>
      <c r="F26" s="314"/>
      <c r="G26">
        <v>1000</v>
      </c>
      <c r="H26">
        <f t="shared" si="0"/>
        <v>40000</v>
      </c>
    </row>
    <row r="27" spans="1:8" ht="15.75" thickBot="1">
      <c r="A27" s="694">
        <v>22</v>
      </c>
      <c r="B27" s="446" t="s">
        <v>728</v>
      </c>
      <c r="C27" s="447" t="s">
        <v>650</v>
      </c>
      <c r="D27" s="447">
        <v>40</v>
      </c>
      <c r="E27" s="314"/>
      <c r="F27" s="314"/>
      <c r="G27">
        <v>1000</v>
      </c>
      <c r="H27">
        <f t="shared" si="0"/>
        <v>0</v>
      </c>
    </row>
    <row r="28" spans="1:8" ht="15.75" thickBot="1">
      <c r="A28" s="694">
        <v>23</v>
      </c>
      <c r="B28" s="446" t="s">
        <v>652</v>
      </c>
      <c r="C28" s="447" t="s">
        <v>650</v>
      </c>
      <c r="D28" s="447">
        <v>30</v>
      </c>
      <c r="E28" s="314"/>
      <c r="F28" s="314"/>
      <c r="G28">
        <v>1000</v>
      </c>
      <c r="H28">
        <f t="shared" si="0"/>
        <v>0</v>
      </c>
    </row>
    <row r="29" spans="1:8" ht="15.75" thickBot="1">
      <c r="A29" s="694">
        <v>24</v>
      </c>
      <c r="B29" s="446" t="s">
        <v>651</v>
      </c>
      <c r="C29" s="447" t="s">
        <v>650</v>
      </c>
      <c r="D29" s="447">
        <v>50</v>
      </c>
      <c r="E29" s="314"/>
      <c r="F29" s="314"/>
      <c r="G29">
        <v>1000</v>
      </c>
      <c r="H29">
        <f t="shared" si="0"/>
        <v>0</v>
      </c>
    </row>
    <row r="30" spans="1:8" ht="17.25" thickBot="1">
      <c r="A30" s="694">
        <v>25</v>
      </c>
      <c r="B30" s="446" t="s">
        <v>688</v>
      </c>
      <c r="C30" s="447" t="s">
        <v>650</v>
      </c>
      <c r="D30" s="447">
        <v>60</v>
      </c>
      <c r="E30" s="385"/>
      <c r="F30" s="314"/>
      <c r="G30">
        <v>1000</v>
      </c>
      <c r="H30">
        <f t="shared" si="0"/>
        <v>0</v>
      </c>
    </row>
    <row r="31" spans="1:8" ht="17.25" thickBot="1">
      <c r="A31" s="694">
        <v>26</v>
      </c>
      <c r="B31" s="446" t="s">
        <v>91</v>
      </c>
      <c r="C31" s="447" t="s">
        <v>650</v>
      </c>
      <c r="D31" s="799"/>
      <c r="E31" s="449">
        <v>20</v>
      </c>
      <c r="F31" s="314"/>
      <c r="G31">
        <v>1000</v>
      </c>
      <c r="H31">
        <f t="shared" si="0"/>
        <v>20000</v>
      </c>
    </row>
    <row r="32" spans="1:8" ht="17.25" thickBot="1">
      <c r="A32" s="309">
        <v>27</v>
      </c>
      <c r="B32" s="446" t="s">
        <v>658</v>
      </c>
      <c r="C32" s="447" t="s">
        <v>653</v>
      </c>
      <c r="D32" s="447">
        <v>40</v>
      </c>
      <c r="E32" s="385"/>
      <c r="F32" s="314"/>
      <c r="G32">
        <v>1000</v>
      </c>
      <c r="H32">
        <f t="shared" si="0"/>
        <v>0</v>
      </c>
    </row>
    <row r="33" spans="1:8" ht="17.25" thickBot="1">
      <c r="A33" s="309">
        <v>28</v>
      </c>
      <c r="B33" s="446" t="s">
        <v>730</v>
      </c>
      <c r="C33" s="447" t="s">
        <v>653</v>
      </c>
      <c r="D33" s="447">
        <v>40</v>
      </c>
      <c r="E33" s="385"/>
      <c r="F33" s="314"/>
      <c r="G33">
        <v>1000</v>
      </c>
      <c r="H33">
        <f t="shared" si="0"/>
        <v>0</v>
      </c>
    </row>
    <row r="34" spans="1:8" ht="17.25" thickBot="1">
      <c r="A34" s="309">
        <v>29</v>
      </c>
      <c r="B34" s="446" t="s">
        <v>659</v>
      </c>
      <c r="C34" s="447" t="s">
        <v>653</v>
      </c>
      <c r="D34" s="447">
        <v>10</v>
      </c>
      <c r="E34" s="385"/>
      <c r="F34" s="314"/>
      <c r="G34">
        <v>1000</v>
      </c>
      <c r="H34">
        <f t="shared" si="0"/>
        <v>0</v>
      </c>
    </row>
    <row r="35" spans="1:8" ht="17.25" thickBot="1">
      <c r="A35" s="309">
        <v>30</v>
      </c>
      <c r="B35" s="446" t="s">
        <v>147</v>
      </c>
      <c r="C35" s="447" t="s">
        <v>653</v>
      </c>
      <c r="D35" s="799"/>
      <c r="E35" s="447">
        <v>10</v>
      </c>
      <c r="F35" s="314"/>
      <c r="G35">
        <v>1000</v>
      </c>
      <c r="H35">
        <f t="shared" si="0"/>
        <v>10000</v>
      </c>
    </row>
    <row r="36" spans="1:8" ht="17.25" thickBot="1">
      <c r="A36" s="309">
        <v>31</v>
      </c>
      <c r="B36" s="446" t="s">
        <v>56</v>
      </c>
      <c r="C36" s="447" t="s">
        <v>653</v>
      </c>
      <c r="D36" s="799"/>
      <c r="E36" s="447">
        <v>20</v>
      </c>
      <c r="F36" s="314"/>
      <c r="G36">
        <v>1000</v>
      </c>
      <c r="H36">
        <f t="shared" si="0"/>
        <v>20000</v>
      </c>
    </row>
    <row r="37" spans="1:8" ht="17.25" thickBot="1">
      <c r="A37" s="309">
        <v>32</v>
      </c>
      <c r="B37" s="446" t="s">
        <v>690</v>
      </c>
      <c r="C37" s="447" t="s">
        <v>653</v>
      </c>
      <c r="D37" s="799"/>
      <c r="E37" s="447">
        <v>20</v>
      </c>
      <c r="F37" s="314"/>
      <c r="G37">
        <v>1000</v>
      </c>
      <c r="H37">
        <f t="shared" si="0"/>
        <v>20000</v>
      </c>
    </row>
    <row r="38" spans="1:8" ht="15.75" thickBot="1">
      <c r="A38" s="309">
        <v>33</v>
      </c>
      <c r="B38" s="446" t="s">
        <v>670</v>
      </c>
      <c r="C38" s="447" t="s">
        <v>668</v>
      </c>
      <c r="D38" s="447">
        <v>50</v>
      </c>
      <c r="E38" s="314"/>
      <c r="F38" s="314"/>
      <c r="G38">
        <v>1000</v>
      </c>
      <c r="H38">
        <f t="shared" si="0"/>
        <v>0</v>
      </c>
    </row>
    <row r="39" spans="1:8" ht="15.75" thickBot="1">
      <c r="A39" s="309">
        <v>34</v>
      </c>
      <c r="B39" s="446" t="s">
        <v>672</v>
      </c>
      <c r="C39" s="447" t="s">
        <v>668</v>
      </c>
      <c r="D39" s="447">
        <v>50</v>
      </c>
      <c r="E39" s="314"/>
      <c r="F39" s="314"/>
      <c r="G39">
        <v>1000</v>
      </c>
      <c r="H39">
        <f t="shared" si="0"/>
        <v>0</v>
      </c>
    </row>
    <row r="40" spans="1:8" ht="17.25" thickBot="1">
      <c r="A40" s="309">
        <v>35</v>
      </c>
      <c r="B40" s="446" t="s">
        <v>671</v>
      </c>
      <c r="C40" s="447" t="s">
        <v>668</v>
      </c>
      <c r="D40" s="447">
        <v>30</v>
      </c>
      <c r="E40" s="385"/>
      <c r="F40" s="314"/>
      <c r="G40">
        <v>1000</v>
      </c>
      <c r="H40">
        <f t="shared" si="0"/>
        <v>0</v>
      </c>
    </row>
    <row r="41" spans="1:8" ht="17.25" thickBot="1">
      <c r="A41" s="309">
        <v>36</v>
      </c>
      <c r="B41" s="446" t="s">
        <v>732</v>
      </c>
      <c r="C41" s="447" t="s">
        <v>668</v>
      </c>
      <c r="D41" s="447">
        <v>50</v>
      </c>
      <c r="E41" s="385"/>
      <c r="F41" s="314"/>
      <c r="G41">
        <v>1000</v>
      </c>
      <c r="H41">
        <f t="shared" si="0"/>
        <v>0</v>
      </c>
    </row>
    <row r="42" spans="1:8" ht="17.25" thickBot="1">
      <c r="A42" s="309">
        <v>37</v>
      </c>
      <c r="B42" s="446" t="s">
        <v>692</v>
      </c>
      <c r="C42" s="447" t="s">
        <v>668</v>
      </c>
      <c r="D42" s="447">
        <v>20</v>
      </c>
      <c r="E42" s="385"/>
      <c r="F42" s="314"/>
      <c r="G42">
        <v>1000</v>
      </c>
      <c r="H42">
        <f t="shared" si="0"/>
        <v>0</v>
      </c>
    </row>
    <row r="43" spans="1:8" ht="17.25" thickBot="1">
      <c r="A43" s="309">
        <v>38</v>
      </c>
      <c r="B43" s="446" t="s">
        <v>213</v>
      </c>
      <c r="C43" s="447" t="s">
        <v>668</v>
      </c>
      <c r="D43" s="799"/>
      <c r="E43" s="449">
        <v>30</v>
      </c>
      <c r="F43" s="314"/>
      <c r="G43">
        <v>1000</v>
      </c>
      <c r="H43">
        <f t="shared" si="0"/>
        <v>30000</v>
      </c>
    </row>
    <row r="44" spans="1:8" ht="15.75" thickBot="1">
      <c r="A44" s="309">
        <v>39</v>
      </c>
      <c r="B44" s="446" t="s">
        <v>741</v>
      </c>
      <c r="C44" s="447" t="s">
        <v>674</v>
      </c>
      <c r="D44" s="447">
        <v>40</v>
      </c>
      <c r="E44" s="314"/>
      <c r="F44" s="314"/>
      <c r="G44">
        <v>1000</v>
      </c>
      <c r="H44">
        <f t="shared" si="0"/>
        <v>0</v>
      </c>
    </row>
    <row r="45" spans="1:8" ht="15.75" thickBot="1">
      <c r="A45" s="309">
        <v>40</v>
      </c>
      <c r="B45" s="446" t="s">
        <v>675</v>
      </c>
      <c r="C45" s="447" t="s">
        <v>674</v>
      </c>
      <c r="D45" s="447">
        <v>30</v>
      </c>
      <c r="E45" s="314"/>
      <c r="F45" s="314"/>
      <c r="G45">
        <v>1000</v>
      </c>
      <c r="H45">
        <f t="shared" si="0"/>
        <v>0</v>
      </c>
    </row>
    <row r="46" spans="1:8" ht="17.25" thickBot="1">
      <c r="A46" s="309">
        <v>41</v>
      </c>
      <c r="B46" s="446" t="s">
        <v>182</v>
      </c>
      <c r="C46" s="447" t="s">
        <v>674</v>
      </c>
      <c r="D46" s="799"/>
      <c r="E46" s="447">
        <v>10</v>
      </c>
      <c r="F46" s="314"/>
      <c r="G46">
        <v>1000</v>
      </c>
      <c r="H46">
        <f t="shared" si="0"/>
        <v>10000</v>
      </c>
    </row>
    <row r="47" spans="1:8" ht="17.25" thickBot="1">
      <c r="A47" s="309">
        <v>42</v>
      </c>
      <c r="B47" s="446" t="s">
        <v>150</v>
      </c>
      <c r="C47" s="447" t="s">
        <v>674</v>
      </c>
      <c r="D47" s="799"/>
      <c r="E47" s="447">
        <v>40</v>
      </c>
      <c r="F47" s="314"/>
      <c r="G47">
        <v>1000</v>
      </c>
      <c r="H47">
        <f t="shared" si="0"/>
        <v>40000</v>
      </c>
    </row>
    <row r="48" spans="1:8" ht="17.25" thickBot="1">
      <c r="A48" s="309">
        <v>43</v>
      </c>
      <c r="B48" s="446" t="s">
        <v>149</v>
      </c>
      <c r="C48" s="447" t="s">
        <v>674</v>
      </c>
      <c r="D48" s="799"/>
      <c r="E48" s="447">
        <v>10</v>
      </c>
      <c r="F48" s="314"/>
      <c r="G48">
        <v>1000</v>
      </c>
      <c r="H48">
        <f t="shared" si="0"/>
        <v>10000</v>
      </c>
    </row>
    <row r="49" spans="1:8" ht="17.25" thickBot="1">
      <c r="A49" s="309">
        <v>44</v>
      </c>
      <c r="B49" s="446" t="s">
        <v>72</v>
      </c>
      <c r="C49" s="447" t="s">
        <v>674</v>
      </c>
      <c r="D49" s="799"/>
      <c r="E49" s="447">
        <v>20</v>
      </c>
      <c r="F49" s="314"/>
      <c r="G49">
        <v>1000</v>
      </c>
      <c r="H49">
        <f t="shared" si="0"/>
        <v>20000</v>
      </c>
    </row>
    <row r="50" spans="1:8" ht="15.75" thickBot="1">
      <c r="A50" s="700" t="s">
        <v>758</v>
      </c>
      <c r="B50" s="701"/>
      <c r="C50" s="318"/>
      <c r="D50" s="696" t="s">
        <v>1536</v>
      </c>
      <c r="E50" s="696">
        <v>650</v>
      </c>
      <c r="F50" s="696"/>
      <c r="G50">
        <v>1000</v>
      </c>
      <c r="H50">
        <f t="shared" si="0"/>
        <v>650000</v>
      </c>
    </row>
    <row r="51" spans="1:8" ht="15.75" customHeight="1" thickBot="1">
      <c r="A51" s="700" t="s">
        <v>864</v>
      </c>
      <c r="B51" s="701"/>
      <c r="C51" s="318"/>
      <c r="D51" s="700" t="s">
        <v>1537</v>
      </c>
      <c r="E51" s="701"/>
      <c r="F51" s="697"/>
      <c r="G51">
        <v>1000</v>
      </c>
      <c r="H51">
        <f t="shared" si="0"/>
        <v>0</v>
      </c>
    </row>
    <row r="52" spans="1:8">
      <c r="A52" s="284"/>
      <c r="G52">
        <v>1000</v>
      </c>
      <c r="H52">
        <f t="shared" si="0"/>
        <v>0</v>
      </c>
    </row>
    <row r="53" spans="1:8" ht="15.75">
      <c r="A53" s="205" t="s">
        <v>678</v>
      </c>
      <c r="G53">
        <v>1000</v>
      </c>
      <c r="H53">
        <f t="shared" si="0"/>
        <v>0</v>
      </c>
    </row>
    <row r="54" spans="1:8" ht="15.75">
      <c r="A54" s="205"/>
      <c r="G54">
        <v>1000</v>
      </c>
      <c r="H54">
        <f t="shared" si="0"/>
        <v>0</v>
      </c>
    </row>
    <row r="55" spans="1:8">
      <c r="A55" s="686" t="s">
        <v>1502</v>
      </c>
      <c r="G55">
        <v>1000</v>
      </c>
      <c r="H55">
        <f t="shared" si="0"/>
        <v>0</v>
      </c>
    </row>
    <row r="56" spans="1:8" ht="15.75">
      <c r="A56" s="232" t="s">
        <v>1535</v>
      </c>
      <c r="G56">
        <v>1000</v>
      </c>
      <c r="H56">
        <f t="shared" si="0"/>
        <v>0</v>
      </c>
    </row>
    <row r="57" spans="1:8" ht="16.5" thickBot="1">
      <c r="A57" s="232"/>
      <c r="G57">
        <v>1000</v>
      </c>
      <c r="H57">
        <f t="shared" si="0"/>
        <v>0</v>
      </c>
    </row>
    <row r="58" spans="1:8" ht="28.5" customHeight="1" thickBot="1">
      <c r="A58" s="939" t="s">
        <v>0</v>
      </c>
      <c r="B58" s="939" t="s">
        <v>121</v>
      </c>
      <c r="C58" s="939" t="s">
        <v>632</v>
      </c>
      <c r="D58" s="941" t="s">
        <v>894</v>
      </c>
      <c r="E58" s="942"/>
      <c r="F58" s="939" t="s">
        <v>699</v>
      </c>
      <c r="G58">
        <v>1000</v>
      </c>
      <c r="H58">
        <f t="shared" si="0"/>
        <v>0</v>
      </c>
    </row>
    <row r="59" spans="1:8" ht="15.75" thickBot="1">
      <c r="A59" s="943"/>
      <c r="B59" s="943"/>
      <c r="C59" s="943"/>
      <c r="D59" s="940" t="s">
        <v>828</v>
      </c>
      <c r="E59" s="940" t="s">
        <v>829</v>
      </c>
      <c r="F59" s="943"/>
      <c r="G59">
        <v>1000</v>
      </c>
      <c r="H59" t="e">
        <f t="shared" si="0"/>
        <v>#VALUE!</v>
      </c>
    </row>
    <row r="60" spans="1:8" ht="17.25" thickBot="1">
      <c r="A60" s="980">
        <v>1</v>
      </c>
      <c r="B60" s="446" t="s">
        <v>686</v>
      </c>
      <c r="C60" s="799" t="s">
        <v>649</v>
      </c>
      <c r="D60" s="800">
        <v>200000</v>
      </c>
      <c r="E60" s="312"/>
      <c r="F60" s="799" t="s">
        <v>1504</v>
      </c>
      <c r="G60">
        <v>1000</v>
      </c>
      <c r="H60">
        <f t="shared" si="0"/>
        <v>0</v>
      </c>
    </row>
    <row r="61" spans="1:8" ht="17.25" thickBot="1">
      <c r="A61" s="992" t="s">
        <v>758</v>
      </c>
      <c r="B61" s="993"/>
      <c r="C61" s="981"/>
      <c r="D61" s="982">
        <v>200000</v>
      </c>
      <c r="E61" s="983"/>
      <c r="F61" s="983"/>
      <c r="G61">
        <v>1000</v>
      </c>
      <c r="H61">
        <f t="shared" si="0"/>
        <v>0</v>
      </c>
    </row>
    <row r="62" spans="1:8" ht="17.25" customHeight="1" thickBot="1">
      <c r="A62" s="992" t="s">
        <v>864</v>
      </c>
      <c r="B62" s="993"/>
      <c r="C62" s="981"/>
      <c r="D62" s="994">
        <v>200000</v>
      </c>
      <c r="E62" s="995"/>
      <c r="F62" s="984"/>
      <c r="G62">
        <v>1000</v>
      </c>
      <c r="H62">
        <f t="shared" si="0"/>
        <v>0</v>
      </c>
    </row>
    <row r="63" spans="1:8">
      <c r="A63" s="244"/>
      <c r="G63">
        <v>1000</v>
      </c>
      <c r="H63">
        <f t="shared" si="0"/>
        <v>0</v>
      </c>
    </row>
    <row r="64" spans="1:8" ht="15.75">
      <c r="A64" s="205" t="s">
        <v>696</v>
      </c>
      <c r="G64">
        <v>1000</v>
      </c>
      <c r="H64">
        <f t="shared" si="0"/>
        <v>0</v>
      </c>
    </row>
    <row r="65" spans="1:8" ht="15.75">
      <c r="A65" s="205"/>
      <c r="G65">
        <v>1000</v>
      </c>
      <c r="H65">
        <f t="shared" si="0"/>
        <v>0</v>
      </c>
    </row>
    <row r="66" spans="1:8">
      <c r="A66" s="686" t="s">
        <v>1506</v>
      </c>
      <c r="G66">
        <v>1000</v>
      </c>
      <c r="H66">
        <f t="shared" si="0"/>
        <v>0</v>
      </c>
    </row>
    <row r="67" spans="1:8" ht="16.5" thickBot="1">
      <c r="A67" s="232" t="s">
        <v>1535</v>
      </c>
      <c r="G67">
        <v>1000</v>
      </c>
      <c r="H67">
        <f t="shared" si="0"/>
        <v>0</v>
      </c>
    </row>
    <row r="68" spans="1:8" ht="28.5" customHeight="1" thickBot="1">
      <c r="A68" s="939" t="s">
        <v>0</v>
      </c>
      <c r="B68" s="939" t="s">
        <v>121</v>
      </c>
      <c r="C68" s="939" t="s">
        <v>632</v>
      </c>
      <c r="D68" s="941" t="s">
        <v>894</v>
      </c>
      <c r="E68" s="942"/>
      <c r="F68" s="939" t="s">
        <v>699</v>
      </c>
      <c r="G68">
        <v>1000</v>
      </c>
      <c r="H68">
        <f t="shared" si="0"/>
        <v>0</v>
      </c>
    </row>
    <row r="69" spans="1:8" ht="15.75" thickBot="1">
      <c r="A69" s="943"/>
      <c r="B69" s="943"/>
      <c r="C69" s="943"/>
      <c r="D69" s="940" t="s">
        <v>828</v>
      </c>
      <c r="E69" s="940" t="s">
        <v>829</v>
      </c>
      <c r="F69" s="943"/>
      <c r="G69">
        <v>1000</v>
      </c>
      <c r="H69" t="e">
        <f t="shared" si="0"/>
        <v>#VALUE!</v>
      </c>
    </row>
    <row r="70" spans="1:8" ht="15.75" thickBot="1">
      <c r="A70" s="706">
        <v>1</v>
      </c>
      <c r="B70" s="383" t="s">
        <v>744</v>
      </c>
      <c r="C70" s="384" t="s">
        <v>636</v>
      </c>
      <c r="D70" s="314">
        <v>180</v>
      </c>
      <c r="E70" s="710"/>
      <c r="F70" s="710"/>
      <c r="G70">
        <v>1000</v>
      </c>
      <c r="H70">
        <f t="shared" si="0"/>
        <v>0</v>
      </c>
    </row>
    <row r="71" spans="1:8" ht="15.75" thickBot="1">
      <c r="A71" s="706">
        <v>2</v>
      </c>
      <c r="B71" s="383" t="s">
        <v>641</v>
      </c>
      <c r="C71" s="384" t="s">
        <v>636</v>
      </c>
      <c r="D71" s="314">
        <v>60</v>
      </c>
      <c r="E71" s="710"/>
      <c r="F71" s="710"/>
      <c r="G71">
        <v>1000</v>
      </c>
      <c r="H71">
        <f t="shared" ref="H71:H134" si="1">E71*G71</f>
        <v>0</v>
      </c>
    </row>
    <row r="72" spans="1:8" ht="17.25" thickBot="1">
      <c r="A72" s="706">
        <v>3</v>
      </c>
      <c r="B72" s="383" t="s">
        <v>96</v>
      </c>
      <c r="C72" s="384" t="s">
        <v>636</v>
      </c>
      <c r="D72" s="312"/>
      <c r="E72" s="314">
        <v>170</v>
      </c>
      <c r="F72" s="710"/>
      <c r="G72">
        <v>1000</v>
      </c>
      <c r="H72">
        <f t="shared" si="1"/>
        <v>170000</v>
      </c>
    </row>
    <row r="73" spans="1:8" ht="17.25" thickBot="1">
      <c r="A73" s="706">
        <v>4</v>
      </c>
      <c r="B73" s="383" t="s">
        <v>210</v>
      </c>
      <c r="C73" s="384" t="s">
        <v>636</v>
      </c>
      <c r="D73" s="312"/>
      <c r="E73" s="314">
        <v>250</v>
      </c>
      <c r="F73" s="710"/>
      <c r="G73">
        <v>1000</v>
      </c>
      <c r="H73">
        <f t="shared" si="1"/>
        <v>250000</v>
      </c>
    </row>
    <row r="74" spans="1:8" ht="17.25" thickBot="1">
      <c r="A74" s="706">
        <v>5</v>
      </c>
      <c r="B74" s="383" t="s">
        <v>98</v>
      </c>
      <c r="C74" s="384" t="s">
        <v>636</v>
      </c>
      <c r="D74" s="312"/>
      <c r="E74" s="314">
        <v>70</v>
      </c>
      <c r="F74" s="710"/>
      <c r="G74">
        <v>1000</v>
      </c>
      <c r="H74">
        <f t="shared" si="1"/>
        <v>70000</v>
      </c>
    </row>
    <row r="75" spans="1:8" ht="17.25" thickBot="1">
      <c r="A75" s="706">
        <v>6</v>
      </c>
      <c r="B75" s="383" t="s">
        <v>106</v>
      </c>
      <c r="C75" s="384" t="s">
        <v>636</v>
      </c>
      <c r="D75" s="312"/>
      <c r="E75" s="314">
        <v>10</v>
      </c>
      <c r="F75" s="710"/>
      <c r="G75">
        <v>1000</v>
      </c>
      <c r="H75">
        <f t="shared" si="1"/>
        <v>10000</v>
      </c>
    </row>
    <row r="76" spans="1:8" ht="15.75" thickBot="1">
      <c r="A76" s="706">
        <v>7</v>
      </c>
      <c r="B76" s="383" t="s">
        <v>715</v>
      </c>
      <c r="C76" s="384" t="s">
        <v>642</v>
      </c>
      <c r="D76" s="314">
        <v>20</v>
      </c>
      <c r="E76" s="710"/>
      <c r="F76" s="710"/>
      <c r="G76">
        <v>1000</v>
      </c>
      <c r="H76">
        <f t="shared" si="1"/>
        <v>0</v>
      </c>
    </row>
    <row r="77" spans="1:8" ht="17.25" thickBot="1">
      <c r="A77" s="706">
        <v>8</v>
      </c>
      <c r="B77" s="383" t="s">
        <v>153</v>
      </c>
      <c r="C77" s="384" t="s">
        <v>642</v>
      </c>
      <c r="D77" s="312"/>
      <c r="E77" s="314">
        <v>20</v>
      </c>
      <c r="F77" s="710"/>
      <c r="G77">
        <v>1000</v>
      </c>
      <c r="H77">
        <f t="shared" si="1"/>
        <v>20000</v>
      </c>
    </row>
    <row r="78" spans="1:8" ht="17.25" thickBot="1">
      <c r="A78" s="706">
        <v>9</v>
      </c>
      <c r="B78" s="383" t="s">
        <v>207</v>
      </c>
      <c r="C78" s="384" t="s">
        <v>642</v>
      </c>
      <c r="D78" s="312"/>
      <c r="E78" s="314">
        <v>20</v>
      </c>
      <c r="F78" s="710"/>
      <c r="G78">
        <v>1000</v>
      </c>
      <c r="H78">
        <f t="shared" si="1"/>
        <v>20000</v>
      </c>
    </row>
    <row r="79" spans="1:8" ht="17.25" thickBot="1">
      <c r="A79" s="706">
        <v>10</v>
      </c>
      <c r="B79" s="383" t="s">
        <v>716</v>
      </c>
      <c r="C79" s="384" t="s">
        <v>642</v>
      </c>
      <c r="D79" s="312"/>
      <c r="E79" s="314">
        <v>10</v>
      </c>
      <c r="F79" s="710"/>
      <c r="G79">
        <v>1000</v>
      </c>
      <c r="H79">
        <f t="shared" si="1"/>
        <v>10000</v>
      </c>
    </row>
    <row r="80" spans="1:8" ht="17.25" thickBot="1">
      <c r="A80" s="706">
        <v>11</v>
      </c>
      <c r="B80" s="383" t="s">
        <v>148</v>
      </c>
      <c r="C80" s="384" t="s">
        <v>646</v>
      </c>
      <c r="D80" s="312"/>
      <c r="E80" s="314">
        <v>10</v>
      </c>
      <c r="F80" s="710"/>
      <c r="G80">
        <v>1000</v>
      </c>
      <c r="H80">
        <f t="shared" si="1"/>
        <v>10000</v>
      </c>
    </row>
    <row r="81" spans="1:8" ht="17.25" thickBot="1">
      <c r="A81" s="706">
        <v>12</v>
      </c>
      <c r="B81" s="383" t="s">
        <v>289</v>
      </c>
      <c r="C81" s="384" t="s">
        <v>646</v>
      </c>
      <c r="D81" s="312"/>
      <c r="E81" s="314">
        <v>95</v>
      </c>
      <c r="F81" s="710"/>
      <c r="G81">
        <v>1000</v>
      </c>
      <c r="H81">
        <f t="shared" si="1"/>
        <v>95000</v>
      </c>
    </row>
    <row r="82" spans="1:8" ht="17.25" thickBot="1">
      <c r="A82" s="706">
        <v>13</v>
      </c>
      <c r="B82" s="383" t="s">
        <v>1434</v>
      </c>
      <c r="C82" s="384" t="s">
        <v>646</v>
      </c>
      <c r="D82" s="312"/>
      <c r="E82" s="314">
        <v>35</v>
      </c>
      <c r="F82" s="710"/>
      <c r="G82">
        <v>1000</v>
      </c>
      <c r="H82">
        <f t="shared" si="1"/>
        <v>35000</v>
      </c>
    </row>
    <row r="83" spans="1:8" ht="15.75" thickBot="1">
      <c r="A83" s="706">
        <v>14</v>
      </c>
      <c r="B83" s="383" t="s">
        <v>647</v>
      </c>
      <c r="C83" s="384" t="s">
        <v>646</v>
      </c>
      <c r="D83" s="314">
        <v>80</v>
      </c>
      <c r="E83" s="710"/>
      <c r="F83" s="710"/>
      <c r="G83">
        <v>1000</v>
      </c>
      <c r="H83">
        <f t="shared" si="1"/>
        <v>0</v>
      </c>
    </row>
    <row r="84" spans="1:8" ht="17.25" thickBot="1">
      <c r="A84" s="706">
        <v>15</v>
      </c>
      <c r="B84" s="383" t="s">
        <v>168</v>
      </c>
      <c r="C84" s="384" t="s">
        <v>646</v>
      </c>
      <c r="D84" s="312"/>
      <c r="E84" s="314">
        <v>80</v>
      </c>
      <c r="F84" s="710"/>
      <c r="G84">
        <v>1000</v>
      </c>
      <c r="H84">
        <f t="shared" si="1"/>
        <v>80000</v>
      </c>
    </row>
    <row r="85" spans="1:8" ht="17.25" thickBot="1">
      <c r="A85" s="706">
        <v>16</v>
      </c>
      <c r="B85" s="383" t="s">
        <v>65</v>
      </c>
      <c r="C85" s="384" t="s">
        <v>646</v>
      </c>
      <c r="D85" s="312"/>
      <c r="E85" s="314">
        <v>20</v>
      </c>
      <c r="F85" s="710"/>
      <c r="G85">
        <v>1000</v>
      </c>
      <c r="H85">
        <f t="shared" si="1"/>
        <v>20000</v>
      </c>
    </row>
    <row r="86" spans="1:8" ht="15.75" thickBot="1">
      <c r="A86" s="706">
        <v>17</v>
      </c>
      <c r="B86" s="383" t="s">
        <v>683</v>
      </c>
      <c r="C86" s="384" t="s">
        <v>646</v>
      </c>
      <c r="D86" s="314">
        <v>60</v>
      </c>
      <c r="E86" s="710"/>
      <c r="F86" s="710"/>
      <c r="G86">
        <v>1000</v>
      </c>
      <c r="H86">
        <f t="shared" si="1"/>
        <v>0</v>
      </c>
    </row>
    <row r="87" spans="1:8" ht="15.75" thickBot="1">
      <c r="A87" s="706">
        <v>18</v>
      </c>
      <c r="B87" s="383" t="s">
        <v>722</v>
      </c>
      <c r="C87" s="384" t="s">
        <v>646</v>
      </c>
      <c r="D87" s="314">
        <v>40</v>
      </c>
      <c r="E87" s="710"/>
      <c r="F87" s="710"/>
      <c r="G87">
        <v>1000</v>
      </c>
      <c r="H87">
        <f t="shared" si="1"/>
        <v>0</v>
      </c>
    </row>
    <row r="88" spans="1:8" ht="15.75" thickBot="1">
      <c r="A88" s="706">
        <v>19</v>
      </c>
      <c r="B88" s="383" t="s">
        <v>687</v>
      </c>
      <c r="C88" s="384" t="s">
        <v>649</v>
      </c>
      <c r="D88" s="314">
        <v>20</v>
      </c>
      <c r="E88" s="710"/>
      <c r="F88" s="710"/>
      <c r="G88">
        <v>1000</v>
      </c>
      <c r="H88">
        <f t="shared" si="1"/>
        <v>0</v>
      </c>
    </row>
    <row r="89" spans="1:8" ht="17.25" thickBot="1">
      <c r="A89" s="706">
        <v>20</v>
      </c>
      <c r="B89" s="383" t="s">
        <v>27</v>
      </c>
      <c r="C89" s="384" t="s">
        <v>649</v>
      </c>
      <c r="D89" s="312"/>
      <c r="E89" s="314">
        <v>50</v>
      </c>
      <c r="F89" s="710"/>
      <c r="G89">
        <v>1000</v>
      </c>
      <c r="H89">
        <f t="shared" si="1"/>
        <v>50000</v>
      </c>
    </row>
    <row r="90" spans="1:8" ht="17.25" thickBot="1">
      <c r="A90" s="706">
        <v>21</v>
      </c>
      <c r="B90" s="383" t="s">
        <v>205</v>
      </c>
      <c r="C90" s="384" t="s">
        <v>649</v>
      </c>
      <c r="D90" s="312"/>
      <c r="E90" s="314">
        <v>10</v>
      </c>
      <c r="F90" s="710"/>
      <c r="G90">
        <v>1000</v>
      </c>
      <c r="H90">
        <f t="shared" si="1"/>
        <v>10000</v>
      </c>
    </row>
    <row r="91" spans="1:8" ht="17.25" thickBot="1">
      <c r="A91" s="706">
        <v>22</v>
      </c>
      <c r="B91" s="383" t="s">
        <v>221</v>
      </c>
      <c r="C91" s="384" t="s">
        <v>649</v>
      </c>
      <c r="D91" s="312"/>
      <c r="E91" s="314">
        <v>40</v>
      </c>
      <c r="F91" s="710"/>
      <c r="G91">
        <v>1000</v>
      </c>
      <c r="H91">
        <f t="shared" si="1"/>
        <v>40000</v>
      </c>
    </row>
    <row r="92" spans="1:8" ht="15.75" thickBot="1">
      <c r="A92" s="706">
        <v>23</v>
      </c>
      <c r="B92" s="383" t="s">
        <v>686</v>
      </c>
      <c r="C92" s="384" t="s">
        <v>649</v>
      </c>
      <c r="D92" s="314">
        <v>10</v>
      </c>
      <c r="E92" s="710"/>
      <c r="F92" s="710"/>
      <c r="G92">
        <v>1000</v>
      </c>
      <c r="H92">
        <f t="shared" si="1"/>
        <v>0</v>
      </c>
    </row>
    <row r="93" spans="1:8" ht="15.75" thickBot="1">
      <c r="A93" s="706">
        <v>24</v>
      </c>
      <c r="B93" s="383" t="s">
        <v>688</v>
      </c>
      <c r="C93" s="384" t="s">
        <v>650</v>
      </c>
      <c r="D93" s="314">
        <v>100</v>
      </c>
      <c r="E93" s="710"/>
      <c r="F93" s="710"/>
      <c r="G93">
        <v>1000</v>
      </c>
      <c r="H93">
        <f t="shared" si="1"/>
        <v>0</v>
      </c>
    </row>
    <row r="94" spans="1:8" ht="15.75" thickBot="1">
      <c r="A94" s="706">
        <v>25</v>
      </c>
      <c r="B94" s="383" t="s">
        <v>728</v>
      </c>
      <c r="C94" s="384" t="s">
        <v>650</v>
      </c>
      <c r="D94" s="314">
        <v>20</v>
      </c>
      <c r="E94" s="710"/>
      <c r="F94" s="710"/>
      <c r="G94">
        <v>1000</v>
      </c>
      <c r="H94">
        <f t="shared" si="1"/>
        <v>0</v>
      </c>
    </row>
    <row r="95" spans="1:8" ht="17.25" thickBot="1">
      <c r="A95" s="706">
        <v>26</v>
      </c>
      <c r="B95" s="383" t="s">
        <v>269</v>
      </c>
      <c r="C95" s="384" t="s">
        <v>650</v>
      </c>
      <c r="D95" s="312"/>
      <c r="E95" s="314">
        <v>80</v>
      </c>
      <c r="F95" s="710"/>
      <c r="G95">
        <v>1000</v>
      </c>
      <c r="H95">
        <f t="shared" si="1"/>
        <v>80000</v>
      </c>
    </row>
    <row r="96" spans="1:8" ht="17.25" thickBot="1">
      <c r="A96" s="985">
        <v>27</v>
      </c>
      <c r="B96" s="383" t="s">
        <v>91</v>
      </c>
      <c r="C96" s="384" t="s">
        <v>650</v>
      </c>
      <c r="D96" s="312"/>
      <c r="E96" s="314">
        <v>20</v>
      </c>
      <c r="F96" s="710"/>
      <c r="G96">
        <v>1000</v>
      </c>
      <c r="H96">
        <f t="shared" si="1"/>
        <v>20000</v>
      </c>
    </row>
    <row r="97" spans="1:8" ht="17.25" thickBot="1">
      <c r="A97" s="985">
        <v>28</v>
      </c>
      <c r="B97" s="383" t="s">
        <v>83</v>
      </c>
      <c r="C97" s="384" t="s">
        <v>650</v>
      </c>
      <c r="D97" s="312"/>
      <c r="E97" s="314">
        <v>20</v>
      </c>
      <c r="F97" s="710"/>
      <c r="G97">
        <v>1000</v>
      </c>
      <c r="H97">
        <f t="shared" si="1"/>
        <v>20000</v>
      </c>
    </row>
    <row r="98" spans="1:8" ht="15.75" thickBot="1">
      <c r="A98" s="985">
        <v>29</v>
      </c>
      <c r="B98" s="383" t="s">
        <v>748</v>
      </c>
      <c r="C98" s="384" t="s">
        <v>746</v>
      </c>
      <c r="D98" s="314">
        <v>10</v>
      </c>
      <c r="E98" s="711"/>
      <c r="F98" s="710"/>
      <c r="G98">
        <v>1000</v>
      </c>
      <c r="H98">
        <f t="shared" si="1"/>
        <v>0</v>
      </c>
    </row>
    <row r="99" spans="1:8" ht="17.25" thickBot="1">
      <c r="A99" s="985">
        <v>30</v>
      </c>
      <c r="B99" s="383" t="s">
        <v>60</v>
      </c>
      <c r="C99" s="384" t="s">
        <v>653</v>
      </c>
      <c r="D99" s="312"/>
      <c r="E99" s="314">
        <v>70</v>
      </c>
      <c r="F99" s="710"/>
      <c r="G99">
        <v>1000</v>
      </c>
      <c r="H99">
        <f t="shared" si="1"/>
        <v>70000</v>
      </c>
    </row>
    <row r="100" spans="1:8" ht="17.25" thickBot="1">
      <c r="A100" s="985">
        <v>31</v>
      </c>
      <c r="B100" s="383" t="s">
        <v>48</v>
      </c>
      <c r="C100" s="384" t="s">
        <v>653</v>
      </c>
      <c r="D100" s="312"/>
      <c r="E100" s="314">
        <v>140</v>
      </c>
      <c r="F100" s="710"/>
      <c r="G100">
        <v>1000</v>
      </c>
      <c r="H100">
        <f t="shared" si="1"/>
        <v>140000</v>
      </c>
    </row>
    <row r="101" spans="1:8" ht="17.25" thickBot="1">
      <c r="A101" s="985">
        <v>32</v>
      </c>
      <c r="B101" s="383" t="s">
        <v>690</v>
      </c>
      <c r="C101" s="384" t="s">
        <v>653</v>
      </c>
      <c r="D101" s="312"/>
      <c r="E101" s="314">
        <v>40</v>
      </c>
      <c r="F101" s="710"/>
      <c r="G101">
        <v>1000</v>
      </c>
      <c r="H101">
        <f t="shared" si="1"/>
        <v>40000</v>
      </c>
    </row>
    <row r="102" spans="1:8" ht="15.75" thickBot="1">
      <c r="A102" s="985">
        <v>33</v>
      </c>
      <c r="B102" s="383" t="s">
        <v>689</v>
      </c>
      <c r="C102" s="384" t="s">
        <v>653</v>
      </c>
      <c r="D102" s="314">
        <v>30</v>
      </c>
      <c r="E102" s="710"/>
      <c r="F102" s="710"/>
      <c r="G102">
        <v>1000</v>
      </c>
      <c r="H102">
        <f t="shared" si="1"/>
        <v>0</v>
      </c>
    </row>
    <row r="103" spans="1:8" ht="17.25" thickBot="1">
      <c r="A103" s="985">
        <v>34</v>
      </c>
      <c r="B103" s="383" t="s">
        <v>138</v>
      </c>
      <c r="C103" s="384" t="s">
        <v>653</v>
      </c>
      <c r="D103" s="312"/>
      <c r="E103" s="314">
        <v>55</v>
      </c>
      <c r="F103" s="710"/>
      <c r="G103">
        <v>1000</v>
      </c>
      <c r="H103">
        <f t="shared" si="1"/>
        <v>55000</v>
      </c>
    </row>
    <row r="104" spans="1:8" ht="17.25" thickBot="1">
      <c r="A104" s="985">
        <v>35</v>
      </c>
      <c r="B104" s="383" t="s">
        <v>146</v>
      </c>
      <c r="C104" s="384" t="s">
        <v>653</v>
      </c>
      <c r="D104" s="312"/>
      <c r="E104" s="314">
        <v>40</v>
      </c>
      <c r="F104" s="710"/>
      <c r="G104">
        <v>1000</v>
      </c>
      <c r="H104">
        <f t="shared" si="1"/>
        <v>40000</v>
      </c>
    </row>
    <row r="105" spans="1:8" ht="17.25" thickBot="1">
      <c r="A105" s="985">
        <v>36</v>
      </c>
      <c r="B105" s="383" t="s">
        <v>147</v>
      </c>
      <c r="C105" s="384" t="s">
        <v>653</v>
      </c>
      <c r="D105" s="312"/>
      <c r="E105" s="314">
        <v>20</v>
      </c>
      <c r="F105" s="710"/>
      <c r="G105">
        <v>1000</v>
      </c>
      <c r="H105">
        <f t="shared" si="1"/>
        <v>20000</v>
      </c>
    </row>
    <row r="106" spans="1:8" ht="15.75" thickBot="1">
      <c r="A106" s="985">
        <v>37</v>
      </c>
      <c r="B106" s="383" t="s">
        <v>659</v>
      </c>
      <c r="C106" s="384" t="s">
        <v>653</v>
      </c>
      <c r="D106" s="314">
        <v>30</v>
      </c>
      <c r="E106" s="710"/>
      <c r="F106" s="710"/>
      <c r="G106">
        <v>1000</v>
      </c>
      <c r="H106">
        <f t="shared" si="1"/>
        <v>0</v>
      </c>
    </row>
    <row r="107" spans="1:8" ht="15.75" thickBot="1">
      <c r="A107" s="985">
        <v>38</v>
      </c>
      <c r="B107" s="383" t="s">
        <v>730</v>
      </c>
      <c r="C107" s="384" t="s">
        <v>653</v>
      </c>
      <c r="D107" s="314">
        <v>60</v>
      </c>
      <c r="E107" s="710"/>
      <c r="F107" s="710"/>
      <c r="G107">
        <v>1000</v>
      </c>
      <c r="H107">
        <f t="shared" si="1"/>
        <v>0</v>
      </c>
    </row>
    <row r="108" spans="1:8" ht="15.75" thickBot="1">
      <c r="A108" s="985">
        <v>39</v>
      </c>
      <c r="B108" s="383" t="s">
        <v>658</v>
      </c>
      <c r="C108" s="384" t="s">
        <v>653</v>
      </c>
      <c r="D108" s="314">
        <v>20</v>
      </c>
      <c r="E108" s="710"/>
      <c r="F108" s="710"/>
      <c r="G108">
        <v>1000</v>
      </c>
      <c r="H108">
        <f t="shared" si="1"/>
        <v>0</v>
      </c>
    </row>
    <row r="109" spans="1:8" ht="15.75" thickBot="1">
      <c r="A109" s="985">
        <v>40</v>
      </c>
      <c r="B109" s="383" t="s">
        <v>731</v>
      </c>
      <c r="C109" s="384" t="s">
        <v>668</v>
      </c>
      <c r="D109" s="314">
        <v>30</v>
      </c>
      <c r="E109" s="710"/>
      <c r="F109" s="710"/>
      <c r="G109">
        <v>1000</v>
      </c>
      <c r="H109">
        <f t="shared" si="1"/>
        <v>0</v>
      </c>
    </row>
    <row r="110" spans="1:8" ht="17.25" thickBot="1">
      <c r="A110" s="985">
        <v>41</v>
      </c>
      <c r="B110" s="383" t="s">
        <v>213</v>
      </c>
      <c r="C110" s="384" t="s">
        <v>668</v>
      </c>
      <c r="D110" s="312"/>
      <c r="E110" s="314">
        <v>30</v>
      </c>
      <c r="F110" s="710"/>
      <c r="G110">
        <v>1000</v>
      </c>
      <c r="H110">
        <f t="shared" si="1"/>
        <v>30000</v>
      </c>
    </row>
    <row r="111" spans="1:8" ht="17.25" thickBot="1">
      <c r="A111" s="985">
        <v>42</v>
      </c>
      <c r="B111" s="383" t="s">
        <v>295</v>
      </c>
      <c r="C111" s="384" t="s">
        <v>668</v>
      </c>
      <c r="D111" s="312"/>
      <c r="E111" s="314">
        <v>10</v>
      </c>
      <c r="F111" s="710"/>
      <c r="G111">
        <v>1000</v>
      </c>
      <c r="H111">
        <f t="shared" si="1"/>
        <v>10000</v>
      </c>
    </row>
    <row r="112" spans="1:8" ht="15.75" thickBot="1">
      <c r="A112" s="985">
        <v>43</v>
      </c>
      <c r="B112" s="383" t="s">
        <v>693</v>
      </c>
      <c r="C112" s="384" t="s">
        <v>668</v>
      </c>
      <c r="D112" s="314">
        <v>50</v>
      </c>
      <c r="E112" s="711"/>
      <c r="F112" s="710"/>
      <c r="G112">
        <v>1000</v>
      </c>
      <c r="H112">
        <f t="shared" si="1"/>
        <v>0</v>
      </c>
    </row>
    <row r="113" spans="1:8" ht="17.25" thickBot="1">
      <c r="A113" s="985">
        <v>44</v>
      </c>
      <c r="B113" s="383" t="s">
        <v>31</v>
      </c>
      <c r="C113" s="384" t="s">
        <v>668</v>
      </c>
      <c r="D113" s="312"/>
      <c r="E113" s="314">
        <v>10</v>
      </c>
      <c r="F113" s="710"/>
      <c r="G113">
        <v>1000</v>
      </c>
      <c r="H113">
        <f t="shared" si="1"/>
        <v>10000</v>
      </c>
    </row>
    <row r="114" spans="1:8" ht="17.25" thickBot="1">
      <c r="A114" s="985">
        <v>45</v>
      </c>
      <c r="B114" s="383" t="s">
        <v>1316</v>
      </c>
      <c r="C114" s="384" t="s">
        <v>668</v>
      </c>
      <c r="D114" s="312"/>
      <c r="E114" s="314">
        <v>20</v>
      </c>
      <c r="F114" s="710"/>
      <c r="G114">
        <v>1000</v>
      </c>
      <c r="H114">
        <f t="shared" si="1"/>
        <v>20000</v>
      </c>
    </row>
    <row r="115" spans="1:8" ht="15.75" thickBot="1">
      <c r="A115" s="985">
        <v>46</v>
      </c>
      <c r="B115" s="383" t="s">
        <v>692</v>
      </c>
      <c r="C115" s="384" t="s">
        <v>668</v>
      </c>
      <c r="D115" s="314">
        <v>40</v>
      </c>
      <c r="E115" s="986"/>
      <c r="F115" s="710"/>
      <c r="G115">
        <v>1000</v>
      </c>
      <c r="H115">
        <f t="shared" si="1"/>
        <v>0</v>
      </c>
    </row>
    <row r="116" spans="1:8" ht="17.25" thickBot="1">
      <c r="A116" s="985">
        <v>47</v>
      </c>
      <c r="B116" s="383" t="s">
        <v>39</v>
      </c>
      <c r="C116" s="384" t="s">
        <v>668</v>
      </c>
      <c r="D116" s="312"/>
      <c r="E116" s="314">
        <v>40</v>
      </c>
      <c r="F116" s="710"/>
      <c r="G116">
        <v>1000</v>
      </c>
      <c r="H116">
        <f t="shared" si="1"/>
        <v>40000</v>
      </c>
    </row>
    <row r="117" spans="1:8" ht="17.25" thickBot="1">
      <c r="A117" s="985">
        <v>48</v>
      </c>
      <c r="B117" s="383" t="s">
        <v>262</v>
      </c>
      <c r="C117" s="384" t="s">
        <v>668</v>
      </c>
      <c r="D117" s="312"/>
      <c r="E117" s="314">
        <v>20</v>
      </c>
      <c r="F117" s="710"/>
      <c r="G117">
        <v>1000</v>
      </c>
      <c r="H117">
        <f t="shared" si="1"/>
        <v>20000</v>
      </c>
    </row>
    <row r="118" spans="1:8" ht="17.25" thickBot="1">
      <c r="A118" s="985">
        <v>49</v>
      </c>
      <c r="B118" s="383" t="s">
        <v>29</v>
      </c>
      <c r="C118" s="384" t="s">
        <v>668</v>
      </c>
      <c r="D118" s="312"/>
      <c r="E118" s="314">
        <v>20</v>
      </c>
      <c r="F118" s="710"/>
      <c r="G118">
        <v>1000</v>
      </c>
      <c r="H118">
        <f t="shared" si="1"/>
        <v>20000</v>
      </c>
    </row>
    <row r="119" spans="1:8" ht="15.75" thickBot="1">
      <c r="A119" s="985">
        <v>50</v>
      </c>
      <c r="B119" s="383" t="s">
        <v>670</v>
      </c>
      <c r="C119" s="384" t="s">
        <v>668</v>
      </c>
      <c r="D119" s="314">
        <v>20</v>
      </c>
      <c r="E119" s="710"/>
      <c r="F119" s="710"/>
      <c r="G119">
        <v>1000</v>
      </c>
      <c r="H119">
        <f t="shared" si="1"/>
        <v>0</v>
      </c>
    </row>
    <row r="120" spans="1:8" ht="15.75" thickBot="1">
      <c r="A120" s="985">
        <v>51</v>
      </c>
      <c r="B120" s="383" t="s">
        <v>741</v>
      </c>
      <c r="C120" s="384" t="s">
        <v>674</v>
      </c>
      <c r="D120" s="314">
        <v>60</v>
      </c>
      <c r="E120" s="710"/>
      <c r="F120" s="710"/>
      <c r="G120">
        <v>1000</v>
      </c>
      <c r="H120">
        <f t="shared" si="1"/>
        <v>0</v>
      </c>
    </row>
    <row r="121" spans="1:8" ht="17.25" thickBot="1">
      <c r="A121" s="985">
        <v>52</v>
      </c>
      <c r="B121" s="383" t="s">
        <v>72</v>
      </c>
      <c r="C121" s="384" t="s">
        <v>674</v>
      </c>
      <c r="D121" s="312"/>
      <c r="E121" s="314">
        <v>30</v>
      </c>
      <c r="F121" s="710"/>
      <c r="G121">
        <v>1000</v>
      </c>
      <c r="H121">
        <f t="shared" si="1"/>
        <v>30000</v>
      </c>
    </row>
    <row r="122" spans="1:8" ht="15.75" thickBot="1">
      <c r="A122" s="985">
        <v>53</v>
      </c>
      <c r="B122" s="383" t="s">
        <v>742</v>
      </c>
      <c r="C122" s="384" t="s">
        <v>674</v>
      </c>
      <c r="D122" s="314">
        <v>60</v>
      </c>
      <c r="E122" s="710"/>
      <c r="F122" s="710"/>
      <c r="G122">
        <v>1000</v>
      </c>
      <c r="H122">
        <f t="shared" si="1"/>
        <v>0</v>
      </c>
    </row>
    <row r="123" spans="1:8" ht="17.25" thickBot="1">
      <c r="A123" s="985">
        <v>54</v>
      </c>
      <c r="B123" s="383" t="s">
        <v>182</v>
      </c>
      <c r="C123" s="384" t="s">
        <v>674</v>
      </c>
      <c r="D123" s="312"/>
      <c r="E123" s="314">
        <v>80</v>
      </c>
      <c r="F123" s="710"/>
      <c r="G123">
        <v>1000</v>
      </c>
      <c r="H123">
        <f t="shared" si="1"/>
        <v>80000</v>
      </c>
    </row>
    <row r="124" spans="1:8" ht="15.75" thickBot="1">
      <c r="A124" s="985">
        <v>55</v>
      </c>
      <c r="B124" s="383" t="s">
        <v>743</v>
      </c>
      <c r="C124" s="384" t="s">
        <v>674</v>
      </c>
      <c r="D124" s="314">
        <v>140</v>
      </c>
      <c r="E124" s="710"/>
      <c r="F124" s="710"/>
      <c r="G124">
        <v>1000</v>
      </c>
      <c r="H124">
        <f t="shared" si="1"/>
        <v>0</v>
      </c>
    </row>
    <row r="125" spans="1:8" ht="17.25" thickBot="1">
      <c r="A125" s="985">
        <v>56</v>
      </c>
      <c r="B125" s="383" t="s">
        <v>149</v>
      </c>
      <c r="C125" s="384" t="s">
        <v>674</v>
      </c>
      <c r="D125" s="312"/>
      <c r="E125" s="314">
        <v>20</v>
      </c>
      <c r="F125" s="710"/>
      <c r="G125">
        <v>1000</v>
      </c>
      <c r="H125">
        <f t="shared" si="1"/>
        <v>20000</v>
      </c>
    </row>
    <row r="126" spans="1:8" ht="29.25" thickBot="1">
      <c r="A126" s="700" t="s">
        <v>758</v>
      </c>
      <c r="B126" s="701"/>
      <c r="C126" s="318"/>
      <c r="D126" s="696" t="s">
        <v>1538</v>
      </c>
      <c r="E126" s="696" t="s">
        <v>1539</v>
      </c>
      <c r="F126" s="696"/>
      <c r="G126">
        <v>1000</v>
      </c>
      <c r="H126" t="e">
        <f t="shared" si="1"/>
        <v>#VALUE!</v>
      </c>
    </row>
    <row r="127" spans="1:8" ht="15.75" customHeight="1" thickBot="1">
      <c r="A127" s="700" t="s">
        <v>864</v>
      </c>
      <c r="B127" s="701"/>
      <c r="C127" s="318"/>
      <c r="D127" s="700" t="s">
        <v>1540</v>
      </c>
      <c r="E127" s="701"/>
      <c r="F127" s="697"/>
      <c r="G127">
        <v>1000</v>
      </c>
      <c r="H127">
        <f t="shared" si="1"/>
        <v>0</v>
      </c>
    </row>
    <row r="128" spans="1:8">
      <c r="A128" s="244"/>
      <c r="G128">
        <v>1000</v>
      </c>
      <c r="H128">
        <f t="shared" si="1"/>
        <v>0</v>
      </c>
    </row>
    <row r="129" spans="1:8" ht="16.5">
      <c r="A129" s="246"/>
      <c r="B129" s="248"/>
      <c r="G129">
        <v>1000</v>
      </c>
      <c r="H129">
        <f t="shared" si="1"/>
        <v>0</v>
      </c>
    </row>
    <row r="130" spans="1:8" ht="15.75">
      <c r="A130" s="205" t="s">
        <v>704</v>
      </c>
      <c r="G130">
        <v>1000</v>
      </c>
      <c r="H130">
        <f t="shared" si="1"/>
        <v>0</v>
      </c>
    </row>
    <row r="131" spans="1:8" ht="15.75">
      <c r="A131" s="205"/>
      <c r="G131">
        <v>1000</v>
      </c>
      <c r="H131">
        <f t="shared" si="1"/>
        <v>0</v>
      </c>
    </row>
    <row r="132" spans="1:8">
      <c r="A132" s="686" t="s">
        <v>1541</v>
      </c>
      <c r="G132">
        <v>1000</v>
      </c>
      <c r="H132">
        <f t="shared" si="1"/>
        <v>0</v>
      </c>
    </row>
    <row r="133" spans="1:8" ht="15.75">
      <c r="A133" s="232" t="s">
        <v>1535</v>
      </c>
      <c r="G133">
        <v>1000</v>
      </c>
      <c r="H133">
        <f t="shared" si="1"/>
        <v>0</v>
      </c>
    </row>
    <row r="134" spans="1:8" ht="16.5" thickBot="1">
      <c r="A134" s="232"/>
      <c r="G134">
        <v>1000</v>
      </c>
      <c r="H134">
        <f t="shared" si="1"/>
        <v>0</v>
      </c>
    </row>
    <row r="135" spans="1:8" ht="29.25" thickBot="1">
      <c r="A135" s="1004" t="s">
        <v>0</v>
      </c>
      <c r="B135" s="1005" t="s">
        <v>121</v>
      </c>
      <c r="C135" s="1005" t="s">
        <v>632</v>
      </c>
      <c r="D135" s="1005" t="s">
        <v>894</v>
      </c>
      <c r="E135" s="1005" t="s">
        <v>699</v>
      </c>
      <c r="G135">
        <v>1000</v>
      </c>
      <c r="H135" t="e">
        <f t="shared" ref="H135:H198" si="2">E135*G135</f>
        <v>#VALUE!</v>
      </c>
    </row>
    <row r="136" spans="1:8" ht="15.75" thickBot="1">
      <c r="A136" s="706">
        <v>1</v>
      </c>
      <c r="B136" s="383" t="s">
        <v>1542</v>
      </c>
      <c r="C136" s="384" t="s">
        <v>1543</v>
      </c>
      <c r="D136" s="313">
        <v>10000</v>
      </c>
      <c r="E136" s="710"/>
      <c r="G136">
        <v>1000</v>
      </c>
      <c r="H136">
        <f t="shared" si="2"/>
        <v>0</v>
      </c>
    </row>
    <row r="137" spans="1:8" ht="30.75" thickBot="1">
      <c r="A137" s="706">
        <v>2</v>
      </c>
      <c r="B137" s="383" t="s">
        <v>1415</v>
      </c>
      <c r="C137" s="384" t="s">
        <v>1182</v>
      </c>
      <c r="D137" s="313">
        <v>10000</v>
      </c>
      <c r="E137" s="710"/>
      <c r="G137">
        <v>1000</v>
      </c>
      <c r="H137">
        <f t="shared" si="2"/>
        <v>0</v>
      </c>
    </row>
    <row r="138" spans="1:8" ht="30.75" thickBot="1">
      <c r="A138" s="706">
        <v>3</v>
      </c>
      <c r="B138" s="383" t="s">
        <v>1196</v>
      </c>
      <c r="C138" s="384" t="s">
        <v>1182</v>
      </c>
      <c r="D138" s="313">
        <v>10000</v>
      </c>
      <c r="E138" s="710"/>
      <c r="G138">
        <v>1000</v>
      </c>
      <c r="H138">
        <f t="shared" si="2"/>
        <v>0</v>
      </c>
    </row>
    <row r="139" spans="1:8" ht="30.75" thickBot="1">
      <c r="A139" s="706">
        <v>4</v>
      </c>
      <c r="B139" s="383" t="s">
        <v>861</v>
      </c>
      <c r="C139" s="384" t="s">
        <v>1182</v>
      </c>
      <c r="D139" s="313">
        <v>10000</v>
      </c>
      <c r="E139" s="710"/>
      <c r="G139">
        <v>1000</v>
      </c>
      <c r="H139">
        <f t="shared" si="2"/>
        <v>0</v>
      </c>
    </row>
    <row r="140" spans="1:8" ht="30.75" thickBot="1">
      <c r="A140" s="706">
        <v>5</v>
      </c>
      <c r="B140" s="383" t="s">
        <v>1184</v>
      </c>
      <c r="C140" s="384" t="s">
        <v>1182</v>
      </c>
      <c r="D140" s="313">
        <v>20000</v>
      </c>
      <c r="E140" s="710"/>
      <c r="G140">
        <v>1000</v>
      </c>
      <c r="H140">
        <f t="shared" si="2"/>
        <v>0</v>
      </c>
    </row>
    <row r="141" spans="1:8" ht="30.75" thickBot="1">
      <c r="A141" s="706">
        <v>6</v>
      </c>
      <c r="B141" s="383" t="s">
        <v>1544</v>
      </c>
      <c r="C141" s="384" t="s">
        <v>1182</v>
      </c>
      <c r="D141" s="313">
        <v>10000</v>
      </c>
      <c r="E141" s="710"/>
      <c r="G141">
        <v>1000</v>
      </c>
      <c r="H141">
        <f t="shared" si="2"/>
        <v>0</v>
      </c>
    </row>
    <row r="142" spans="1:8" ht="30.75" thickBot="1">
      <c r="A142" s="706">
        <v>7</v>
      </c>
      <c r="B142" s="383" t="s">
        <v>860</v>
      </c>
      <c r="C142" s="384" t="s">
        <v>1182</v>
      </c>
      <c r="D142" s="313">
        <v>10000</v>
      </c>
      <c r="E142" s="710"/>
      <c r="G142">
        <v>1000</v>
      </c>
      <c r="H142">
        <f t="shared" si="2"/>
        <v>0</v>
      </c>
    </row>
    <row r="143" spans="1:8" ht="30.75" thickBot="1">
      <c r="A143" s="706">
        <v>8</v>
      </c>
      <c r="B143" s="383" t="s">
        <v>1195</v>
      </c>
      <c r="C143" s="384" t="s">
        <v>1182</v>
      </c>
      <c r="D143" s="313">
        <v>30000</v>
      </c>
      <c r="E143" s="710"/>
      <c r="G143">
        <v>1000</v>
      </c>
      <c r="H143">
        <f t="shared" si="2"/>
        <v>0</v>
      </c>
    </row>
    <row r="144" spans="1:8" ht="30.75" thickBot="1">
      <c r="A144" s="706">
        <v>9</v>
      </c>
      <c r="B144" s="383" t="s">
        <v>1200</v>
      </c>
      <c r="C144" s="384" t="s">
        <v>1198</v>
      </c>
      <c r="D144" s="313">
        <v>10000</v>
      </c>
      <c r="E144" s="710"/>
      <c r="G144">
        <v>1000</v>
      </c>
      <c r="H144">
        <f t="shared" si="2"/>
        <v>0</v>
      </c>
    </row>
    <row r="145" spans="1:8" ht="30.75" thickBot="1">
      <c r="A145" s="706">
        <v>10</v>
      </c>
      <c r="B145" s="383" t="s">
        <v>1205</v>
      </c>
      <c r="C145" s="384" t="s">
        <v>1198</v>
      </c>
      <c r="D145" s="313">
        <v>20000</v>
      </c>
      <c r="E145" s="710"/>
      <c r="G145">
        <v>1000</v>
      </c>
      <c r="H145">
        <f t="shared" si="2"/>
        <v>0</v>
      </c>
    </row>
    <row r="146" spans="1:8" ht="15.75" thickBot="1">
      <c r="A146" s="700" t="s">
        <v>758</v>
      </c>
      <c r="B146" s="701"/>
      <c r="C146" s="318"/>
      <c r="D146" s="695">
        <v>140000</v>
      </c>
      <c r="E146" s="696"/>
      <c r="G146">
        <v>1000</v>
      </c>
      <c r="H146">
        <f t="shared" si="2"/>
        <v>0</v>
      </c>
    </row>
    <row r="147" spans="1:8">
      <c r="A147" s="244"/>
      <c r="G147">
        <v>1000</v>
      </c>
      <c r="H147">
        <f t="shared" si="2"/>
        <v>0</v>
      </c>
    </row>
    <row r="148" spans="1:8">
      <c r="A148" s="244"/>
      <c r="G148">
        <v>1000</v>
      </c>
      <c r="H148">
        <f t="shared" si="2"/>
        <v>0</v>
      </c>
    </row>
    <row r="149" spans="1:8" ht="33">
      <c r="A149" s="588" t="s">
        <v>1167</v>
      </c>
      <c r="B149" s="248"/>
      <c r="G149">
        <v>1000</v>
      </c>
      <c r="H149">
        <f t="shared" si="2"/>
        <v>0</v>
      </c>
    </row>
    <row r="150" spans="1:8" ht="99">
      <c r="A150" s="588" t="s">
        <v>116</v>
      </c>
      <c r="B150" s="248"/>
      <c r="G150">
        <v>1000</v>
      </c>
      <c r="H150">
        <f t="shared" si="2"/>
        <v>0</v>
      </c>
    </row>
    <row r="151" spans="1:8" ht="15.75">
      <c r="A151" s="205" t="s">
        <v>759</v>
      </c>
      <c r="G151">
        <v>1000</v>
      </c>
      <c r="H151">
        <f t="shared" si="2"/>
        <v>0</v>
      </c>
    </row>
    <row r="152" spans="1:8" ht="15.75">
      <c r="A152" s="205"/>
      <c r="G152">
        <v>1000</v>
      </c>
      <c r="H152">
        <f t="shared" si="2"/>
        <v>0</v>
      </c>
    </row>
    <row r="153" spans="1:8" ht="15.75">
      <c r="A153" s="205" t="s">
        <v>1510</v>
      </c>
      <c r="G153">
        <v>1000</v>
      </c>
      <c r="H153">
        <f t="shared" si="2"/>
        <v>0</v>
      </c>
    </row>
    <row r="154" spans="1:8" ht="15.75">
      <c r="A154" s="232" t="s">
        <v>1545</v>
      </c>
      <c r="G154">
        <v>1000</v>
      </c>
      <c r="H154">
        <f t="shared" si="2"/>
        <v>0</v>
      </c>
    </row>
    <row r="155" spans="1:8" ht="15.75" thickBot="1">
      <c r="A155" s="987"/>
      <c r="G155">
        <v>1000</v>
      </c>
      <c r="H155">
        <f t="shared" si="2"/>
        <v>0</v>
      </c>
    </row>
    <row r="156" spans="1:8" ht="48" thickBot="1">
      <c r="A156" s="252" t="s">
        <v>0</v>
      </c>
      <c r="B156" s="253" t="s">
        <v>632</v>
      </c>
      <c r="C156" s="988" t="s">
        <v>1245</v>
      </c>
      <c r="D156" s="989" t="s">
        <v>634</v>
      </c>
      <c r="G156">
        <v>1000</v>
      </c>
      <c r="H156">
        <f t="shared" si="2"/>
        <v>0</v>
      </c>
    </row>
    <row r="157" spans="1:8" ht="16.5" thickBot="1">
      <c r="A157" s="273">
        <v>1</v>
      </c>
      <c r="B157" s="256" t="s">
        <v>708</v>
      </c>
      <c r="C157" s="990">
        <v>500000</v>
      </c>
      <c r="D157" s="413"/>
      <c r="G157">
        <v>1000</v>
      </c>
      <c r="H157">
        <f t="shared" si="2"/>
        <v>0</v>
      </c>
    </row>
    <row r="158" spans="1:8" ht="16.5" thickBot="1">
      <c r="A158" s="288" t="s">
        <v>758</v>
      </c>
      <c r="B158" s="289"/>
      <c r="C158" s="991">
        <v>500000</v>
      </c>
      <c r="D158" s="418"/>
      <c r="G158">
        <v>1000</v>
      </c>
      <c r="H158">
        <f t="shared" si="2"/>
        <v>0</v>
      </c>
    </row>
    <row r="159" spans="1:8">
      <c r="A159" s="244"/>
      <c r="G159">
        <v>1000</v>
      </c>
      <c r="H159">
        <f t="shared" si="2"/>
        <v>0</v>
      </c>
    </row>
    <row r="160" spans="1:8">
      <c r="G160">
        <v>1000</v>
      </c>
      <c r="H160">
        <f t="shared" si="2"/>
        <v>0</v>
      </c>
    </row>
    <row r="161" spans="7:8">
      <c r="G161">
        <v>1000</v>
      </c>
      <c r="H161">
        <f t="shared" si="2"/>
        <v>0</v>
      </c>
    </row>
    <row r="162" spans="7:8">
      <c r="G162">
        <v>1000</v>
      </c>
      <c r="H162">
        <f t="shared" si="2"/>
        <v>0</v>
      </c>
    </row>
    <row r="163" spans="7:8">
      <c r="G163">
        <v>1000</v>
      </c>
      <c r="H163">
        <f t="shared" si="2"/>
        <v>0</v>
      </c>
    </row>
    <row r="164" spans="7:8">
      <c r="G164">
        <v>1000</v>
      </c>
      <c r="H164">
        <f t="shared" si="2"/>
        <v>0</v>
      </c>
    </row>
    <row r="165" spans="7:8">
      <c r="G165">
        <v>1000</v>
      </c>
      <c r="H165">
        <f t="shared" si="2"/>
        <v>0</v>
      </c>
    </row>
    <row r="166" spans="7:8">
      <c r="G166">
        <v>1000</v>
      </c>
      <c r="H166">
        <f t="shared" si="2"/>
        <v>0</v>
      </c>
    </row>
    <row r="167" spans="7:8">
      <c r="G167">
        <v>1000</v>
      </c>
      <c r="H167">
        <f t="shared" si="2"/>
        <v>0</v>
      </c>
    </row>
    <row r="168" spans="7:8">
      <c r="G168">
        <v>1000</v>
      </c>
      <c r="H168">
        <f t="shared" si="2"/>
        <v>0</v>
      </c>
    </row>
    <row r="169" spans="7:8">
      <c r="G169">
        <v>1000</v>
      </c>
      <c r="H169">
        <f t="shared" si="2"/>
        <v>0</v>
      </c>
    </row>
    <row r="170" spans="7:8">
      <c r="G170">
        <v>1000</v>
      </c>
      <c r="H170">
        <f t="shared" si="2"/>
        <v>0</v>
      </c>
    </row>
    <row r="171" spans="7:8">
      <c r="G171">
        <v>1000</v>
      </c>
      <c r="H171">
        <f t="shared" si="2"/>
        <v>0</v>
      </c>
    </row>
    <row r="172" spans="7:8">
      <c r="G172">
        <v>1000</v>
      </c>
      <c r="H172">
        <f t="shared" si="2"/>
        <v>0</v>
      </c>
    </row>
    <row r="173" spans="7:8">
      <c r="G173">
        <v>1000</v>
      </c>
      <c r="H173">
        <f t="shared" si="2"/>
        <v>0</v>
      </c>
    </row>
    <row r="174" spans="7:8">
      <c r="G174">
        <v>1000</v>
      </c>
      <c r="H174">
        <f t="shared" si="2"/>
        <v>0</v>
      </c>
    </row>
    <row r="175" spans="7:8">
      <c r="G175">
        <v>1000</v>
      </c>
      <c r="H175">
        <f t="shared" si="2"/>
        <v>0</v>
      </c>
    </row>
    <row r="176" spans="7:8">
      <c r="G176">
        <v>1000</v>
      </c>
      <c r="H176">
        <f t="shared" si="2"/>
        <v>0</v>
      </c>
    </row>
    <row r="177" spans="7:8">
      <c r="G177">
        <v>1000</v>
      </c>
      <c r="H177">
        <f t="shared" si="2"/>
        <v>0</v>
      </c>
    </row>
    <row r="178" spans="7:8">
      <c r="G178">
        <v>1000</v>
      </c>
      <c r="H178">
        <f t="shared" si="2"/>
        <v>0</v>
      </c>
    </row>
    <row r="179" spans="7:8">
      <c r="G179">
        <v>1000</v>
      </c>
      <c r="H179">
        <f t="shared" si="2"/>
        <v>0</v>
      </c>
    </row>
    <row r="180" spans="7:8">
      <c r="G180">
        <v>1000</v>
      </c>
      <c r="H180">
        <f t="shared" si="2"/>
        <v>0</v>
      </c>
    </row>
    <row r="181" spans="7:8">
      <c r="G181">
        <v>1000</v>
      </c>
      <c r="H181">
        <f t="shared" si="2"/>
        <v>0</v>
      </c>
    </row>
    <row r="182" spans="7:8">
      <c r="G182">
        <v>1000</v>
      </c>
      <c r="H182">
        <f t="shared" si="2"/>
        <v>0</v>
      </c>
    </row>
    <row r="183" spans="7:8">
      <c r="G183">
        <v>1000</v>
      </c>
      <c r="H183">
        <f t="shared" si="2"/>
        <v>0</v>
      </c>
    </row>
    <row r="184" spans="7:8">
      <c r="G184">
        <v>1000</v>
      </c>
      <c r="H184">
        <f t="shared" si="2"/>
        <v>0</v>
      </c>
    </row>
    <row r="185" spans="7:8">
      <c r="G185">
        <v>1000</v>
      </c>
      <c r="H185">
        <f t="shared" si="2"/>
        <v>0</v>
      </c>
    </row>
    <row r="186" spans="7:8">
      <c r="G186">
        <v>1000</v>
      </c>
      <c r="H186">
        <f t="shared" si="2"/>
        <v>0</v>
      </c>
    </row>
    <row r="187" spans="7:8">
      <c r="G187">
        <v>1000</v>
      </c>
      <c r="H187">
        <f t="shared" si="2"/>
        <v>0</v>
      </c>
    </row>
    <row r="188" spans="7:8">
      <c r="G188">
        <v>1000</v>
      </c>
      <c r="H188">
        <f t="shared" si="2"/>
        <v>0</v>
      </c>
    </row>
    <row r="189" spans="7:8">
      <c r="G189">
        <v>1000</v>
      </c>
      <c r="H189">
        <f t="shared" si="2"/>
        <v>0</v>
      </c>
    </row>
    <row r="190" spans="7:8">
      <c r="G190">
        <v>1000</v>
      </c>
      <c r="H190">
        <f t="shared" si="2"/>
        <v>0</v>
      </c>
    </row>
    <row r="191" spans="7:8">
      <c r="G191">
        <v>1000</v>
      </c>
      <c r="H191">
        <f t="shared" si="2"/>
        <v>0</v>
      </c>
    </row>
    <row r="192" spans="7:8">
      <c r="G192">
        <v>1000</v>
      </c>
      <c r="H192">
        <f t="shared" si="2"/>
        <v>0</v>
      </c>
    </row>
    <row r="193" spans="7:8">
      <c r="G193">
        <v>1000</v>
      </c>
      <c r="H193">
        <f t="shared" si="2"/>
        <v>0</v>
      </c>
    </row>
    <row r="194" spans="7:8">
      <c r="G194">
        <v>1000</v>
      </c>
      <c r="H194">
        <f t="shared" si="2"/>
        <v>0</v>
      </c>
    </row>
    <row r="195" spans="7:8">
      <c r="G195">
        <v>1000</v>
      </c>
      <c r="H195">
        <f t="shared" si="2"/>
        <v>0</v>
      </c>
    </row>
    <row r="196" spans="7:8">
      <c r="G196">
        <v>1000</v>
      </c>
      <c r="H196">
        <f t="shared" si="2"/>
        <v>0</v>
      </c>
    </row>
    <row r="197" spans="7:8">
      <c r="G197">
        <v>1000</v>
      </c>
      <c r="H197">
        <f t="shared" si="2"/>
        <v>0</v>
      </c>
    </row>
    <row r="198" spans="7:8">
      <c r="G198">
        <v>1000</v>
      </c>
      <c r="H198">
        <f t="shared" si="2"/>
        <v>0</v>
      </c>
    </row>
    <row r="199" spans="7:8">
      <c r="G199">
        <v>1000</v>
      </c>
      <c r="H199">
        <f t="shared" ref="H199:H223" si="3">E199*G199</f>
        <v>0</v>
      </c>
    </row>
    <row r="200" spans="7:8">
      <c r="G200">
        <v>1000</v>
      </c>
      <c r="H200">
        <f t="shared" si="3"/>
        <v>0</v>
      </c>
    </row>
    <row r="201" spans="7:8">
      <c r="G201">
        <v>1000</v>
      </c>
      <c r="H201">
        <f t="shared" si="3"/>
        <v>0</v>
      </c>
    </row>
    <row r="202" spans="7:8">
      <c r="G202">
        <v>1000</v>
      </c>
      <c r="H202">
        <f t="shared" si="3"/>
        <v>0</v>
      </c>
    </row>
    <row r="203" spans="7:8">
      <c r="G203">
        <v>1000</v>
      </c>
      <c r="H203">
        <f t="shared" si="3"/>
        <v>0</v>
      </c>
    </row>
    <row r="204" spans="7:8">
      <c r="G204">
        <v>1000</v>
      </c>
      <c r="H204">
        <f t="shared" si="3"/>
        <v>0</v>
      </c>
    </row>
    <row r="205" spans="7:8">
      <c r="G205">
        <v>1000</v>
      </c>
      <c r="H205">
        <f t="shared" si="3"/>
        <v>0</v>
      </c>
    </row>
    <row r="206" spans="7:8">
      <c r="G206">
        <v>1000</v>
      </c>
      <c r="H206">
        <f t="shared" si="3"/>
        <v>0</v>
      </c>
    </row>
    <row r="207" spans="7:8">
      <c r="G207">
        <v>1000</v>
      </c>
      <c r="H207">
        <f t="shared" si="3"/>
        <v>0</v>
      </c>
    </row>
    <row r="208" spans="7:8">
      <c r="G208">
        <v>1000</v>
      </c>
      <c r="H208">
        <f t="shared" si="3"/>
        <v>0</v>
      </c>
    </row>
    <row r="209" spans="7:8">
      <c r="G209">
        <v>1000</v>
      </c>
      <c r="H209">
        <f t="shared" si="3"/>
        <v>0</v>
      </c>
    </row>
    <row r="210" spans="7:8">
      <c r="G210">
        <v>1000</v>
      </c>
      <c r="H210">
        <f t="shared" si="3"/>
        <v>0</v>
      </c>
    </row>
    <row r="211" spans="7:8">
      <c r="G211">
        <v>1000</v>
      </c>
      <c r="H211">
        <f t="shared" si="3"/>
        <v>0</v>
      </c>
    </row>
    <row r="212" spans="7:8">
      <c r="G212">
        <v>1000</v>
      </c>
      <c r="H212">
        <f t="shared" si="3"/>
        <v>0</v>
      </c>
    </row>
    <row r="213" spans="7:8">
      <c r="G213">
        <v>1000</v>
      </c>
      <c r="H213">
        <f t="shared" si="3"/>
        <v>0</v>
      </c>
    </row>
    <row r="214" spans="7:8">
      <c r="G214">
        <v>1000</v>
      </c>
      <c r="H214">
        <f t="shared" si="3"/>
        <v>0</v>
      </c>
    </row>
    <row r="215" spans="7:8">
      <c r="G215">
        <v>1000</v>
      </c>
      <c r="H215">
        <f t="shared" si="3"/>
        <v>0</v>
      </c>
    </row>
    <row r="216" spans="7:8">
      <c r="G216">
        <v>1000</v>
      </c>
      <c r="H216">
        <f t="shared" si="3"/>
        <v>0</v>
      </c>
    </row>
    <row r="217" spans="7:8">
      <c r="G217">
        <v>1000</v>
      </c>
      <c r="H217">
        <f t="shared" si="3"/>
        <v>0</v>
      </c>
    </row>
    <row r="218" spans="7:8">
      <c r="G218">
        <v>1000</v>
      </c>
      <c r="H218">
        <f t="shared" si="3"/>
        <v>0</v>
      </c>
    </row>
    <row r="219" spans="7:8">
      <c r="G219">
        <v>1000</v>
      </c>
      <c r="H219">
        <f t="shared" si="3"/>
        <v>0</v>
      </c>
    </row>
    <row r="220" spans="7:8">
      <c r="G220">
        <v>1000</v>
      </c>
      <c r="H220">
        <f t="shared" si="3"/>
        <v>0</v>
      </c>
    </row>
    <row r="221" spans="7:8">
      <c r="G221">
        <v>1000</v>
      </c>
      <c r="H221">
        <f t="shared" si="3"/>
        <v>0</v>
      </c>
    </row>
    <row r="222" spans="7:8">
      <c r="G222">
        <v>1000</v>
      </c>
      <c r="H222">
        <f t="shared" si="3"/>
        <v>0</v>
      </c>
    </row>
    <row r="223" spans="7:8">
      <c r="G223">
        <v>1000</v>
      </c>
      <c r="H223">
        <f t="shared" si="3"/>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2"/>
  <sheetViews>
    <sheetView topLeftCell="A92" workbookViewId="0">
      <selection activeCell="H103" sqref="H103"/>
    </sheetView>
  </sheetViews>
  <sheetFormatPr defaultRowHeight="15"/>
  <cols>
    <col min="2" max="2" width="35" customWidth="1"/>
    <col min="4" max="4" width="15.85546875" customWidth="1"/>
    <col min="8" max="8" width="13" style="561" customWidth="1"/>
  </cols>
  <sheetData>
    <row r="1" spans="1:8" ht="15.75">
      <c r="A1" s="205" t="s">
        <v>868</v>
      </c>
    </row>
    <row r="2" spans="1:8">
      <c r="A2" s="686" t="s">
        <v>1500</v>
      </c>
    </row>
    <row r="3" spans="1:8" ht="16.5" thickBot="1">
      <c r="A3" s="232" t="s">
        <v>1546</v>
      </c>
    </row>
    <row r="4" spans="1:8" ht="28.5" customHeight="1" thickBot="1">
      <c r="A4" s="939" t="s">
        <v>0</v>
      </c>
      <c r="B4" s="939" t="s">
        <v>121</v>
      </c>
      <c r="C4" s="939" t="s">
        <v>632</v>
      </c>
      <c r="D4" s="941" t="s">
        <v>894</v>
      </c>
      <c r="E4" s="942"/>
      <c r="F4" s="939" t="s">
        <v>699</v>
      </c>
    </row>
    <row r="5" spans="1:8" ht="15.75" thickBot="1">
      <c r="A5" s="943"/>
      <c r="B5" s="943"/>
      <c r="C5" s="943"/>
      <c r="D5" s="940" t="s">
        <v>828</v>
      </c>
      <c r="E5" s="940" t="s">
        <v>829</v>
      </c>
      <c r="F5" s="943"/>
    </row>
    <row r="6" spans="1:8" ht="15.75" thickBot="1">
      <c r="A6" s="694">
        <v>1</v>
      </c>
      <c r="B6" s="446" t="s">
        <v>645</v>
      </c>
      <c r="C6" s="447" t="s">
        <v>642</v>
      </c>
      <c r="D6" s="449">
        <v>20</v>
      </c>
      <c r="E6" s="314"/>
      <c r="F6" s="314"/>
      <c r="G6">
        <v>1000</v>
      </c>
      <c r="H6" s="561">
        <f>E6*G6</f>
        <v>0</v>
      </c>
    </row>
    <row r="7" spans="1:8" ht="15.75" thickBot="1">
      <c r="A7" s="694">
        <v>2</v>
      </c>
      <c r="B7" s="446" t="s">
        <v>715</v>
      </c>
      <c r="C7" s="447" t="s">
        <v>642</v>
      </c>
      <c r="D7" s="449">
        <v>130</v>
      </c>
      <c r="E7" s="314"/>
      <c r="F7" s="314"/>
      <c r="G7">
        <v>1000</v>
      </c>
      <c r="H7" s="561">
        <f t="shared" ref="H7:H70" si="0">E7*G7</f>
        <v>0</v>
      </c>
    </row>
    <row r="8" spans="1:8" ht="15.75" thickBot="1">
      <c r="A8" s="694">
        <v>3</v>
      </c>
      <c r="B8" s="446" t="s">
        <v>682</v>
      </c>
      <c r="C8" s="447" t="s">
        <v>642</v>
      </c>
      <c r="D8" s="449">
        <v>20</v>
      </c>
      <c r="E8" s="314"/>
      <c r="F8" s="314"/>
      <c r="G8">
        <v>1000</v>
      </c>
      <c r="H8" s="561">
        <f t="shared" si="0"/>
        <v>0</v>
      </c>
    </row>
    <row r="9" spans="1:8" ht="17.25" thickBot="1">
      <c r="A9" s="694">
        <v>4</v>
      </c>
      <c r="B9" s="446" t="s">
        <v>207</v>
      </c>
      <c r="C9" s="447" t="s">
        <v>642</v>
      </c>
      <c r="D9" s="385"/>
      <c r="E9" s="449">
        <v>40</v>
      </c>
      <c r="F9" s="314"/>
      <c r="G9">
        <v>1000</v>
      </c>
      <c r="H9" s="561">
        <f t="shared" si="0"/>
        <v>40000</v>
      </c>
    </row>
    <row r="10" spans="1:8" ht="17.25" thickBot="1">
      <c r="A10" s="694">
        <v>5</v>
      </c>
      <c r="B10" s="446" t="s">
        <v>681</v>
      </c>
      <c r="C10" s="447" t="s">
        <v>642</v>
      </c>
      <c r="D10" s="385"/>
      <c r="E10" s="449">
        <v>50</v>
      </c>
      <c r="F10" s="314"/>
      <c r="G10">
        <v>1000</v>
      </c>
      <c r="H10" s="561">
        <f t="shared" si="0"/>
        <v>50000</v>
      </c>
    </row>
    <row r="11" spans="1:8" ht="17.25" thickBot="1">
      <c r="A11" s="694">
        <v>6</v>
      </c>
      <c r="B11" s="446" t="s">
        <v>635</v>
      </c>
      <c r="C11" s="447" t="s">
        <v>717</v>
      </c>
      <c r="D11" s="449">
        <v>20</v>
      </c>
      <c r="E11" s="385"/>
      <c r="F11" s="314"/>
      <c r="G11">
        <v>1000</v>
      </c>
      <c r="H11" s="561">
        <f t="shared" si="0"/>
        <v>0</v>
      </c>
    </row>
    <row r="12" spans="1:8" ht="17.25" thickBot="1">
      <c r="A12" s="694">
        <v>7</v>
      </c>
      <c r="B12" s="446" t="s">
        <v>641</v>
      </c>
      <c r="C12" s="447" t="s">
        <v>717</v>
      </c>
      <c r="D12" s="449">
        <v>70</v>
      </c>
      <c r="E12" s="385"/>
      <c r="F12" s="314"/>
      <c r="G12">
        <v>1000</v>
      </c>
      <c r="H12" s="561">
        <f t="shared" si="0"/>
        <v>0</v>
      </c>
    </row>
    <row r="13" spans="1:8" ht="17.25" thickBot="1">
      <c r="A13" s="694">
        <v>8</v>
      </c>
      <c r="B13" s="446" t="s">
        <v>640</v>
      </c>
      <c r="C13" s="447" t="s">
        <v>717</v>
      </c>
      <c r="D13" s="449">
        <v>60</v>
      </c>
      <c r="E13" s="385"/>
      <c r="F13" s="314"/>
      <c r="G13">
        <v>1000</v>
      </c>
      <c r="H13" s="561">
        <f t="shared" si="0"/>
        <v>0</v>
      </c>
    </row>
    <row r="14" spans="1:8" ht="15.75" thickBot="1">
      <c r="A14" s="694">
        <v>9</v>
      </c>
      <c r="B14" s="446" t="s">
        <v>744</v>
      </c>
      <c r="C14" s="447" t="s">
        <v>717</v>
      </c>
      <c r="D14" s="449">
        <v>30</v>
      </c>
      <c r="E14" s="314"/>
      <c r="F14" s="314"/>
      <c r="G14">
        <v>1000</v>
      </c>
      <c r="H14" s="561">
        <f t="shared" si="0"/>
        <v>0</v>
      </c>
    </row>
    <row r="15" spans="1:8" ht="17.25" thickBot="1">
      <c r="A15" s="694">
        <v>10</v>
      </c>
      <c r="B15" s="446" t="s">
        <v>210</v>
      </c>
      <c r="C15" s="447" t="s">
        <v>717</v>
      </c>
      <c r="D15" s="385"/>
      <c r="E15" s="449">
        <v>20</v>
      </c>
      <c r="F15" s="314"/>
      <c r="G15">
        <v>1000</v>
      </c>
      <c r="H15" s="561">
        <f t="shared" si="0"/>
        <v>20000</v>
      </c>
    </row>
    <row r="16" spans="1:8" ht="17.25" thickBot="1">
      <c r="A16" s="694">
        <v>11</v>
      </c>
      <c r="B16" s="446" t="s">
        <v>639</v>
      </c>
      <c r="C16" s="447" t="s">
        <v>717</v>
      </c>
      <c r="D16" s="385"/>
      <c r="E16" s="449">
        <v>10</v>
      </c>
      <c r="F16" s="314"/>
      <c r="G16">
        <v>1000</v>
      </c>
      <c r="H16" s="561">
        <f t="shared" si="0"/>
        <v>10000</v>
      </c>
    </row>
    <row r="17" spans="1:8" ht="17.25" thickBot="1">
      <c r="A17" s="694">
        <v>12</v>
      </c>
      <c r="B17" s="446" t="s">
        <v>687</v>
      </c>
      <c r="C17" s="447" t="s">
        <v>649</v>
      </c>
      <c r="D17" s="449">
        <v>50</v>
      </c>
      <c r="E17" s="385"/>
      <c r="F17" s="314"/>
      <c r="G17">
        <v>1000</v>
      </c>
      <c r="H17" s="561">
        <f t="shared" si="0"/>
        <v>0</v>
      </c>
    </row>
    <row r="18" spans="1:8" ht="17.25" thickBot="1">
      <c r="A18" s="694">
        <v>13</v>
      </c>
      <c r="B18" s="446" t="s">
        <v>685</v>
      </c>
      <c r="C18" s="447" t="s">
        <v>649</v>
      </c>
      <c r="D18" s="449">
        <v>120</v>
      </c>
      <c r="E18" s="385"/>
      <c r="F18" s="314"/>
      <c r="G18">
        <v>1000</v>
      </c>
      <c r="H18" s="561">
        <f t="shared" si="0"/>
        <v>0</v>
      </c>
    </row>
    <row r="19" spans="1:8" ht="17.25" thickBot="1">
      <c r="A19" s="694">
        <v>14</v>
      </c>
      <c r="B19" s="446" t="s">
        <v>686</v>
      </c>
      <c r="C19" s="447" t="s">
        <v>649</v>
      </c>
      <c r="D19" s="449">
        <v>80</v>
      </c>
      <c r="E19" s="385"/>
      <c r="F19" s="314"/>
      <c r="G19">
        <v>1000</v>
      </c>
      <c r="H19" s="561">
        <f t="shared" si="0"/>
        <v>0</v>
      </c>
    </row>
    <row r="20" spans="1:8" ht="17.25" thickBot="1">
      <c r="A20" s="694">
        <v>15</v>
      </c>
      <c r="B20" s="446" t="s">
        <v>684</v>
      </c>
      <c r="C20" s="447" t="s">
        <v>649</v>
      </c>
      <c r="D20" s="449">
        <v>100</v>
      </c>
      <c r="E20" s="385"/>
      <c r="F20" s="314"/>
      <c r="G20">
        <v>1000</v>
      </c>
      <c r="H20" s="561">
        <f t="shared" si="0"/>
        <v>0</v>
      </c>
    </row>
    <row r="21" spans="1:8" ht="17.25" thickBot="1">
      <c r="A21" s="694">
        <v>16</v>
      </c>
      <c r="B21" s="446" t="s">
        <v>205</v>
      </c>
      <c r="C21" s="447" t="s">
        <v>649</v>
      </c>
      <c r="D21" s="385"/>
      <c r="E21" s="449">
        <v>50</v>
      </c>
      <c r="F21" s="314"/>
      <c r="G21">
        <v>1000</v>
      </c>
      <c r="H21" s="561">
        <f t="shared" si="0"/>
        <v>50000</v>
      </c>
    </row>
    <row r="22" spans="1:8" ht="17.25" thickBot="1">
      <c r="A22" s="694">
        <v>17</v>
      </c>
      <c r="B22" s="446" t="s">
        <v>721</v>
      </c>
      <c r="C22" s="447" t="s">
        <v>649</v>
      </c>
      <c r="D22" s="385"/>
      <c r="E22" s="449">
        <v>40</v>
      </c>
      <c r="F22" s="314"/>
      <c r="G22">
        <v>1000</v>
      </c>
      <c r="H22" s="561">
        <f t="shared" si="0"/>
        <v>40000</v>
      </c>
    </row>
    <row r="23" spans="1:8" ht="17.25" thickBot="1">
      <c r="A23" s="694">
        <v>18</v>
      </c>
      <c r="B23" s="446" t="s">
        <v>723</v>
      </c>
      <c r="C23" s="447" t="s">
        <v>646</v>
      </c>
      <c r="D23" s="449">
        <v>100</v>
      </c>
      <c r="E23" s="385"/>
      <c r="F23" s="314"/>
      <c r="G23">
        <v>1000</v>
      </c>
      <c r="H23" s="561">
        <f t="shared" si="0"/>
        <v>0</v>
      </c>
    </row>
    <row r="24" spans="1:8" ht="17.25" thickBot="1">
      <c r="A24" s="694">
        <v>19</v>
      </c>
      <c r="B24" s="446" t="s">
        <v>722</v>
      </c>
      <c r="C24" s="447" t="s">
        <v>646</v>
      </c>
      <c r="D24" s="449">
        <v>20</v>
      </c>
      <c r="E24" s="385"/>
      <c r="F24" s="314"/>
      <c r="G24">
        <v>1000</v>
      </c>
      <c r="H24" s="561">
        <f t="shared" si="0"/>
        <v>0</v>
      </c>
    </row>
    <row r="25" spans="1:8" ht="17.25" thickBot="1">
      <c r="A25" s="694">
        <v>20</v>
      </c>
      <c r="B25" s="446" t="s">
        <v>683</v>
      </c>
      <c r="C25" s="447" t="s">
        <v>646</v>
      </c>
      <c r="D25" s="449">
        <v>50</v>
      </c>
      <c r="E25" s="385"/>
      <c r="F25" s="314"/>
      <c r="G25">
        <v>1000</v>
      </c>
      <c r="H25" s="561">
        <f t="shared" si="0"/>
        <v>0</v>
      </c>
    </row>
    <row r="26" spans="1:8" ht="17.25" thickBot="1">
      <c r="A26" s="694">
        <v>21</v>
      </c>
      <c r="B26" s="446" t="s">
        <v>647</v>
      </c>
      <c r="C26" s="447" t="s">
        <v>646</v>
      </c>
      <c r="D26" s="449">
        <v>40</v>
      </c>
      <c r="E26" s="385"/>
      <c r="F26" s="314"/>
      <c r="G26">
        <v>1000</v>
      </c>
      <c r="H26" s="561">
        <f t="shared" si="0"/>
        <v>0</v>
      </c>
    </row>
    <row r="27" spans="1:8" ht="17.25" thickBot="1">
      <c r="A27" s="694">
        <v>22</v>
      </c>
      <c r="B27" s="446" t="s">
        <v>168</v>
      </c>
      <c r="C27" s="447" t="s">
        <v>646</v>
      </c>
      <c r="D27" s="385"/>
      <c r="E27" s="449">
        <v>20</v>
      </c>
      <c r="F27" s="314"/>
      <c r="G27">
        <v>1000</v>
      </c>
      <c r="H27" s="561">
        <f t="shared" si="0"/>
        <v>20000</v>
      </c>
    </row>
    <row r="28" spans="1:8" ht="17.25" thickBot="1">
      <c r="A28" s="694">
        <v>23</v>
      </c>
      <c r="B28" s="446" t="s">
        <v>725</v>
      </c>
      <c r="C28" s="447" t="s">
        <v>646</v>
      </c>
      <c r="D28" s="385"/>
      <c r="E28" s="449">
        <v>20</v>
      </c>
      <c r="F28" s="314"/>
      <c r="G28">
        <v>1000</v>
      </c>
      <c r="H28" s="561">
        <f t="shared" si="0"/>
        <v>20000</v>
      </c>
    </row>
    <row r="29" spans="1:8" ht="17.25" thickBot="1">
      <c r="A29" s="694">
        <v>24</v>
      </c>
      <c r="B29" s="446" t="s">
        <v>289</v>
      </c>
      <c r="C29" s="447" t="s">
        <v>646</v>
      </c>
      <c r="D29" s="385"/>
      <c r="E29" s="449">
        <v>80</v>
      </c>
      <c r="F29" s="314"/>
      <c r="G29">
        <v>1000</v>
      </c>
      <c r="H29" s="561">
        <f t="shared" si="0"/>
        <v>80000</v>
      </c>
    </row>
    <row r="30" spans="1:8" ht="17.25" thickBot="1">
      <c r="A30" s="694">
        <v>25</v>
      </c>
      <c r="B30" s="1003" t="s">
        <v>1434</v>
      </c>
      <c r="C30" s="447" t="s">
        <v>646</v>
      </c>
      <c r="D30" s="385"/>
      <c r="E30" s="449">
        <v>20</v>
      </c>
      <c r="F30" s="314"/>
      <c r="G30">
        <v>1000</v>
      </c>
      <c r="H30" s="561">
        <f t="shared" si="0"/>
        <v>20000</v>
      </c>
    </row>
    <row r="31" spans="1:8" ht="17.25" thickBot="1">
      <c r="A31" s="694">
        <v>26</v>
      </c>
      <c r="B31" s="446" t="s">
        <v>728</v>
      </c>
      <c r="C31" s="447" t="s">
        <v>650</v>
      </c>
      <c r="D31" s="449">
        <v>40</v>
      </c>
      <c r="E31" s="385"/>
      <c r="F31" s="314"/>
      <c r="G31">
        <v>1000</v>
      </c>
      <c r="H31" s="561">
        <f t="shared" si="0"/>
        <v>0</v>
      </c>
    </row>
    <row r="32" spans="1:8" ht="17.25" thickBot="1">
      <c r="A32" s="309">
        <v>27</v>
      </c>
      <c r="B32" s="446" t="s">
        <v>651</v>
      </c>
      <c r="C32" s="447" t="s">
        <v>650</v>
      </c>
      <c r="D32" s="449">
        <v>140</v>
      </c>
      <c r="E32" s="385"/>
      <c r="F32" s="314"/>
      <c r="G32">
        <v>1000</v>
      </c>
      <c r="H32" s="561">
        <f t="shared" si="0"/>
        <v>0</v>
      </c>
    </row>
    <row r="33" spans="1:8" ht="17.25" thickBot="1">
      <c r="A33" s="309">
        <v>28</v>
      </c>
      <c r="B33" s="446" t="s">
        <v>688</v>
      </c>
      <c r="C33" s="447" t="s">
        <v>650</v>
      </c>
      <c r="D33" s="449">
        <v>60</v>
      </c>
      <c r="E33" s="385"/>
      <c r="F33" s="314"/>
      <c r="G33">
        <v>1000</v>
      </c>
      <c r="H33" s="561">
        <f t="shared" si="0"/>
        <v>0</v>
      </c>
    </row>
    <row r="34" spans="1:8" ht="17.25" thickBot="1">
      <c r="A34" s="309">
        <v>29</v>
      </c>
      <c r="B34" s="446" t="s">
        <v>269</v>
      </c>
      <c r="C34" s="447" t="s">
        <v>650</v>
      </c>
      <c r="D34" s="385"/>
      <c r="E34" s="449">
        <v>40</v>
      </c>
      <c r="F34" s="314"/>
      <c r="G34">
        <v>1000</v>
      </c>
      <c r="H34" s="561">
        <f t="shared" si="0"/>
        <v>40000</v>
      </c>
    </row>
    <row r="35" spans="1:8" ht="17.25" thickBot="1">
      <c r="A35" s="309">
        <v>30</v>
      </c>
      <c r="B35" s="446" t="s">
        <v>91</v>
      </c>
      <c r="C35" s="447" t="s">
        <v>650</v>
      </c>
      <c r="D35" s="385"/>
      <c r="E35" s="449">
        <v>70</v>
      </c>
      <c r="F35" s="314"/>
      <c r="G35">
        <v>1000</v>
      </c>
      <c r="H35" s="561">
        <f t="shared" si="0"/>
        <v>70000</v>
      </c>
    </row>
    <row r="36" spans="1:8" ht="17.25" thickBot="1">
      <c r="A36" s="309">
        <v>31</v>
      </c>
      <c r="B36" s="446" t="s">
        <v>655</v>
      </c>
      <c r="C36" s="447" t="s">
        <v>653</v>
      </c>
      <c r="D36" s="449">
        <v>40</v>
      </c>
      <c r="E36" s="385"/>
      <c r="F36" s="314"/>
      <c r="G36">
        <v>1000</v>
      </c>
      <c r="H36" s="561">
        <f t="shared" si="0"/>
        <v>0</v>
      </c>
    </row>
    <row r="37" spans="1:8" ht="17.25" thickBot="1">
      <c r="A37" s="309">
        <v>32</v>
      </c>
      <c r="B37" s="446" t="s">
        <v>689</v>
      </c>
      <c r="C37" s="447" t="s">
        <v>653</v>
      </c>
      <c r="D37" s="449">
        <v>20</v>
      </c>
      <c r="E37" s="385"/>
      <c r="F37" s="314"/>
      <c r="G37">
        <v>1000</v>
      </c>
      <c r="H37" s="561">
        <f t="shared" si="0"/>
        <v>0</v>
      </c>
    </row>
    <row r="38" spans="1:8" ht="15.75" thickBot="1">
      <c r="A38" s="309">
        <v>33</v>
      </c>
      <c r="B38" s="446" t="s">
        <v>656</v>
      </c>
      <c r="C38" s="447" t="s">
        <v>653</v>
      </c>
      <c r="D38" s="449">
        <v>20</v>
      </c>
      <c r="E38" s="314"/>
      <c r="F38" s="314"/>
      <c r="G38">
        <v>1000</v>
      </c>
      <c r="H38" s="561">
        <f t="shared" si="0"/>
        <v>0</v>
      </c>
    </row>
    <row r="39" spans="1:8" ht="15.75" thickBot="1">
      <c r="A39" s="309">
        <v>34</v>
      </c>
      <c r="B39" s="446" t="s">
        <v>658</v>
      </c>
      <c r="C39" s="447" t="s">
        <v>653</v>
      </c>
      <c r="D39" s="449">
        <v>10</v>
      </c>
      <c r="E39" s="314"/>
      <c r="F39" s="314"/>
      <c r="G39">
        <v>1000</v>
      </c>
      <c r="H39" s="561">
        <f t="shared" si="0"/>
        <v>0</v>
      </c>
    </row>
    <row r="40" spans="1:8" ht="17.25" thickBot="1">
      <c r="A40" s="309">
        <v>35</v>
      </c>
      <c r="B40" s="446" t="s">
        <v>730</v>
      </c>
      <c r="C40" s="447" t="s">
        <v>653</v>
      </c>
      <c r="D40" s="449">
        <v>50</v>
      </c>
      <c r="E40" s="385"/>
      <c r="F40" s="314"/>
      <c r="G40">
        <v>1000</v>
      </c>
      <c r="H40" s="561">
        <f t="shared" si="0"/>
        <v>0</v>
      </c>
    </row>
    <row r="41" spans="1:8" ht="17.25" thickBot="1">
      <c r="A41" s="309">
        <v>36</v>
      </c>
      <c r="B41" s="446" t="s">
        <v>659</v>
      </c>
      <c r="C41" s="447" t="s">
        <v>653</v>
      </c>
      <c r="D41" s="449">
        <v>40</v>
      </c>
      <c r="E41" s="385"/>
      <c r="F41" s="314"/>
      <c r="G41">
        <v>1000</v>
      </c>
      <c r="H41" s="561">
        <f t="shared" si="0"/>
        <v>0</v>
      </c>
    </row>
    <row r="42" spans="1:8" ht="17.25" thickBot="1">
      <c r="A42" s="309">
        <v>37</v>
      </c>
      <c r="B42" s="446" t="s">
        <v>146</v>
      </c>
      <c r="C42" s="447" t="s">
        <v>653</v>
      </c>
      <c r="D42" s="385"/>
      <c r="E42" s="449">
        <v>40</v>
      </c>
      <c r="F42" s="314"/>
      <c r="G42">
        <v>1000</v>
      </c>
      <c r="H42" s="561">
        <f t="shared" si="0"/>
        <v>40000</v>
      </c>
    </row>
    <row r="43" spans="1:8" ht="17.25" thickBot="1">
      <c r="A43" s="309">
        <v>38</v>
      </c>
      <c r="B43" s="446" t="s">
        <v>147</v>
      </c>
      <c r="C43" s="447" t="s">
        <v>653</v>
      </c>
      <c r="D43" s="385"/>
      <c r="E43" s="449">
        <v>50</v>
      </c>
      <c r="F43" s="314"/>
      <c r="G43">
        <v>1000</v>
      </c>
      <c r="H43" s="561">
        <f t="shared" si="0"/>
        <v>50000</v>
      </c>
    </row>
    <row r="44" spans="1:8" ht="17.25" thickBot="1">
      <c r="A44" s="309">
        <v>39</v>
      </c>
      <c r="B44" s="446" t="s">
        <v>46</v>
      </c>
      <c r="C44" s="447" t="s">
        <v>653</v>
      </c>
      <c r="D44" s="385"/>
      <c r="E44" s="449">
        <v>20</v>
      </c>
      <c r="F44" s="314"/>
      <c r="G44">
        <v>1000</v>
      </c>
      <c r="H44" s="561">
        <f t="shared" si="0"/>
        <v>20000</v>
      </c>
    </row>
    <row r="45" spans="1:8" ht="17.25" thickBot="1">
      <c r="A45" s="309">
        <v>40</v>
      </c>
      <c r="B45" s="446" t="s">
        <v>1488</v>
      </c>
      <c r="C45" s="447" t="s">
        <v>653</v>
      </c>
      <c r="D45" s="385"/>
      <c r="E45" s="449">
        <v>20</v>
      </c>
      <c r="F45" s="314"/>
      <c r="G45">
        <v>1000</v>
      </c>
      <c r="H45" s="561">
        <f t="shared" si="0"/>
        <v>20000</v>
      </c>
    </row>
    <row r="46" spans="1:8" ht="17.25" thickBot="1">
      <c r="A46" s="309">
        <v>41</v>
      </c>
      <c r="B46" s="446" t="s">
        <v>670</v>
      </c>
      <c r="C46" s="447" t="s">
        <v>668</v>
      </c>
      <c r="D46" s="449">
        <v>50</v>
      </c>
      <c r="E46" s="385"/>
      <c r="F46" s="314"/>
      <c r="G46">
        <v>1000</v>
      </c>
      <c r="H46" s="561">
        <f t="shared" si="0"/>
        <v>0</v>
      </c>
    </row>
    <row r="47" spans="1:8" ht="17.25" thickBot="1">
      <c r="A47" s="309">
        <v>42</v>
      </c>
      <c r="B47" s="446" t="s">
        <v>693</v>
      </c>
      <c r="C47" s="447" t="s">
        <v>668</v>
      </c>
      <c r="D47" s="449">
        <v>100</v>
      </c>
      <c r="E47" s="385"/>
      <c r="F47" s="314"/>
      <c r="G47">
        <v>1000</v>
      </c>
      <c r="H47" s="561">
        <f t="shared" si="0"/>
        <v>0</v>
      </c>
    </row>
    <row r="48" spans="1:8" ht="17.25" thickBot="1">
      <c r="A48" s="309">
        <v>43</v>
      </c>
      <c r="B48" s="446" t="s">
        <v>672</v>
      </c>
      <c r="C48" s="447" t="s">
        <v>668</v>
      </c>
      <c r="D48" s="449">
        <v>30</v>
      </c>
      <c r="E48" s="385"/>
      <c r="F48" s="314"/>
      <c r="G48">
        <v>1000</v>
      </c>
      <c r="H48" s="561">
        <f t="shared" si="0"/>
        <v>0</v>
      </c>
    </row>
    <row r="49" spans="1:8" ht="17.25" thickBot="1">
      <c r="A49" s="309">
        <v>44</v>
      </c>
      <c r="B49" s="446" t="s">
        <v>671</v>
      </c>
      <c r="C49" s="447" t="s">
        <v>668</v>
      </c>
      <c r="D49" s="449">
        <v>30</v>
      </c>
      <c r="E49" s="385"/>
      <c r="F49" s="314"/>
      <c r="G49">
        <v>1000</v>
      </c>
      <c r="H49" s="561">
        <f t="shared" si="0"/>
        <v>0</v>
      </c>
    </row>
    <row r="50" spans="1:8" ht="17.25" thickBot="1">
      <c r="A50" s="309">
        <v>45</v>
      </c>
      <c r="B50" s="446" t="s">
        <v>732</v>
      </c>
      <c r="C50" s="447" t="s">
        <v>668</v>
      </c>
      <c r="D50" s="449">
        <v>50</v>
      </c>
      <c r="E50" s="385"/>
      <c r="F50" s="314"/>
      <c r="G50">
        <v>1000</v>
      </c>
      <c r="H50" s="561">
        <f t="shared" si="0"/>
        <v>0</v>
      </c>
    </row>
    <row r="51" spans="1:8" ht="17.25" thickBot="1">
      <c r="A51" s="309">
        <v>46</v>
      </c>
      <c r="B51" s="446" t="s">
        <v>692</v>
      </c>
      <c r="C51" s="447" t="s">
        <v>668</v>
      </c>
      <c r="D51" s="449">
        <v>100</v>
      </c>
      <c r="E51" s="385"/>
      <c r="F51" s="314"/>
      <c r="G51">
        <v>1000</v>
      </c>
      <c r="H51" s="561">
        <f t="shared" si="0"/>
        <v>0</v>
      </c>
    </row>
    <row r="52" spans="1:8" ht="17.25" thickBot="1">
      <c r="A52" s="309">
        <v>47</v>
      </c>
      <c r="B52" s="446" t="s">
        <v>273</v>
      </c>
      <c r="C52" s="447" t="s">
        <v>668</v>
      </c>
      <c r="D52" s="385"/>
      <c r="E52" s="449">
        <v>10</v>
      </c>
      <c r="F52" s="314"/>
      <c r="G52">
        <v>1000</v>
      </c>
      <c r="H52" s="561">
        <f t="shared" si="0"/>
        <v>10000</v>
      </c>
    </row>
    <row r="53" spans="1:8" ht="17.25" thickBot="1">
      <c r="A53" s="309">
        <v>48</v>
      </c>
      <c r="B53" s="446" t="s">
        <v>39</v>
      </c>
      <c r="C53" s="447" t="s">
        <v>668</v>
      </c>
      <c r="D53" s="385"/>
      <c r="E53" s="449">
        <v>30</v>
      </c>
      <c r="F53" s="314"/>
      <c r="G53">
        <v>1000</v>
      </c>
      <c r="H53" s="561">
        <f t="shared" si="0"/>
        <v>30000</v>
      </c>
    </row>
    <row r="54" spans="1:8" ht="17.25" thickBot="1">
      <c r="A54" s="309">
        <v>49</v>
      </c>
      <c r="B54" s="446" t="s">
        <v>29</v>
      </c>
      <c r="C54" s="447" t="s">
        <v>668</v>
      </c>
      <c r="D54" s="385"/>
      <c r="E54" s="449">
        <v>20</v>
      </c>
      <c r="F54" s="314"/>
      <c r="G54">
        <v>1000</v>
      </c>
      <c r="H54" s="561">
        <f t="shared" si="0"/>
        <v>20000</v>
      </c>
    </row>
    <row r="55" spans="1:8" ht="17.25" thickBot="1">
      <c r="A55" s="309">
        <v>50</v>
      </c>
      <c r="B55" s="446" t="s">
        <v>262</v>
      </c>
      <c r="C55" s="447" t="s">
        <v>668</v>
      </c>
      <c r="D55" s="385"/>
      <c r="E55" s="449">
        <v>30</v>
      </c>
      <c r="F55" s="314"/>
      <c r="G55">
        <v>1000</v>
      </c>
      <c r="H55" s="561">
        <f t="shared" si="0"/>
        <v>30000</v>
      </c>
    </row>
    <row r="56" spans="1:8" ht="17.25" thickBot="1">
      <c r="A56" s="309">
        <v>51</v>
      </c>
      <c r="B56" s="446" t="s">
        <v>741</v>
      </c>
      <c r="C56" s="447" t="s">
        <v>674</v>
      </c>
      <c r="D56" s="449">
        <v>60</v>
      </c>
      <c r="E56" s="385"/>
      <c r="F56" s="314"/>
      <c r="G56">
        <v>1000</v>
      </c>
      <c r="H56" s="561">
        <f t="shared" si="0"/>
        <v>0</v>
      </c>
    </row>
    <row r="57" spans="1:8" ht="17.25" thickBot="1">
      <c r="A57" s="309">
        <v>52</v>
      </c>
      <c r="B57" s="446" t="s">
        <v>182</v>
      </c>
      <c r="C57" s="447" t="s">
        <v>674</v>
      </c>
      <c r="D57" s="385"/>
      <c r="E57" s="449">
        <v>40</v>
      </c>
      <c r="F57" s="314"/>
      <c r="G57">
        <v>1000</v>
      </c>
      <c r="H57" s="561">
        <f t="shared" si="0"/>
        <v>40000</v>
      </c>
    </row>
    <row r="58" spans="1:8" ht="17.25" thickBot="1">
      <c r="A58" s="309">
        <v>53</v>
      </c>
      <c r="B58" s="446" t="s">
        <v>149</v>
      </c>
      <c r="C58" s="447" t="s">
        <v>674</v>
      </c>
      <c r="D58" s="385"/>
      <c r="E58" s="449">
        <v>160</v>
      </c>
      <c r="F58" s="314"/>
      <c r="G58">
        <v>1000</v>
      </c>
      <c r="H58" s="561">
        <f t="shared" si="0"/>
        <v>160000</v>
      </c>
    </row>
    <row r="59" spans="1:8" ht="17.25" thickBot="1">
      <c r="A59" s="309">
        <v>54</v>
      </c>
      <c r="B59" s="446" t="s">
        <v>72</v>
      </c>
      <c r="C59" s="447" t="s">
        <v>674</v>
      </c>
      <c r="D59" s="385"/>
      <c r="E59" s="449">
        <v>20</v>
      </c>
      <c r="F59" s="314"/>
      <c r="G59">
        <v>1000</v>
      </c>
      <c r="H59" s="561">
        <f t="shared" si="0"/>
        <v>20000</v>
      </c>
    </row>
    <row r="60" spans="1:8" ht="15.75" thickBot="1">
      <c r="A60" s="700" t="s">
        <v>758</v>
      </c>
      <c r="B60" s="701"/>
      <c r="C60" s="318"/>
      <c r="D60" s="696" t="s">
        <v>1547</v>
      </c>
      <c r="E60" s="696">
        <v>900</v>
      </c>
      <c r="F60" s="696"/>
      <c r="G60">
        <v>1000</v>
      </c>
      <c r="H60" s="561">
        <f t="shared" si="0"/>
        <v>900000</v>
      </c>
    </row>
    <row r="61" spans="1:8" ht="15.75" customHeight="1" thickBot="1">
      <c r="A61" s="700" t="s">
        <v>864</v>
      </c>
      <c r="B61" s="701"/>
      <c r="C61" s="318"/>
      <c r="D61" s="700" t="s">
        <v>1548</v>
      </c>
      <c r="E61" s="701"/>
      <c r="F61" s="697"/>
      <c r="G61">
        <v>1000</v>
      </c>
      <c r="H61" s="561">
        <f t="shared" si="0"/>
        <v>0</v>
      </c>
    </row>
    <row r="62" spans="1:8">
      <c r="A62" s="284"/>
      <c r="G62">
        <v>1000</v>
      </c>
      <c r="H62" s="561">
        <f t="shared" si="0"/>
        <v>0</v>
      </c>
    </row>
    <row r="63" spans="1:8" ht="16.5">
      <c r="A63" s="246"/>
      <c r="B63" s="248"/>
      <c r="G63">
        <v>1000</v>
      </c>
      <c r="H63" s="561">
        <f t="shared" si="0"/>
        <v>0</v>
      </c>
    </row>
    <row r="64" spans="1:8" ht="15.75">
      <c r="A64" s="205" t="s">
        <v>678</v>
      </c>
      <c r="G64">
        <v>1000</v>
      </c>
      <c r="H64" s="561">
        <f t="shared" si="0"/>
        <v>0</v>
      </c>
    </row>
    <row r="65" spans="1:8" ht="15.75">
      <c r="A65" s="205"/>
      <c r="G65">
        <v>1000</v>
      </c>
      <c r="H65" s="561">
        <f t="shared" si="0"/>
        <v>0</v>
      </c>
    </row>
    <row r="66" spans="1:8">
      <c r="A66" s="686" t="s">
        <v>1502</v>
      </c>
      <c r="G66">
        <v>1000</v>
      </c>
      <c r="H66" s="561">
        <f t="shared" si="0"/>
        <v>0</v>
      </c>
    </row>
    <row r="67" spans="1:8" ht="15.75">
      <c r="A67" s="232" t="s">
        <v>1546</v>
      </c>
      <c r="G67">
        <v>1000</v>
      </c>
      <c r="H67" s="561">
        <f t="shared" si="0"/>
        <v>0</v>
      </c>
    </row>
    <row r="68" spans="1:8" ht="16.5" thickBot="1">
      <c r="A68" s="232"/>
      <c r="G68">
        <v>1000</v>
      </c>
      <c r="H68" s="561">
        <f t="shared" si="0"/>
        <v>0</v>
      </c>
    </row>
    <row r="69" spans="1:8" ht="28.5" customHeight="1" thickBot="1">
      <c r="A69" s="939" t="s">
        <v>0</v>
      </c>
      <c r="B69" s="939" t="s">
        <v>121</v>
      </c>
      <c r="C69" s="939" t="s">
        <v>632</v>
      </c>
      <c r="D69" s="941" t="s">
        <v>894</v>
      </c>
      <c r="E69" s="942"/>
      <c r="F69" s="939" t="s">
        <v>699</v>
      </c>
      <c r="G69">
        <v>1000</v>
      </c>
      <c r="H69" s="561">
        <f t="shared" si="0"/>
        <v>0</v>
      </c>
    </row>
    <row r="70" spans="1:8" ht="15.75" thickBot="1">
      <c r="A70" s="943"/>
      <c r="B70" s="943"/>
      <c r="C70" s="943"/>
      <c r="D70" s="940" t="s">
        <v>828</v>
      </c>
      <c r="E70" s="940" t="s">
        <v>829</v>
      </c>
      <c r="F70" s="943"/>
      <c r="G70">
        <v>1000</v>
      </c>
      <c r="H70" s="561" t="e">
        <f t="shared" si="0"/>
        <v>#VALUE!</v>
      </c>
    </row>
    <row r="71" spans="1:8" ht="17.25" thickBot="1">
      <c r="A71" s="980">
        <v>1</v>
      </c>
      <c r="B71" s="1006" t="s">
        <v>149</v>
      </c>
      <c r="C71" s="799" t="s">
        <v>674</v>
      </c>
      <c r="D71" s="385"/>
      <c r="E71" s="448">
        <v>300000</v>
      </c>
      <c r="F71" s="799" t="s">
        <v>1504</v>
      </c>
      <c r="H71" s="561">
        <v>300000</v>
      </c>
    </row>
    <row r="72" spans="1:8" ht="17.25" thickBot="1">
      <c r="A72" s="980">
        <v>2</v>
      </c>
      <c r="B72" s="1006" t="s">
        <v>651</v>
      </c>
      <c r="C72" s="799" t="s">
        <v>650</v>
      </c>
      <c r="D72" s="448">
        <v>200000</v>
      </c>
      <c r="E72" s="312"/>
      <c r="F72" s="799"/>
      <c r="G72">
        <v>1000</v>
      </c>
      <c r="H72" s="561">
        <f t="shared" ref="H72:H134" si="1">E72*G72</f>
        <v>0</v>
      </c>
    </row>
    <row r="73" spans="1:8" ht="17.25" thickBot="1">
      <c r="A73" s="980">
        <v>3</v>
      </c>
      <c r="B73" s="1006" t="s">
        <v>685</v>
      </c>
      <c r="C73" s="799" t="s">
        <v>649</v>
      </c>
      <c r="D73" s="448">
        <v>50000</v>
      </c>
      <c r="E73" s="312"/>
      <c r="F73" s="799"/>
      <c r="G73">
        <v>1000</v>
      </c>
      <c r="H73" s="561">
        <f t="shared" si="1"/>
        <v>0</v>
      </c>
    </row>
    <row r="74" spans="1:8" ht="17.25" thickBot="1">
      <c r="A74" s="992" t="s">
        <v>758</v>
      </c>
      <c r="B74" s="993"/>
      <c r="C74" s="981"/>
      <c r="D74" s="982">
        <v>250000</v>
      </c>
      <c r="E74" s="388">
        <v>300000</v>
      </c>
      <c r="F74" s="389"/>
      <c r="G74">
        <v>1000</v>
      </c>
      <c r="H74" s="561">
        <f t="shared" si="1"/>
        <v>300000000</v>
      </c>
    </row>
    <row r="75" spans="1:8" ht="17.25" customHeight="1" thickBot="1">
      <c r="A75" s="992" t="s">
        <v>864</v>
      </c>
      <c r="B75" s="993"/>
      <c r="C75" s="981"/>
      <c r="D75" s="994">
        <v>550000</v>
      </c>
      <c r="E75" s="995"/>
      <c r="F75" s="984"/>
      <c r="G75">
        <v>1000</v>
      </c>
      <c r="H75" s="561">
        <f t="shared" si="1"/>
        <v>0</v>
      </c>
    </row>
    <row r="76" spans="1:8">
      <c r="A76" s="244"/>
      <c r="G76">
        <v>1000</v>
      </c>
      <c r="H76" s="561">
        <f t="shared" si="1"/>
        <v>0</v>
      </c>
    </row>
    <row r="77" spans="1:8" ht="16.5">
      <c r="A77" s="246"/>
      <c r="B77" s="248"/>
      <c r="G77">
        <v>1000</v>
      </c>
      <c r="H77" s="561">
        <f t="shared" si="1"/>
        <v>0</v>
      </c>
    </row>
    <row r="78" spans="1:8" ht="15.75">
      <c r="A78" s="205" t="s">
        <v>696</v>
      </c>
      <c r="G78">
        <v>1000</v>
      </c>
      <c r="H78" s="561">
        <f t="shared" si="1"/>
        <v>0</v>
      </c>
    </row>
    <row r="79" spans="1:8" ht="15.75">
      <c r="A79" s="205"/>
      <c r="G79">
        <v>1000</v>
      </c>
      <c r="H79" s="561">
        <f t="shared" si="1"/>
        <v>0</v>
      </c>
    </row>
    <row r="80" spans="1:8">
      <c r="A80" s="686" t="s">
        <v>1506</v>
      </c>
      <c r="G80">
        <v>1000</v>
      </c>
      <c r="H80" s="561">
        <f t="shared" si="1"/>
        <v>0</v>
      </c>
    </row>
    <row r="81" spans="1:8" ht="16.5" thickBot="1">
      <c r="A81" s="232" t="s">
        <v>1546</v>
      </c>
      <c r="G81">
        <v>1000</v>
      </c>
      <c r="H81" s="561">
        <f t="shared" si="1"/>
        <v>0</v>
      </c>
    </row>
    <row r="82" spans="1:8" ht="28.5" customHeight="1" thickBot="1">
      <c r="A82" s="939" t="s">
        <v>0</v>
      </c>
      <c r="B82" s="939" t="s">
        <v>121</v>
      </c>
      <c r="C82" s="939" t="s">
        <v>632</v>
      </c>
      <c r="D82" s="941" t="s">
        <v>894</v>
      </c>
      <c r="E82" s="942"/>
      <c r="F82" s="939" t="s">
        <v>699</v>
      </c>
      <c r="G82">
        <v>1000</v>
      </c>
      <c r="H82" s="561">
        <f t="shared" si="1"/>
        <v>0</v>
      </c>
    </row>
    <row r="83" spans="1:8" ht="15.75" thickBot="1">
      <c r="A83" s="943"/>
      <c r="B83" s="943"/>
      <c r="C83" s="943"/>
      <c r="D83" s="940" t="s">
        <v>828</v>
      </c>
      <c r="E83" s="940" t="s">
        <v>829</v>
      </c>
      <c r="F83" s="943"/>
      <c r="G83">
        <v>1000</v>
      </c>
      <c r="H83" s="561" t="e">
        <f t="shared" si="1"/>
        <v>#VALUE!</v>
      </c>
    </row>
    <row r="84" spans="1:8" ht="15.75" thickBot="1">
      <c r="A84" s="706">
        <v>1</v>
      </c>
      <c r="B84" s="383" t="s">
        <v>638</v>
      </c>
      <c r="C84" s="384" t="s">
        <v>636</v>
      </c>
      <c r="D84" s="314">
        <v>65</v>
      </c>
      <c r="E84" s="710"/>
      <c r="F84" s="710"/>
      <c r="G84">
        <v>1000</v>
      </c>
      <c r="H84" s="561">
        <f t="shared" si="1"/>
        <v>0</v>
      </c>
    </row>
    <row r="85" spans="1:8" ht="17.25" thickBot="1">
      <c r="A85" s="706">
        <v>2</v>
      </c>
      <c r="B85" s="383" t="s">
        <v>154</v>
      </c>
      <c r="C85" s="384" t="s">
        <v>636</v>
      </c>
      <c r="D85" s="312"/>
      <c r="E85" s="314">
        <v>95</v>
      </c>
      <c r="F85" s="710"/>
      <c r="G85">
        <v>1000</v>
      </c>
      <c r="H85" s="561">
        <f t="shared" si="1"/>
        <v>95000</v>
      </c>
    </row>
    <row r="86" spans="1:8" ht="17.25" thickBot="1">
      <c r="A86" s="706">
        <v>3</v>
      </c>
      <c r="B86" s="383" t="s">
        <v>641</v>
      </c>
      <c r="C86" s="384" t="s">
        <v>636</v>
      </c>
      <c r="D86" s="314">
        <v>10</v>
      </c>
      <c r="E86" s="312"/>
      <c r="F86" s="710"/>
      <c r="G86">
        <v>1000</v>
      </c>
      <c r="H86" s="561">
        <f t="shared" si="1"/>
        <v>0</v>
      </c>
    </row>
    <row r="87" spans="1:8" ht="17.25" thickBot="1">
      <c r="A87" s="706">
        <v>4</v>
      </c>
      <c r="B87" s="383" t="s">
        <v>639</v>
      </c>
      <c r="C87" s="384" t="s">
        <v>636</v>
      </c>
      <c r="D87" s="312"/>
      <c r="E87" s="314">
        <v>20</v>
      </c>
      <c r="F87" s="710"/>
      <c r="G87">
        <v>1000</v>
      </c>
      <c r="H87" s="561">
        <f t="shared" si="1"/>
        <v>20000</v>
      </c>
    </row>
    <row r="88" spans="1:8" ht="17.25" thickBot="1">
      <c r="A88" s="706">
        <v>5</v>
      </c>
      <c r="B88" s="383" t="s">
        <v>98</v>
      </c>
      <c r="C88" s="384" t="s">
        <v>636</v>
      </c>
      <c r="D88" s="312"/>
      <c r="E88" s="314">
        <v>85</v>
      </c>
      <c r="F88" s="710"/>
      <c r="G88">
        <v>1000</v>
      </c>
      <c r="H88" s="561">
        <f t="shared" si="1"/>
        <v>85000</v>
      </c>
    </row>
    <row r="89" spans="1:8" ht="17.25" thickBot="1">
      <c r="A89" s="706">
        <v>6</v>
      </c>
      <c r="B89" s="383" t="s">
        <v>106</v>
      </c>
      <c r="C89" s="384" t="s">
        <v>636</v>
      </c>
      <c r="D89" s="312"/>
      <c r="E89" s="314">
        <v>100</v>
      </c>
      <c r="F89" s="710"/>
      <c r="G89">
        <v>1000</v>
      </c>
      <c r="H89" s="561">
        <f t="shared" si="1"/>
        <v>100000</v>
      </c>
    </row>
    <row r="90" spans="1:8" ht="15.75" thickBot="1">
      <c r="A90" s="706">
        <v>7</v>
      </c>
      <c r="B90" s="383" t="s">
        <v>640</v>
      </c>
      <c r="C90" s="384" t="s">
        <v>636</v>
      </c>
      <c r="D90" s="314">
        <v>10</v>
      </c>
      <c r="E90" s="710"/>
      <c r="F90" s="710"/>
      <c r="G90">
        <v>1000</v>
      </c>
      <c r="H90" s="561">
        <f t="shared" si="1"/>
        <v>0</v>
      </c>
    </row>
    <row r="91" spans="1:8" ht="17.25" thickBot="1">
      <c r="A91" s="706">
        <v>8</v>
      </c>
      <c r="B91" s="383" t="s">
        <v>144</v>
      </c>
      <c r="C91" s="384" t="s">
        <v>642</v>
      </c>
      <c r="D91" s="312"/>
      <c r="E91" s="314">
        <v>110</v>
      </c>
      <c r="F91" s="710"/>
      <c r="G91">
        <v>1000</v>
      </c>
      <c r="H91" s="561">
        <f t="shared" si="1"/>
        <v>110000</v>
      </c>
    </row>
    <row r="92" spans="1:8" ht="17.25" thickBot="1">
      <c r="A92" s="706">
        <v>9</v>
      </c>
      <c r="B92" s="383" t="s">
        <v>1236</v>
      </c>
      <c r="C92" s="384" t="s">
        <v>642</v>
      </c>
      <c r="D92" s="314">
        <v>100</v>
      </c>
      <c r="E92" s="312"/>
      <c r="F92" s="710"/>
      <c r="G92">
        <v>1000</v>
      </c>
      <c r="H92" s="561">
        <f t="shared" si="1"/>
        <v>0</v>
      </c>
    </row>
    <row r="93" spans="1:8" ht="17.25" thickBot="1">
      <c r="A93" s="706">
        <v>10</v>
      </c>
      <c r="B93" s="383" t="s">
        <v>645</v>
      </c>
      <c r="C93" s="384" t="s">
        <v>642</v>
      </c>
      <c r="D93" s="314">
        <v>50</v>
      </c>
      <c r="E93" s="312"/>
      <c r="F93" s="710"/>
      <c r="G93">
        <v>1000</v>
      </c>
      <c r="H93" s="561">
        <f t="shared" si="1"/>
        <v>0</v>
      </c>
    </row>
    <row r="94" spans="1:8" ht="15.75" thickBot="1">
      <c r="A94" s="706">
        <v>11</v>
      </c>
      <c r="B94" s="383" t="s">
        <v>644</v>
      </c>
      <c r="C94" s="384" t="s">
        <v>642</v>
      </c>
      <c r="D94" s="314" t="s">
        <v>1549</v>
      </c>
      <c r="E94" s="314">
        <v>25</v>
      </c>
      <c r="F94" s="710"/>
      <c r="G94">
        <v>1000</v>
      </c>
      <c r="H94" s="561">
        <f t="shared" si="1"/>
        <v>25000</v>
      </c>
    </row>
    <row r="95" spans="1:8" ht="17.25" thickBot="1">
      <c r="A95" s="706">
        <v>12</v>
      </c>
      <c r="B95" s="383" t="s">
        <v>647</v>
      </c>
      <c r="C95" s="384" t="s">
        <v>646</v>
      </c>
      <c r="D95" s="314">
        <v>30</v>
      </c>
      <c r="E95" s="312"/>
      <c r="F95" s="710"/>
      <c r="G95">
        <v>1000</v>
      </c>
      <c r="H95" s="561">
        <f t="shared" si="1"/>
        <v>0</v>
      </c>
    </row>
    <row r="96" spans="1:8" ht="17.25" thickBot="1">
      <c r="A96" s="706">
        <v>13</v>
      </c>
      <c r="B96" s="383" t="s">
        <v>1434</v>
      </c>
      <c r="C96" s="384" t="s">
        <v>646</v>
      </c>
      <c r="D96" s="312"/>
      <c r="E96" s="314">
        <v>50</v>
      </c>
      <c r="F96" s="710"/>
      <c r="G96">
        <v>1000</v>
      </c>
      <c r="H96" s="561">
        <f t="shared" si="1"/>
        <v>50000</v>
      </c>
    </row>
    <row r="97" spans="1:8" ht="17.25" thickBot="1">
      <c r="A97" s="706">
        <v>14</v>
      </c>
      <c r="B97" s="383" t="s">
        <v>289</v>
      </c>
      <c r="C97" s="384" t="s">
        <v>646</v>
      </c>
      <c r="D97" s="312"/>
      <c r="E97" s="314">
        <v>60</v>
      </c>
      <c r="F97" s="710"/>
      <c r="G97">
        <v>1000</v>
      </c>
      <c r="H97" s="561">
        <f t="shared" si="1"/>
        <v>60000</v>
      </c>
    </row>
    <row r="98" spans="1:8" ht="17.25" thickBot="1">
      <c r="A98" s="706">
        <v>15</v>
      </c>
      <c r="B98" s="383" t="s">
        <v>65</v>
      </c>
      <c r="C98" s="384" t="s">
        <v>646</v>
      </c>
      <c r="D98" s="312"/>
      <c r="E98" s="314">
        <v>45</v>
      </c>
      <c r="F98" s="710"/>
      <c r="G98">
        <v>1000</v>
      </c>
      <c r="H98" s="561">
        <f t="shared" si="1"/>
        <v>45000</v>
      </c>
    </row>
    <row r="99" spans="1:8" ht="17.25" thickBot="1">
      <c r="A99" s="706">
        <v>16</v>
      </c>
      <c r="B99" s="383" t="s">
        <v>723</v>
      </c>
      <c r="C99" s="384" t="s">
        <v>646</v>
      </c>
      <c r="D99" s="314">
        <v>10</v>
      </c>
      <c r="E99" s="312"/>
      <c r="F99" s="710"/>
      <c r="G99">
        <v>1000</v>
      </c>
      <c r="H99" s="561">
        <f t="shared" si="1"/>
        <v>0</v>
      </c>
    </row>
    <row r="100" spans="1:8" ht="15.75" thickBot="1">
      <c r="A100" s="706">
        <v>17</v>
      </c>
      <c r="B100" s="383" t="s">
        <v>722</v>
      </c>
      <c r="C100" s="384" t="s">
        <v>646</v>
      </c>
      <c r="D100" s="314">
        <v>110</v>
      </c>
      <c r="E100" s="710"/>
      <c r="F100" s="710"/>
      <c r="G100">
        <v>1000</v>
      </c>
      <c r="H100" s="561">
        <f t="shared" si="1"/>
        <v>0</v>
      </c>
    </row>
    <row r="101" spans="1:8" ht="17.25" thickBot="1">
      <c r="A101" s="706">
        <v>18</v>
      </c>
      <c r="B101" s="383" t="s">
        <v>168</v>
      </c>
      <c r="C101" s="384" t="s">
        <v>646</v>
      </c>
      <c r="D101" s="312"/>
      <c r="E101" s="314">
        <v>20</v>
      </c>
      <c r="F101" s="710"/>
      <c r="G101">
        <v>1000</v>
      </c>
      <c r="H101" s="561">
        <f t="shared" si="1"/>
        <v>20000</v>
      </c>
    </row>
    <row r="102" spans="1:8" ht="17.25" thickBot="1">
      <c r="A102" s="706">
        <v>19</v>
      </c>
      <c r="B102" s="383" t="s">
        <v>148</v>
      </c>
      <c r="C102" s="384" t="s">
        <v>646</v>
      </c>
      <c r="D102" s="312"/>
      <c r="E102" s="314">
        <v>10</v>
      </c>
      <c r="F102" s="710"/>
      <c r="G102">
        <v>1000</v>
      </c>
      <c r="H102" s="561">
        <f t="shared" si="1"/>
        <v>10000</v>
      </c>
    </row>
    <row r="103" spans="1:8" ht="17.25" thickBot="1">
      <c r="A103" s="706">
        <v>20</v>
      </c>
      <c r="B103" s="383" t="s">
        <v>152</v>
      </c>
      <c r="C103" s="384" t="s">
        <v>649</v>
      </c>
      <c r="D103" s="312"/>
      <c r="E103" s="314">
        <v>45</v>
      </c>
      <c r="F103" s="710"/>
      <c r="G103">
        <v>1000</v>
      </c>
      <c r="H103" s="561">
        <f t="shared" si="1"/>
        <v>45000</v>
      </c>
    </row>
    <row r="104" spans="1:8" ht="17.25" thickBot="1">
      <c r="A104" s="706">
        <v>21</v>
      </c>
      <c r="B104" s="383" t="s">
        <v>187</v>
      </c>
      <c r="C104" s="384" t="s">
        <v>649</v>
      </c>
      <c r="D104" s="312"/>
      <c r="E104" s="314">
        <v>10</v>
      </c>
      <c r="F104" s="710"/>
      <c r="G104">
        <v>1000</v>
      </c>
      <c r="H104" s="561">
        <f t="shared" si="1"/>
        <v>10000</v>
      </c>
    </row>
    <row r="105" spans="1:8" ht="17.25" thickBot="1">
      <c r="A105" s="706">
        <v>22</v>
      </c>
      <c r="B105" s="383" t="s">
        <v>81</v>
      </c>
      <c r="C105" s="384" t="s">
        <v>649</v>
      </c>
      <c r="D105" s="312"/>
      <c r="E105" s="314">
        <v>40</v>
      </c>
      <c r="F105" s="710"/>
      <c r="G105">
        <v>1000</v>
      </c>
      <c r="H105" s="561">
        <f t="shared" si="1"/>
        <v>40000</v>
      </c>
    </row>
    <row r="106" spans="1:8" ht="17.25" thickBot="1">
      <c r="A106" s="706">
        <v>23</v>
      </c>
      <c r="B106" s="383" t="s">
        <v>27</v>
      </c>
      <c r="C106" s="384" t="s">
        <v>649</v>
      </c>
      <c r="D106" s="312"/>
      <c r="E106" s="314">
        <v>35</v>
      </c>
      <c r="F106" s="710"/>
      <c r="G106">
        <v>1000</v>
      </c>
      <c r="H106" s="561">
        <f t="shared" si="1"/>
        <v>35000</v>
      </c>
    </row>
    <row r="107" spans="1:8" ht="15.75" thickBot="1">
      <c r="A107" s="706">
        <v>24</v>
      </c>
      <c r="B107" s="383" t="s">
        <v>684</v>
      </c>
      <c r="C107" s="384" t="s">
        <v>649</v>
      </c>
      <c r="D107" s="314">
        <v>10</v>
      </c>
      <c r="E107" s="710"/>
      <c r="F107" s="710"/>
      <c r="G107">
        <v>1000</v>
      </c>
      <c r="H107" s="561">
        <f t="shared" si="1"/>
        <v>0</v>
      </c>
    </row>
    <row r="108" spans="1:8" ht="17.25" thickBot="1">
      <c r="A108" s="706">
        <v>25</v>
      </c>
      <c r="B108" s="383" t="s">
        <v>83</v>
      </c>
      <c r="C108" s="384" t="s">
        <v>650</v>
      </c>
      <c r="D108" s="312"/>
      <c r="E108" s="314">
        <v>50</v>
      </c>
      <c r="F108" s="710"/>
      <c r="G108">
        <v>1000</v>
      </c>
      <c r="H108" s="561">
        <f t="shared" si="1"/>
        <v>50000</v>
      </c>
    </row>
    <row r="109" spans="1:8" ht="17.25" thickBot="1">
      <c r="A109" s="706">
        <v>26</v>
      </c>
      <c r="B109" s="383" t="s">
        <v>688</v>
      </c>
      <c r="C109" s="384" t="s">
        <v>650</v>
      </c>
      <c r="D109" s="314">
        <v>10</v>
      </c>
      <c r="E109" s="312"/>
      <c r="F109" s="710"/>
      <c r="G109">
        <v>1000</v>
      </c>
      <c r="H109" s="561">
        <f t="shared" si="1"/>
        <v>0</v>
      </c>
    </row>
    <row r="110" spans="1:8" ht="17.25" thickBot="1">
      <c r="A110" s="985">
        <v>27</v>
      </c>
      <c r="B110" s="383" t="s">
        <v>269</v>
      </c>
      <c r="C110" s="384" t="s">
        <v>650</v>
      </c>
      <c r="D110" s="312"/>
      <c r="E110" s="314">
        <v>10</v>
      </c>
      <c r="F110" s="710"/>
      <c r="G110">
        <v>1000</v>
      </c>
      <c r="H110" s="561">
        <f t="shared" si="1"/>
        <v>10000</v>
      </c>
    </row>
    <row r="111" spans="1:8" ht="17.25" thickBot="1">
      <c r="A111" s="985">
        <v>28</v>
      </c>
      <c r="B111" s="383" t="s">
        <v>751</v>
      </c>
      <c r="C111" s="384" t="s">
        <v>746</v>
      </c>
      <c r="D111" s="312"/>
      <c r="E111" s="314">
        <v>50</v>
      </c>
      <c r="F111" s="710"/>
      <c r="G111">
        <v>1000</v>
      </c>
      <c r="H111" s="561">
        <f t="shared" si="1"/>
        <v>50000</v>
      </c>
    </row>
    <row r="112" spans="1:8" ht="15.75" thickBot="1">
      <c r="A112" s="985">
        <v>29</v>
      </c>
      <c r="B112" s="383" t="s">
        <v>747</v>
      </c>
      <c r="C112" s="384" t="s">
        <v>746</v>
      </c>
      <c r="D112" s="314">
        <v>10</v>
      </c>
      <c r="E112" s="711"/>
      <c r="F112" s="710"/>
      <c r="G112">
        <v>1000</v>
      </c>
      <c r="H112" s="561">
        <f t="shared" si="1"/>
        <v>0</v>
      </c>
    </row>
    <row r="113" spans="1:8" ht="17.25" thickBot="1">
      <c r="A113" s="985">
        <v>30</v>
      </c>
      <c r="B113" s="383" t="s">
        <v>142</v>
      </c>
      <c r="C113" s="384" t="s">
        <v>746</v>
      </c>
      <c r="D113" s="312"/>
      <c r="E113" s="314">
        <v>10</v>
      </c>
      <c r="F113" s="710"/>
      <c r="G113">
        <v>1000</v>
      </c>
      <c r="H113" s="561">
        <f t="shared" si="1"/>
        <v>10000</v>
      </c>
    </row>
    <row r="114" spans="1:8" ht="17.25" thickBot="1">
      <c r="A114" s="985">
        <v>31</v>
      </c>
      <c r="B114" s="383" t="s">
        <v>56</v>
      </c>
      <c r="C114" s="384" t="s">
        <v>653</v>
      </c>
      <c r="D114" s="312"/>
      <c r="E114" s="314">
        <v>20</v>
      </c>
      <c r="F114" s="710"/>
      <c r="G114">
        <v>1000</v>
      </c>
      <c r="H114" s="561">
        <f t="shared" si="1"/>
        <v>20000</v>
      </c>
    </row>
    <row r="115" spans="1:8" ht="17.25" thickBot="1">
      <c r="A115" s="985">
        <v>32</v>
      </c>
      <c r="B115" s="383" t="s">
        <v>50</v>
      </c>
      <c r="C115" s="384" t="s">
        <v>653</v>
      </c>
      <c r="D115" s="312"/>
      <c r="E115" s="314">
        <v>150</v>
      </c>
      <c r="F115" s="710"/>
      <c r="G115">
        <v>1000</v>
      </c>
      <c r="H115" s="561">
        <f t="shared" si="1"/>
        <v>150000</v>
      </c>
    </row>
    <row r="116" spans="1:8" ht="15.75" thickBot="1">
      <c r="A116" s="985">
        <v>33</v>
      </c>
      <c r="B116" s="383" t="s">
        <v>730</v>
      </c>
      <c r="C116" s="384" t="s">
        <v>653</v>
      </c>
      <c r="D116" s="314">
        <v>20</v>
      </c>
      <c r="E116" s="710"/>
      <c r="F116" s="710"/>
      <c r="G116">
        <v>1000</v>
      </c>
      <c r="H116" s="561">
        <f t="shared" si="1"/>
        <v>0</v>
      </c>
    </row>
    <row r="117" spans="1:8" ht="17.25" thickBot="1">
      <c r="A117" s="985">
        <v>34</v>
      </c>
      <c r="B117" s="383" t="s">
        <v>48</v>
      </c>
      <c r="C117" s="384" t="s">
        <v>653</v>
      </c>
      <c r="D117" s="312"/>
      <c r="E117" s="314">
        <v>10</v>
      </c>
      <c r="F117" s="710"/>
      <c r="G117">
        <v>1000</v>
      </c>
      <c r="H117" s="561">
        <f t="shared" si="1"/>
        <v>10000</v>
      </c>
    </row>
    <row r="118" spans="1:8" ht="17.25" thickBot="1">
      <c r="A118" s="985">
        <v>35</v>
      </c>
      <c r="B118" s="383" t="s">
        <v>138</v>
      </c>
      <c r="C118" s="384" t="s">
        <v>653</v>
      </c>
      <c r="D118" s="312"/>
      <c r="E118" s="314">
        <v>15</v>
      </c>
      <c r="F118" s="710"/>
      <c r="G118">
        <v>1000</v>
      </c>
      <c r="H118" s="561">
        <f t="shared" si="1"/>
        <v>15000</v>
      </c>
    </row>
    <row r="119" spans="1:8" ht="17.25" thickBot="1">
      <c r="A119" s="985">
        <v>36</v>
      </c>
      <c r="B119" s="383" t="s">
        <v>659</v>
      </c>
      <c r="C119" s="384" t="s">
        <v>653</v>
      </c>
      <c r="D119" s="314">
        <v>20</v>
      </c>
      <c r="E119" s="312"/>
      <c r="F119" s="710"/>
      <c r="G119">
        <v>1000</v>
      </c>
      <c r="H119" s="561">
        <f t="shared" si="1"/>
        <v>0</v>
      </c>
    </row>
    <row r="120" spans="1:8" ht="17.25" thickBot="1">
      <c r="A120" s="985">
        <v>37</v>
      </c>
      <c r="B120" s="383" t="s">
        <v>46</v>
      </c>
      <c r="C120" s="384" t="s">
        <v>653</v>
      </c>
      <c r="D120" s="312"/>
      <c r="E120" s="314">
        <v>10</v>
      </c>
      <c r="F120" s="710"/>
      <c r="G120">
        <v>1000</v>
      </c>
      <c r="H120" s="561">
        <f t="shared" si="1"/>
        <v>10000</v>
      </c>
    </row>
    <row r="121" spans="1:8" ht="17.25" thickBot="1">
      <c r="A121" s="985">
        <v>38</v>
      </c>
      <c r="B121" s="383" t="s">
        <v>52</v>
      </c>
      <c r="C121" s="384" t="s">
        <v>653</v>
      </c>
      <c r="D121" s="312"/>
      <c r="E121" s="314">
        <v>50</v>
      </c>
      <c r="F121" s="710"/>
      <c r="G121">
        <v>1000</v>
      </c>
      <c r="H121" s="561">
        <f t="shared" si="1"/>
        <v>50000</v>
      </c>
    </row>
    <row r="122" spans="1:8" ht="17.25" thickBot="1">
      <c r="A122" s="985">
        <v>39</v>
      </c>
      <c r="B122" s="383" t="s">
        <v>147</v>
      </c>
      <c r="C122" s="384" t="s">
        <v>653</v>
      </c>
      <c r="D122" s="312"/>
      <c r="E122" s="314">
        <v>10</v>
      </c>
      <c r="F122" s="710"/>
      <c r="G122">
        <v>1000</v>
      </c>
      <c r="H122" s="561">
        <f t="shared" si="1"/>
        <v>10000</v>
      </c>
    </row>
    <row r="123" spans="1:8" ht="17.25" thickBot="1">
      <c r="A123" s="985">
        <v>40</v>
      </c>
      <c r="B123" s="383" t="s">
        <v>146</v>
      </c>
      <c r="C123" s="384" t="s">
        <v>653</v>
      </c>
      <c r="D123" s="312"/>
      <c r="E123" s="314">
        <v>15</v>
      </c>
      <c r="F123" s="710"/>
      <c r="G123">
        <v>1000</v>
      </c>
      <c r="H123" s="561">
        <f t="shared" si="1"/>
        <v>15000</v>
      </c>
    </row>
    <row r="124" spans="1:8" ht="17.25" thickBot="1">
      <c r="A124" s="985">
        <v>41</v>
      </c>
      <c r="B124" s="383" t="s">
        <v>669</v>
      </c>
      <c r="C124" s="384" t="s">
        <v>668</v>
      </c>
      <c r="D124" s="314">
        <v>40</v>
      </c>
      <c r="E124" s="312"/>
      <c r="F124" s="710"/>
      <c r="G124">
        <v>1000</v>
      </c>
      <c r="H124" s="561">
        <f t="shared" si="1"/>
        <v>0</v>
      </c>
    </row>
    <row r="125" spans="1:8" ht="17.25" thickBot="1">
      <c r="A125" s="985">
        <v>42</v>
      </c>
      <c r="B125" s="383" t="s">
        <v>273</v>
      </c>
      <c r="C125" s="384" t="s">
        <v>668</v>
      </c>
      <c r="D125" s="312"/>
      <c r="E125" s="314">
        <v>10</v>
      </c>
      <c r="F125" s="710"/>
      <c r="G125">
        <v>1000</v>
      </c>
      <c r="H125" s="561">
        <f t="shared" si="1"/>
        <v>10000</v>
      </c>
    </row>
    <row r="126" spans="1:8" ht="15.75" thickBot="1">
      <c r="A126" s="985">
        <v>43</v>
      </c>
      <c r="B126" s="383" t="s">
        <v>693</v>
      </c>
      <c r="C126" s="384" t="s">
        <v>668</v>
      </c>
      <c r="D126" s="314">
        <v>10</v>
      </c>
      <c r="E126" s="711"/>
      <c r="F126" s="710"/>
      <c r="G126">
        <v>1000</v>
      </c>
      <c r="H126" s="561">
        <f t="shared" si="1"/>
        <v>0</v>
      </c>
    </row>
    <row r="127" spans="1:8" ht="17.25" thickBot="1">
      <c r="A127" s="985">
        <v>44</v>
      </c>
      <c r="B127" s="383" t="s">
        <v>39</v>
      </c>
      <c r="C127" s="384" t="s">
        <v>668</v>
      </c>
      <c r="D127" s="312"/>
      <c r="E127" s="314">
        <v>100</v>
      </c>
      <c r="F127" s="710"/>
      <c r="G127">
        <v>1000</v>
      </c>
      <c r="H127" s="561">
        <f t="shared" si="1"/>
        <v>100000</v>
      </c>
    </row>
    <row r="128" spans="1:8" ht="17.25" thickBot="1">
      <c r="A128" s="985">
        <v>45</v>
      </c>
      <c r="B128" s="383" t="s">
        <v>295</v>
      </c>
      <c r="C128" s="384" t="s">
        <v>668</v>
      </c>
      <c r="D128" s="312"/>
      <c r="E128" s="314">
        <v>50</v>
      </c>
      <c r="F128" s="710"/>
      <c r="G128">
        <v>1000</v>
      </c>
      <c r="H128" s="561">
        <f t="shared" si="1"/>
        <v>50000</v>
      </c>
    </row>
    <row r="129" spans="1:8" ht="15.75" thickBot="1">
      <c r="A129" s="985">
        <v>46</v>
      </c>
      <c r="B129" s="383" t="s">
        <v>671</v>
      </c>
      <c r="C129" s="384" t="s">
        <v>668</v>
      </c>
      <c r="D129" s="314">
        <v>15</v>
      </c>
      <c r="E129" s="711"/>
      <c r="F129" s="710"/>
      <c r="G129">
        <v>1000</v>
      </c>
      <c r="H129" s="561">
        <f t="shared" si="1"/>
        <v>0</v>
      </c>
    </row>
    <row r="130" spans="1:8" ht="17.25" thickBot="1">
      <c r="A130" s="985">
        <v>47</v>
      </c>
      <c r="B130" s="383" t="s">
        <v>1316</v>
      </c>
      <c r="C130" s="384" t="s">
        <v>668</v>
      </c>
      <c r="D130" s="312"/>
      <c r="E130" s="314">
        <v>30</v>
      </c>
      <c r="F130" s="710"/>
      <c r="G130">
        <v>1000</v>
      </c>
      <c r="H130" s="561">
        <f t="shared" si="1"/>
        <v>30000</v>
      </c>
    </row>
    <row r="131" spans="1:8" ht="17.25" thickBot="1">
      <c r="A131" s="985">
        <v>48</v>
      </c>
      <c r="B131" s="383" t="s">
        <v>262</v>
      </c>
      <c r="C131" s="384" t="s">
        <v>668</v>
      </c>
      <c r="D131" s="312"/>
      <c r="E131" s="314">
        <v>30</v>
      </c>
      <c r="F131" s="710"/>
      <c r="G131">
        <v>1000</v>
      </c>
      <c r="H131" s="561">
        <f t="shared" si="1"/>
        <v>30000</v>
      </c>
    </row>
    <row r="132" spans="1:8" ht="17.25" thickBot="1">
      <c r="A132" s="985">
        <v>49</v>
      </c>
      <c r="B132" s="383" t="s">
        <v>213</v>
      </c>
      <c r="C132" s="384" t="s">
        <v>668</v>
      </c>
      <c r="D132" s="312"/>
      <c r="E132" s="314">
        <v>35</v>
      </c>
      <c r="F132" s="710"/>
      <c r="G132">
        <v>1000</v>
      </c>
      <c r="H132" s="561">
        <f t="shared" si="1"/>
        <v>35000</v>
      </c>
    </row>
    <row r="133" spans="1:8" ht="17.25" thickBot="1">
      <c r="A133" s="985">
        <v>50</v>
      </c>
      <c r="B133" s="383" t="s">
        <v>29</v>
      </c>
      <c r="C133" s="384" t="s">
        <v>668</v>
      </c>
      <c r="D133" s="312"/>
      <c r="E133" s="314">
        <v>20</v>
      </c>
      <c r="F133" s="710"/>
      <c r="G133">
        <v>1000</v>
      </c>
      <c r="H133" s="561">
        <f t="shared" si="1"/>
        <v>20000</v>
      </c>
    </row>
    <row r="134" spans="1:8" ht="17.25" thickBot="1">
      <c r="A134" s="985">
        <v>51</v>
      </c>
      <c r="B134" s="383" t="s">
        <v>435</v>
      </c>
      <c r="C134" s="384" t="s">
        <v>668</v>
      </c>
      <c r="D134" s="312"/>
      <c r="E134" s="314">
        <v>45</v>
      </c>
      <c r="F134" s="710"/>
      <c r="G134">
        <v>1000</v>
      </c>
      <c r="H134" s="561">
        <f t="shared" si="1"/>
        <v>45000</v>
      </c>
    </row>
    <row r="135" spans="1:8" ht="17.25" thickBot="1">
      <c r="A135" s="985">
        <v>52</v>
      </c>
      <c r="B135" s="383" t="s">
        <v>31</v>
      </c>
      <c r="C135" s="384" t="s">
        <v>668</v>
      </c>
      <c r="D135" s="312"/>
      <c r="E135" s="314">
        <v>45</v>
      </c>
      <c r="F135" s="710"/>
      <c r="G135">
        <v>1000</v>
      </c>
      <c r="H135" s="561">
        <f t="shared" ref="H135:H198" si="2">E135*G135</f>
        <v>45000</v>
      </c>
    </row>
    <row r="136" spans="1:8" ht="15.75" thickBot="1">
      <c r="A136" s="985">
        <v>53</v>
      </c>
      <c r="B136" s="383" t="s">
        <v>732</v>
      </c>
      <c r="C136" s="384" t="s">
        <v>668</v>
      </c>
      <c r="D136" s="314">
        <v>15</v>
      </c>
      <c r="E136" s="710"/>
      <c r="F136" s="710"/>
      <c r="G136">
        <v>1000</v>
      </c>
      <c r="H136" s="561">
        <f t="shared" si="2"/>
        <v>0</v>
      </c>
    </row>
    <row r="137" spans="1:8" ht="17.25" thickBot="1">
      <c r="A137" s="985">
        <v>54</v>
      </c>
      <c r="B137" s="383" t="s">
        <v>1473</v>
      </c>
      <c r="C137" s="384" t="s">
        <v>674</v>
      </c>
      <c r="D137" s="312"/>
      <c r="E137" s="314">
        <v>85</v>
      </c>
      <c r="F137" s="710"/>
      <c r="G137">
        <v>1000</v>
      </c>
      <c r="H137" s="561">
        <f t="shared" si="2"/>
        <v>85000</v>
      </c>
    </row>
    <row r="138" spans="1:8" ht="17.25" thickBot="1">
      <c r="A138" s="985">
        <v>55</v>
      </c>
      <c r="B138" s="383" t="s">
        <v>150</v>
      </c>
      <c r="C138" s="384" t="s">
        <v>674</v>
      </c>
      <c r="D138" s="312"/>
      <c r="E138" s="314">
        <v>10</v>
      </c>
      <c r="F138" s="710"/>
      <c r="G138">
        <v>1000</v>
      </c>
      <c r="H138" s="561">
        <f t="shared" si="2"/>
        <v>10000</v>
      </c>
    </row>
    <row r="139" spans="1:8" ht="29.25" thickBot="1">
      <c r="A139" s="700" t="s">
        <v>758</v>
      </c>
      <c r="B139" s="701"/>
      <c r="C139" s="318"/>
      <c r="D139" s="696">
        <v>535</v>
      </c>
      <c r="E139" s="696" t="s">
        <v>1550</v>
      </c>
      <c r="F139" s="696"/>
      <c r="G139">
        <v>1000</v>
      </c>
      <c r="H139" s="561" t="e">
        <f t="shared" si="2"/>
        <v>#VALUE!</v>
      </c>
    </row>
    <row r="140" spans="1:8" ht="15.75" customHeight="1" thickBot="1">
      <c r="A140" s="700" t="s">
        <v>864</v>
      </c>
      <c r="B140" s="701"/>
      <c r="C140" s="318"/>
      <c r="D140" s="700" t="s">
        <v>1551</v>
      </c>
      <c r="E140" s="701"/>
      <c r="F140" s="697"/>
      <c r="G140">
        <v>1000</v>
      </c>
      <c r="H140" s="561">
        <f t="shared" si="2"/>
        <v>0</v>
      </c>
    </row>
    <row r="141" spans="1:8">
      <c r="A141" s="244"/>
      <c r="G141">
        <v>1000</v>
      </c>
      <c r="H141" s="561">
        <f t="shared" si="2"/>
        <v>0</v>
      </c>
    </row>
    <row r="142" spans="1:8">
      <c r="A142" s="284"/>
      <c r="G142">
        <v>1000</v>
      </c>
      <c r="H142" s="561">
        <f t="shared" si="2"/>
        <v>0</v>
      </c>
    </row>
    <row r="143" spans="1:8" ht="16.5">
      <c r="A143" s="246"/>
      <c r="B143" s="248"/>
      <c r="G143">
        <v>1000</v>
      </c>
      <c r="H143" s="561">
        <f t="shared" si="2"/>
        <v>0</v>
      </c>
    </row>
    <row r="144" spans="1:8" ht="15.75">
      <c r="A144" s="205" t="s">
        <v>704</v>
      </c>
      <c r="G144">
        <v>1000</v>
      </c>
      <c r="H144" s="561">
        <f t="shared" si="2"/>
        <v>0</v>
      </c>
    </row>
    <row r="145" spans="1:8" ht="15.75">
      <c r="A145" s="205"/>
      <c r="G145">
        <v>1000</v>
      </c>
      <c r="H145" s="561">
        <f t="shared" si="2"/>
        <v>0</v>
      </c>
    </row>
    <row r="146" spans="1:8">
      <c r="A146" s="686" t="s">
        <v>1541</v>
      </c>
      <c r="G146">
        <v>1000</v>
      </c>
      <c r="H146" s="561">
        <f t="shared" si="2"/>
        <v>0</v>
      </c>
    </row>
    <row r="147" spans="1:8" ht="15.75">
      <c r="A147" s="232" t="s">
        <v>1546</v>
      </c>
      <c r="G147">
        <v>1000</v>
      </c>
      <c r="H147" s="561">
        <f t="shared" si="2"/>
        <v>0</v>
      </c>
    </row>
    <row r="148" spans="1:8" ht="16.5" thickBot="1">
      <c r="A148" s="232"/>
      <c r="G148">
        <v>1000</v>
      </c>
      <c r="H148" s="561">
        <f t="shared" si="2"/>
        <v>0</v>
      </c>
    </row>
    <row r="149" spans="1:8" ht="29.25" thickBot="1">
      <c r="A149" s="1004" t="s">
        <v>0</v>
      </c>
      <c r="B149" s="1005" t="s">
        <v>121</v>
      </c>
      <c r="C149" s="1005" t="s">
        <v>632</v>
      </c>
      <c r="D149" s="1005" t="s">
        <v>894</v>
      </c>
      <c r="E149" s="1005" t="s">
        <v>699</v>
      </c>
      <c r="G149">
        <v>1000</v>
      </c>
      <c r="H149" s="561" t="e">
        <f t="shared" si="2"/>
        <v>#VALUE!</v>
      </c>
    </row>
    <row r="150" spans="1:8" ht="45.75" thickBot="1">
      <c r="A150" s="694">
        <v>1</v>
      </c>
      <c r="B150" s="383" t="s">
        <v>1552</v>
      </c>
      <c r="C150" s="384" t="s">
        <v>1171</v>
      </c>
      <c r="D150" s="384">
        <v>10</v>
      </c>
      <c r="E150" s="314"/>
      <c r="G150">
        <v>1000</v>
      </c>
      <c r="H150" s="561">
        <f t="shared" si="2"/>
        <v>0</v>
      </c>
    </row>
    <row r="151" spans="1:8" ht="45.75" thickBot="1">
      <c r="A151" s="694">
        <v>2</v>
      </c>
      <c r="B151" s="383" t="s">
        <v>1177</v>
      </c>
      <c r="C151" s="384" t="s">
        <v>1171</v>
      </c>
      <c r="D151" s="314">
        <v>10</v>
      </c>
      <c r="E151" s="314"/>
      <c r="G151">
        <v>1000</v>
      </c>
      <c r="H151" s="561">
        <f t="shared" si="2"/>
        <v>0</v>
      </c>
    </row>
    <row r="152" spans="1:8" ht="45.75" thickBot="1">
      <c r="A152" s="694">
        <v>3</v>
      </c>
      <c r="B152" s="383" t="s">
        <v>1410</v>
      </c>
      <c r="C152" s="384" t="s">
        <v>1171</v>
      </c>
      <c r="D152" s="314">
        <v>10</v>
      </c>
      <c r="E152" s="314"/>
      <c r="G152">
        <v>1000</v>
      </c>
      <c r="H152" s="561">
        <f t="shared" si="2"/>
        <v>0</v>
      </c>
    </row>
    <row r="153" spans="1:8" ht="30.75" thickBot="1">
      <c r="A153" s="694">
        <v>4</v>
      </c>
      <c r="B153" s="383" t="s">
        <v>1183</v>
      </c>
      <c r="C153" s="384" t="s">
        <v>1182</v>
      </c>
      <c r="D153" s="314">
        <v>10</v>
      </c>
      <c r="E153" s="314"/>
      <c r="G153">
        <v>1000</v>
      </c>
      <c r="H153" s="561">
        <f t="shared" si="2"/>
        <v>0</v>
      </c>
    </row>
    <row r="154" spans="1:8" ht="30.75" thickBot="1">
      <c r="A154" s="694">
        <v>5</v>
      </c>
      <c r="B154" s="383" t="s">
        <v>1201</v>
      </c>
      <c r="C154" s="384" t="s">
        <v>1198</v>
      </c>
      <c r="D154" s="314">
        <v>10</v>
      </c>
      <c r="E154" s="314"/>
      <c r="G154">
        <v>1000</v>
      </c>
      <c r="H154" s="561">
        <f t="shared" si="2"/>
        <v>0</v>
      </c>
    </row>
    <row r="155" spans="1:8" ht="30.75" thickBot="1">
      <c r="A155" s="694">
        <v>6</v>
      </c>
      <c r="B155" s="383" t="s">
        <v>1199</v>
      </c>
      <c r="C155" s="384" t="s">
        <v>1198</v>
      </c>
      <c r="D155" s="314">
        <v>10</v>
      </c>
      <c r="E155" s="314"/>
      <c r="G155">
        <v>1000</v>
      </c>
      <c r="H155" s="561">
        <f t="shared" si="2"/>
        <v>0</v>
      </c>
    </row>
    <row r="156" spans="1:8" ht="30.75" thickBot="1">
      <c r="A156" s="694">
        <v>7</v>
      </c>
      <c r="B156" s="383" t="s">
        <v>863</v>
      </c>
      <c r="C156" s="384" t="s">
        <v>1198</v>
      </c>
      <c r="D156" s="314">
        <v>10</v>
      </c>
      <c r="E156" s="314"/>
      <c r="G156">
        <v>1000</v>
      </c>
      <c r="H156" s="561">
        <f t="shared" si="2"/>
        <v>0</v>
      </c>
    </row>
    <row r="157" spans="1:8" ht="15.75" thickBot="1">
      <c r="A157" s="700" t="s">
        <v>758</v>
      </c>
      <c r="B157" s="701"/>
      <c r="C157" s="318"/>
      <c r="D157" s="695">
        <v>70000</v>
      </c>
      <c r="E157" s="696"/>
      <c r="G157">
        <v>1000</v>
      </c>
      <c r="H157" s="561">
        <f t="shared" si="2"/>
        <v>0</v>
      </c>
    </row>
    <row r="158" spans="1:8">
      <c r="A158" s="244"/>
      <c r="G158">
        <v>1000</v>
      </c>
      <c r="H158" s="561">
        <f t="shared" si="2"/>
        <v>0</v>
      </c>
    </row>
    <row r="159" spans="1:8" ht="15.75">
      <c r="A159" s="205" t="s">
        <v>759</v>
      </c>
      <c r="G159">
        <v>1000</v>
      </c>
      <c r="H159" s="561">
        <f t="shared" si="2"/>
        <v>0</v>
      </c>
    </row>
    <row r="160" spans="1:8" ht="15.75">
      <c r="A160" s="205"/>
      <c r="G160">
        <v>1000</v>
      </c>
      <c r="H160" s="561">
        <f t="shared" si="2"/>
        <v>0</v>
      </c>
    </row>
    <row r="161" spans="1:8" ht="15.75">
      <c r="A161" s="205" t="s">
        <v>1510</v>
      </c>
      <c r="G161">
        <v>1000</v>
      </c>
      <c r="H161" s="561">
        <f t="shared" si="2"/>
        <v>0</v>
      </c>
    </row>
    <row r="162" spans="1:8" ht="15.75">
      <c r="A162" s="232" t="s">
        <v>1553</v>
      </c>
      <c r="G162">
        <v>1000</v>
      </c>
      <c r="H162" s="561">
        <f t="shared" si="2"/>
        <v>0</v>
      </c>
    </row>
    <row r="163" spans="1:8" ht="15.75" thickBot="1">
      <c r="A163" s="987"/>
      <c r="G163">
        <v>1000</v>
      </c>
      <c r="H163" s="561">
        <f t="shared" si="2"/>
        <v>0</v>
      </c>
    </row>
    <row r="164" spans="1:8" ht="48" thickBot="1">
      <c r="A164" s="252" t="s">
        <v>0</v>
      </c>
      <c r="B164" s="253" t="s">
        <v>632</v>
      </c>
      <c r="C164" s="988" t="s">
        <v>1245</v>
      </c>
      <c r="D164" s="989" t="s">
        <v>634</v>
      </c>
      <c r="G164">
        <v>1000</v>
      </c>
      <c r="H164" s="561">
        <f t="shared" si="2"/>
        <v>0</v>
      </c>
    </row>
    <row r="165" spans="1:8" ht="16.5" thickBot="1">
      <c r="A165" s="273">
        <v>1</v>
      </c>
      <c r="B165" s="256" t="s">
        <v>888</v>
      </c>
      <c r="C165" s="990">
        <v>500000</v>
      </c>
      <c r="D165" s="413"/>
      <c r="G165">
        <v>1000</v>
      </c>
      <c r="H165" s="561">
        <f t="shared" si="2"/>
        <v>0</v>
      </c>
    </row>
    <row r="166" spans="1:8" ht="16.5" thickBot="1">
      <c r="A166" s="288" t="s">
        <v>758</v>
      </c>
      <c r="B166" s="289"/>
      <c r="C166" s="991">
        <v>500000</v>
      </c>
      <c r="D166" s="418"/>
      <c r="G166">
        <v>1000</v>
      </c>
      <c r="H166" s="561">
        <f t="shared" si="2"/>
        <v>0</v>
      </c>
    </row>
    <row r="167" spans="1:8">
      <c r="A167" s="244"/>
      <c r="G167">
        <v>1000</v>
      </c>
      <c r="H167" s="561">
        <f t="shared" si="2"/>
        <v>0</v>
      </c>
    </row>
    <row r="168" spans="1:8">
      <c r="G168">
        <v>1000</v>
      </c>
      <c r="H168" s="561">
        <f t="shared" si="2"/>
        <v>0</v>
      </c>
    </row>
    <row r="169" spans="1:8">
      <c r="G169">
        <v>1000</v>
      </c>
      <c r="H169" s="561">
        <f t="shared" si="2"/>
        <v>0</v>
      </c>
    </row>
    <row r="170" spans="1:8">
      <c r="G170">
        <v>1000</v>
      </c>
      <c r="H170" s="561">
        <f t="shared" si="2"/>
        <v>0</v>
      </c>
    </row>
    <row r="171" spans="1:8">
      <c r="G171">
        <v>1000</v>
      </c>
      <c r="H171" s="561">
        <f t="shared" si="2"/>
        <v>0</v>
      </c>
    </row>
    <row r="172" spans="1:8">
      <c r="G172">
        <v>1000</v>
      </c>
      <c r="H172" s="561">
        <f t="shared" si="2"/>
        <v>0</v>
      </c>
    </row>
    <row r="173" spans="1:8">
      <c r="G173">
        <v>1000</v>
      </c>
      <c r="H173" s="561">
        <f t="shared" si="2"/>
        <v>0</v>
      </c>
    </row>
    <row r="174" spans="1:8">
      <c r="G174">
        <v>1000</v>
      </c>
      <c r="H174" s="561">
        <f t="shared" si="2"/>
        <v>0</v>
      </c>
    </row>
    <row r="175" spans="1:8">
      <c r="G175">
        <v>1000</v>
      </c>
      <c r="H175" s="561">
        <f t="shared" si="2"/>
        <v>0</v>
      </c>
    </row>
    <row r="176" spans="1:8">
      <c r="G176">
        <v>1000</v>
      </c>
      <c r="H176" s="561">
        <f t="shared" si="2"/>
        <v>0</v>
      </c>
    </row>
    <row r="177" spans="7:8">
      <c r="G177">
        <v>1000</v>
      </c>
      <c r="H177" s="561">
        <f t="shared" si="2"/>
        <v>0</v>
      </c>
    </row>
    <row r="178" spans="7:8">
      <c r="G178">
        <v>1000</v>
      </c>
      <c r="H178" s="561">
        <f t="shared" si="2"/>
        <v>0</v>
      </c>
    </row>
    <row r="179" spans="7:8">
      <c r="G179">
        <v>1000</v>
      </c>
      <c r="H179" s="561">
        <f t="shared" si="2"/>
        <v>0</v>
      </c>
    </row>
    <row r="180" spans="7:8">
      <c r="G180">
        <v>1000</v>
      </c>
      <c r="H180" s="561">
        <f t="shared" si="2"/>
        <v>0</v>
      </c>
    </row>
    <row r="181" spans="7:8">
      <c r="G181">
        <v>1000</v>
      </c>
      <c r="H181" s="561">
        <f t="shared" si="2"/>
        <v>0</v>
      </c>
    </row>
    <row r="182" spans="7:8">
      <c r="G182">
        <v>1000</v>
      </c>
      <c r="H182" s="561">
        <f t="shared" si="2"/>
        <v>0</v>
      </c>
    </row>
    <row r="183" spans="7:8">
      <c r="G183">
        <v>1000</v>
      </c>
      <c r="H183" s="561">
        <f t="shared" si="2"/>
        <v>0</v>
      </c>
    </row>
    <row r="184" spans="7:8">
      <c r="G184">
        <v>1000</v>
      </c>
      <c r="H184" s="561">
        <f t="shared" si="2"/>
        <v>0</v>
      </c>
    </row>
    <row r="185" spans="7:8">
      <c r="G185">
        <v>1000</v>
      </c>
      <c r="H185" s="561">
        <f t="shared" si="2"/>
        <v>0</v>
      </c>
    </row>
    <row r="186" spans="7:8">
      <c r="G186">
        <v>1000</v>
      </c>
      <c r="H186" s="561">
        <f t="shared" si="2"/>
        <v>0</v>
      </c>
    </row>
    <row r="187" spans="7:8">
      <c r="G187">
        <v>1000</v>
      </c>
      <c r="H187" s="561">
        <f t="shared" si="2"/>
        <v>0</v>
      </c>
    </row>
    <row r="188" spans="7:8">
      <c r="G188">
        <v>1000</v>
      </c>
      <c r="H188" s="561">
        <f t="shared" si="2"/>
        <v>0</v>
      </c>
    </row>
    <row r="189" spans="7:8">
      <c r="G189">
        <v>1000</v>
      </c>
      <c r="H189" s="561">
        <f t="shared" si="2"/>
        <v>0</v>
      </c>
    </row>
    <row r="190" spans="7:8">
      <c r="G190">
        <v>1000</v>
      </c>
      <c r="H190" s="561">
        <f t="shared" si="2"/>
        <v>0</v>
      </c>
    </row>
    <row r="191" spans="7:8">
      <c r="G191">
        <v>1000</v>
      </c>
      <c r="H191" s="561">
        <f t="shared" si="2"/>
        <v>0</v>
      </c>
    </row>
    <row r="192" spans="7:8">
      <c r="G192">
        <v>1000</v>
      </c>
      <c r="H192" s="561">
        <f t="shared" si="2"/>
        <v>0</v>
      </c>
    </row>
    <row r="193" spans="7:8">
      <c r="G193">
        <v>1000</v>
      </c>
      <c r="H193" s="561">
        <f t="shared" si="2"/>
        <v>0</v>
      </c>
    </row>
    <row r="194" spans="7:8">
      <c r="G194">
        <v>1000</v>
      </c>
      <c r="H194" s="561">
        <f t="shared" si="2"/>
        <v>0</v>
      </c>
    </row>
    <row r="195" spans="7:8">
      <c r="G195">
        <v>1000</v>
      </c>
      <c r="H195" s="561">
        <f t="shared" si="2"/>
        <v>0</v>
      </c>
    </row>
    <row r="196" spans="7:8">
      <c r="G196">
        <v>1000</v>
      </c>
      <c r="H196" s="561">
        <f t="shared" si="2"/>
        <v>0</v>
      </c>
    </row>
    <row r="197" spans="7:8">
      <c r="G197">
        <v>1000</v>
      </c>
      <c r="H197" s="561">
        <f t="shared" si="2"/>
        <v>0</v>
      </c>
    </row>
    <row r="198" spans="7:8">
      <c r="G198">
        <v>1000</v>
      </c>
      <c r="H198" s="561">
        <f t="shared" si="2"/>
        <v>0</v>
      </c>
    </row>
    <row r="199" spans="7:8">
      <c r="G199">
        <v>1000</v>
      </c>
      <c r="H199" s="561">
        <f t="shared" ref="H199:H222" si="3">E199*G199</f>
        <v>0</v>
      </c>
    </row>
    <row r="200" spans="7:8">
      <c r="G200">
        <v>1000</v>
      </c>
      <c r="H200" s="561">
        <f t="shared" si="3"/>
        <v>0</v>
      </c>
    </row>
    <row r="201" spans="7:8">
      <c r="G201">
        <v>1000</v>
      </c>
      <c r="H201" s="561">
        <f t="shared" si="3"/>
        <v>0</v>
      </c>
    </row>
    <row r="202" spans="7:8">
      <c r="G202">
        <v>1000</v>
      </c>
      <c r="H202" s="561">
        <f t="shared" si="3"/>
        <v>0</v>
      </c>
    </row>
    <row r="203" spans="7:8">
      <c r="G203">
        <v>1000</v>
      </c>
      <c r="H203" s="561">
        <f t="shared" si="3"/>
        <v>0</v>
      </c>
    </row>
    <row r="204" spans="7:8">
      <c r="G204">
        <v>1000</v>
      </c>
      <c r="H204" s="561">
        <f t="shared" si="3"/>
        <v>0</v>
      </c>
    </row>
    <row r="205" spans="7:8">
      <c r="G205">
        <v>1000</v>
      </c>
      <c r="H205" s="561">
        <f t="shared" si="3"/>
        <v>0</v>
      </c>
    </row>
    <row r="206" spans="7:8">
      <c r="G206">
        <v>1000</v>
      </c>
      <c r="H206" s="561">
        <f t="shared" si="3"/>
        <v>0</v>
      </c>
    </row>
    <row r="207" spans="7:8">
      <c r="G207">
        <v>1000</v>
      </c>
      <c r="H207" s="561">
        <f t="shared" si="3"/>
        <v>0</v>
      </c>
    </row>
    <row r="208" spans="7:8">
      <c r="G208">
        <v>1000</v>
      </c>
      <c r="H208" s="561">
        <f t="shared" si="3"/>
        <v>0</v>
      </c>
    </row>
    <row r="209" spans="7:8">
      <c r="G209">
        <v>1000</v>
      </c>
      <c r="H209" s="561">
        <f t="shared" si="3"/>
        <v>0</v>
      </c>
    </row>
    <row r="210" spans="7:8">
      <c r="G210">
        <v>1000</v>
      </c>
      <c r="H210" s="561">
        <f t="shared" si="3"/>
        <v>0</v>
      </c>
    </row>
    <row r="211" spans="7:8">
      <c r="G211">
        <v>1000</v>
      </c>
      <c r="H211" s="561">
        <f t="shared" si="3"/>
        <v>0</v>
      </c>
    </row>
    <row r="212" spans="7:8">
      <c r="G212">
        <v>1000</v>
      </c>
      <c r="H212" s="561">
        <f t="shared" si="3"/>
        <v>0</v>
      </c>
    </row>
    <row r="213" spans="7:8">
      <c r="G213">
        <v>1000</v>
      </c>
      <c r="H213" s="561">
        <f t="shared" si="3"/>
        <v>0</v>
      </c>
    </row>
    <row r="214" spans="7:8">
      <c r="G214">
        <v>1000</v>
      </c>
      <c r="H214" s="561">
        <f t="shared" si="3"/>
        <v>0</v>
      </c>
    </row>
    <row r="215" spans="7:8">
      <c r="G215">
        <v>1000</v>
      </c>
      <c r="H215" s="561">
        <f t="shared" si="3"/>
        <v>0</v>
      </c>
    </row>
    <row r="216" spans="7:8">
      <c r="G216">
        <v>1000</v>
      </c>
      <c r="H216" s="561">
        <f t="shared" si="3"/>
        <v>0</v>
      </c>
    </row>
    <row r="217" spans="7:8">
      <c r="G217">
        <v>1000</v>
      </c>
      <c r="H217" s="561">
        <f t="shared" si="3"/>
        <v>0</v>
      </c>
    </row>
    <row r="218" spans="7:8">
      <c r="G218">
        <v>1000</v>
      </c>
      <c r="H218" s="561">
        <f t="shared" si="3"/>
        <v>0</v>
      </c>
    </row>
    <row r="219" spans="7:8">
      <c r="G219">
        <v>1000</v>
      </c>
      <c r="H219" s="561">
        <f t="shared" si="3"/>
        <v>0</v>
      </c>
    </row>
    <row r="220" spans="7:8">
      <c r="G220">
        <v>1000</v>
      </c>
      <c r="H220" s="561">
        <f t="shared" si="3"/>
        <v>0</v>
      </c>
    </row>
    <row r="221" spans="7:8">
      <c r="G221">
        <v>1000</v>
      </c>
      <c r="H221" s="561">
        <f t="shared" si="3"/>
        <v>0</v>
      </c>
    </row>
    <row r="222" spans="7:8">
      <c r="G222">
        <v>1000</v>
      </c>
      <c r="H222" s="561">
        <f t="shared" si="3"/>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3"/>
  <sheetViews>
    <sheetView topLeftCell="A85" workbookViewId="0">
      <selection activeCell="H103" sqref="H103"/>
    </sheetView>
  </sheetViews>
  <sheetFormatPr defaultRowHeight="15"/>
  <cols>
    <col min="2" max="2" width="41" customWidth="1"/>
    <col min="4" max="4" width="16.85546875" customWidth="1"/>
    <col min="8" max="8" width="11.5703125" style="561" bestFit="1" customWidth="1"/>
  </cols>
  <sheetData>
    <row r="1" spans="1:8" ht="15.75">
      <c r="A1" s="295" t="s">
        <v>868</v>
      </c>
    </row>
    <row r="2" spans="1:8">
      <c r="A2" s="1007" t="s">
        <v>1500</v>
      </c>
    </row>
    <row r="3" spans="1:8" ht="15.75">
      <c r="A3" s="296" t="s">
        <v>1554</v>
      </c>
    </row>
    <row r="4" spans="1:8" ht="16.5" thickBot="1">
      <c r="A4" s="296"/>
    </row>
    <row r="5" spans="1:8" ht="28.5" customHeight="1" thickBot="1">
      <c r="A5" s="1008" t="s">
        <v>0</v>
      </c>
      <c r="B5" s="1008" t="s">
        <v>121</v>
      </c>
      <c r="C5" s="1008" t="s">
        <v>632</v>
      </c>
      <c r="D5" s="1025" t="s">
        <v>894</v>
      </c>
      <c r="E5" s="1026"/>
      <c r="F5" s="1008" t="s">
        <v>699</v>
      </c>
    </row>
    <row r="6" spans="1:8" ht="15.75" thickBot="1">
      <c r="A6" s="1027"/>
      <c r="B6" s="1027"/>
      <c r="C6" s="1027"/>
      <c r="D6" s="940" t="s">
        <v>828</v>
      </c>
      <c r="E6" s="940" t="s">
        <v>829</v>
      </c>
      <c r="F6" s="1027"/>
    </row>
    <row r="7" spans="1:8" ht="15.75" thickBot="1">
      <c r="A7" s="1009">
        <v>1</v>
      </c>
      <c r="B7" s="310" t="s">
        <v>645</v>
      </c>
      <c r="C7" s="311" t="s">
        <v>642</v>
      </c>
      <c r="D7" s="1010">
        <v>20</v>
      </c>
      <c r="E7" s="314"/>
      <c r="F7" s="314"/>
      <c r="G7">
        <v>1000</v>
      </c>
      <c r="H7" s="561">
        <f>E7*G7</f>
        <v>0</v>
      </c>
    </row>
    <row r="8" spans="1:8" ht="17.25" thickBot="1">
      <c r="A8" s="1009">
        <v>2</v>
      </c>
      <c r="B8" s="310" t="s">
        <v>153</v>
      </c>
      <c r="C8" s="311" t="s">
        <v>642</v>
      </c>
      <c r="D8" s="1011"/>
      <c r="E8" s="1010">
        <v>30</v>
      </c>
      <c r="F8" s="314"/>
      <c r="G8">
        <v>1000</v>
      </c>
      <c r="H8" s="561">
        <f t="shared" ref="H8:H71" si="0">E8*G8</f>
        <v>30000</v>
      </c>
    </row>
    <row r="9" spans="1:8" ht="17.25" thickBot="1">
      <c r="A9" s="1009">
        <v>3</v>
      </c>
      <c r="B9" s="310" t="s">
        <v>94</v>
      </c>
      <c r="C9" s="311" t="s">
        <v>642</v>
      </c>
      <c r="D9" s="1011"/>
      <c r="E9" s="1010">
        <v>30</v>
      </c>
      <c r="F9" s="314"/>
      <c r="G9">
        <v>1000</v>
      </c>
      <c r="H9" s="561">
        <f t="shared" si="0"/>
        <v>30000</v>
      </c>
    </row>
    <row r="10" spans="1:8" ht="17.25" thickBot="1">
      <c r="A10" s="1009">
        <v>4</v>
      </c>
      <c r="B10" s="310" t="s">
        <v>641</v>
      </c>
      <c r="C10" s="311" t="s">
        <v>717</v>
      </c>
      <c r="D10" s="1010">
        <v>70</v>
      </c>
      <c r="E10" s="1011"/>
      <c r="F10" s="314"/>
      <c r="G10">
        <v>1000</v>
      </c>
      <c r="H10" s="561">
        <f t="shared" si="0"/>
        <v>0</v>
      </c>
    </row>
    <row r="11" spans="1:8" ht="17.25" thickBot="1">
      <c r="A11" s="1009">
        <v>5</v>
      </c>
      <c r="B11" s="310" t="s">
        <v>640</v>
      </c>
      <c r="C11" s="311" t="s">
        <v>717</v>
      </c>
      <c r="D11" s="1010">
        <v>20</v>
      </c>
      <c r="E11" s="1011"/>
      <c r="F11" s="314"/>
      <c r="G11">
        <v>1000</v>
      </c>
      <c r="H11" s="561">
        <f t="shared" si="0"/>
        <v>0</v>
      </c>
    </row>
    <row r="12" spans="1:8" ht="17.25" thickBot="1">
      <c r="A12" s="1009">
        <v>6</v>
      </c>
      <c r="B12" s="310" t="s">
        <v>744</v>
      </c>
      <c r="C12" s="311" t="s">
        <v>717</v>
      </c>
      <c r="D12" s="1010">
        <v>100</v>
      </c>
      <c r="E12" s="1012"/>
      <c r="F12" s="314"/>
      <c r="G12">
        <v>1000</v>
      </c>
      <c r="H12" s="561">
        <f t="shared" si="0"/>
        <v>0</v>
      </c>
    </row>
    <row r="13" spans="1:8" ht="17.25" thickBot="1">
      <c r="A13" s="1009">
        <v>7</v>
      </c>
      <c r="B13" s="310" t="s">
        <v>96</v>
      </c>
      <c r="C13" s="311" t="s">
        <v>717</v>
      </c>
      <c r="D13" s="1011"/>
      <c r="E13" s="1010">
        <v>60</v>
      </c>
      <c r="F13" s="314"/>
      <c r="G13">
        <v>1000</v>
      </c>
      <c r="H13" s="561">
        <f t="shared" si="0"/>
        <v>60000</v>
      </c>
    </row>
    <row r="14" spans="1:8" ht="17.25" thickBot="1">
      <c r="A14" s="1009">
        <v>8</v>
      </c>
      <c r="B14" s="310" t="s">
        <v>154</v>
      </c>
      <c r="C14" s="311" t="s">
        <v>717</v>
      </c>
      <c r="D14" s="1011"/>
      <c r="E14" s="1010">
        <v>90</v>
      </c>
      <c r="F14" s="314"/>
      <c r="G14">
        <v>1000</v>
      </c>
      <c r="H14" s="561">
        <f t="shared" si="0"/>
        <v>90000</v>
      </c>
    </row>
    <row r="15" spans="1:8" ht="17.25" thickBot="1">
      <c r="A15" s="1009">
        <v>9</v>
      </c>
      <c r="B15" s="310" t="s">
        <v>210</v>
      </c>
      <c r="C15" s="311" t="s">
        <v>717</v>
      </c>
      <c r="D15" s="1011"/>
      <c r="E15" s="1010">
        <v>130</v>
      </c>
      <c r="F15" s="314"/>
      <c r="G15">
        <v>1000</v>
      </c>
      <c r="H15" s="561">
        <f t="shared" si="0"/>
        <v>130000</v>
      </c>
    </row>
    <row r="16" spans="1:8" ht="17.25" thickBot="1">
      <c r="A16" s="1009">
        <v>10</v>
      </c>
      <c r="B16" s="310" t="s">
        <v>687</v>
      </c>
      <c r="C16" s="311" t="s">
        <v>649</v>
      </c>
      <c r="D16" s="1010">
        <v>30</v>
      </c>
      <c r="E16" s="1011"/>
      <c r="F16" s="314"/>
      <c r="G16">
        <v>1000</v>
      </c>
      <c r="H16" s="561">
        <f t="shared" si="0"/>
        <v>0</v>
      </c>
    </row>
    <row r="17" spans="1:8" ht="17.25" thickBot="1">
      <c r="A17" s="1009">
        <v>11</v>
      </c>
      <c r="B17" s="310" t="s">
        <v>685</v>
      </c>
      <c r="C17" s="311" t="s">
        <v>649</v>
      </c>
      <c r="D17" s="1010">
        <v>70</v>
      </c>
      <c r="E17" s="1011"/>
      <c r="F17" s="314"/>
      <c r="G17">
        <v>1000</v>
      </c>
      <c r="H17" s="561">
        <f t="shared" si="0"/>
        <v>0</v>
      </c>
    </row>
    <row r="18" spans="1:8" ht="17.25" thickBot="1">
      <c r="A18" s="1009">
        <v>12</v>
      </c>
      <c r="B18" s="310" t="s">
        <v>686</v>
      </c>
      <c r="C18" s="311" t="s">
        <v>649</v>
      </c>
      <c r="D18" s="1010">
        <v>80</v>
      </c>
      <c r="E18" s="1011"/>
      <c r="F18" s="314"/>
      <c r="G18">
        <v>1000</v>
      </c>
      <c r="H18" s="561">
        <f t="shared" si="0"/>
        <v>0</v>
      </c>
    </row>
    <row r="19" spans="1:8" ht="17.25" thickBot="1">
      <c r="A19" s="1009">
        <v>13</v>
      </c>
      <c r="B19" s="310" t="s">
        <v>684</v>
      </c>
      <c r="C19" s="311" t="s">
        <v>649</v>
      </c>
      <c r="D19" s="1010">
        <v>240</v>
      </c>
      <c r="E19" s="1011"/>
      <c r="F19" s="314"/>
      <c r="G19">
        <v>1000</v>
      </c>
      <c r="H19" s="561">
        <f t="shared" si="0"/>
        <v>0</v>
      </c>
    </row>
    <row r="20" spans="1:8" ht="17.25" thickBot="1">
      <c r="A20" s="1009">
        <v>14</v>
      </c>
      <c r="B20" s="310" t="s">
        <v>205</v>
      </c>
      <c r="C20" s="311" t="s">
        <v>649</v>
      </c>
      <c r="D20" s="1011"/>
      <c r="E20" s="1010">
        <v>90</v>
      </c>
      <c r="F20" s="314"/>
      <c r="G20">
        <v>1000</v>
      </c>
      <c r="H20" s="561">
        <f t="shared" si="0"/>
        <v>90000</v>
      </c>
    </row>
    <row r="21" spans="1:8" ht="17.25" thickBot="1">
      <c r="A21" s="1009">
        <v>15</v>
      </c>
      <c r="B21" s="310" t="s">
        <v>721</v>
      </c>
      <c r="C21" s="311" t="s">
        <v>649</v>
      </c>
      <c r="D21" s="1011"/>
      <c r="E21" s="1010">
        <v>20</v>
      </c>
      <c r="F21" s="314"/>
      <c r="G21">
        <v>1000</v>
      </c>
      <c r="H21" s="561">
        <f t="shared" si="0"/>
        <v>20000</v>
      </c>
    </row>
    <row r="22" spans="1:8" ht="15.75" thickBot="1">
      <c r="A22" s="1009">
        <v>16</v>
      </c>
      <c r="B22" s="310" t="s">
        <v>723</v>
      </c>
      <c r="C22" s="311" t="s">
        <v>646</v>
      </c>
      <c r="D22" s="1010">
        <v>60</v>
      </c>
      <c r="E22" s="314"/>
      <c r="F22" s="314"/>
      <c r="G22">
        <v>1000</v>
      </c>
      <c r="H22" s="561">
        <f t="shared" si="0"/>
        <v>0</v>
      </c>
    </row>
    <row r="23" spans="1:8" ht="15.75" thickBot="1">
      <c r="A23" s="1009">
        <v>17</v>
      </c>
      <c r="B23" s="310" t="s">
        <v>722</v>
      </c>
      <c r="C23" s="311" t="s">
        <v>646</v>
      </c>
      <c r="D23" s="1010">
        <v>40</v>
      </c>
      <c r="E23" s="314"/>
      <c r="F23" s="314"/>
      <c r="G23">
        <v>1000</v>
      </c>
      <c r="H23" s="561">
        <f t="shared" si="0"/>
        <v>0</v>
      </c>
    </row>
    <row r="24" spans="1:8" ht="17.25" thickBot="1">
      <c r="A24" s="1009">
        <v>18</v>
      </c>
      <c r="B24" s="310" t="s">
        <v>683</v>
      </c>
      <c r="C24" s="311" t="s">
        <v>646</v>
      </c>
      <c r="D24" s="1010">
        <v>40</v>
      </c>
      <c r="E24" s="1012"/>
      <c r="F24" s="314"/>
      <c r="G24">
        <v>1000</v>
      </c>
      <c r="H24" s="561">
        <f t="shared" si="0"/>
        <v>0</v>
      </c>
    </row>
    <row r="25" spans="1:8" ht="17.25" thickBot="1">
      <c r="A25" s="1009">
        <v>19</v>
      </c>
      <c r="B25" s="310" t="s">
        <v>647</v>
      </c>
      <c r="C25" s="311" t="s">
        <v>646</v>
      </c>
      <c r="D25" s="1010">
        <v>20</v>
      </c>
      <c r="E25" s="1012"/>
      <c r="F25" s="314"/>
      <c r="G25">
        <v>1000</v>
      </c>
      <c r="H25" s="561">
        <f t="shared" si="0"/>
        <v>0</v>
      </c>
    </row>
    <row r="26" spans="1:8" ht="17.25" thickBot="1">
      <c r="A26" s="1009">
        <v>20</v>
      </c>
      <c r="B26" s="310" t="s">
        <v>168</v>
      </c>
      <c r="C26" s="311" t="s">
        <v>646</v>
      </c>
      <c r="D26" s="1011"/>
      <c r="E26" s="1010">
        <v>20</v>
      </c>
      <c r="F26" s="314"/>
      <c r="G26">
        <v>1000</v>
      </c>
      <c r="H26" s="561">
        <f t="shared" si="0"/>
        <v>20000</v>
      </c>
    </row>
    <row r="27" spans="1:8" ht="17.25" thickBot="1">
      <c r="A27" s="1009">
        <v>21</v>
      </c>
      <c r="B27" s="310" t="s">
        <v>148</v>
      </c>
      <c r="C27" s="311" t="s">
        <v>646</v>
      </c>
      <c r="D27" s="1011"/>
      <c r="E27" s="1010">
        <v>100</v>
      </c>
      <c r="F27" s="314"/>
      <c r="G27">
        <v>1000</v>
      </c>
      <c r="H27" s="561">
        <f t="shared" si="0"/>
        <v>100000</v>
      </c>
    </row>
    <row r="28" spans="1:8" ht="17.25" thickBot="1">
      <c r="A28" s="1009">
        <v>22</v>
      </c>
      <c r="B28" s="310" t="s">
        <v>725</v>
      </c>
      <c r="C28" s="311" t="s">
        <v>646</v>
      </c>
      <c r="D28" s="1011"/>
      <c r="E28" s="1010">
        <v>30</v>
      </c>
      <c r="F28" s="314"/>
      <c r="G28">
        <v>1000</v>
      </c>
      <c r="H28" s="561">
        <f t="shared" si="0"/>
        <v>30000</v>
      </c>
    </row>
    <row r="29" spans="1:8" ht="17.25" thickBot="1">
      <c r="A29" s="1009">
        <v>23</v>
      </c>
      <c r="B29" s="1013" t="s">
        <v>1434</v>
      </c>
      <c r="C29" s="311" t="s">
        <v>646</v>
      </c>
      <c r="D29" s="1011"/>
      <c r="E29" s="1010">
        <v>30</v>
      </c>
      <c r="F29" s="314"/>
      <c r="G29">
        <v>1000</v>
      </c>
      <c r="H29" s="561">
        <f t="shared" si="0"/>
        <v>30000</v>
      </c>
    </row>
    <row r="30" spans="1:8" ht="15.75" thickBot="1">
      <c r="A30" s="1009">
        <v>24</v>
      </c>
      <c r="B30" s="310" t="s">
        <v>651</v>
      </c>
      <c r="C30" s="311" t="s">
        <v>650</v>
      </c>
      <c r="D30" s="1010">
        <v>50</v>
      </c>
      <c r="E30" s="314"/>
      <c r="F30" s="314"/>
      <c r="G30">
        <v>1000</v>
      </c>
      <c r="H30" s="561">
        <f t="shared" si="0"/>
        <v>0</v>
      </c>
    </row>
    <row r="31" spans="1:8" ht="17.25" thickBot="1">
      <c r="A31" s="1009">
        <v>25</v>
      </c>
      <c r="B31" s="310" t="s">
        <v>688</v>
      </c>
      <c r="C31" s="311" t="s">
        <v>650</v>
      </c>
      <c r="D31" s="1010">
        <v>140</v>
      </c>
      <c r="E31" s="1011"/>
      <c r="F31" s="314"/>
      <c r="G31">
        <v>1000</v>
      </c>
      <c r="H31" s="561">
        <f t="shared" si="0"/>
        <v>0</v>
      </c>
    </row>
    <row r="32" spans="1:8" ht="17.25" thickBot="1">
      <c r="A32" s="1009">
        <v>26</v>
      </c>
      <c r="B32" s="310" t="s">
        <v>269</v>
      </c>
      <c r="C32" s="311" t="s">
        <v>650</v>
      </c>
      <c r="D32" s="1011"/>
      <c r="E32" s="1010">
        <v>50</v>
      </c>
      <c r="F32" s="314"/>
      <c r="G32">
        <v>1000</v>
      </c>
      <c r="H32" s="561">
        <f t="shared" si="0"/>
        <v>50000</v>
      </c>
    </row>
    <row r="33" spans="1:8" ht="17.25" thickBot="1">
      <c r="A33" s="309">
        <v>27</v>
      </c>
      <c r="B33" s="310" t="s">
        <v>689</v>
      </c>
      <c r="C33" s="311" t="s">
        <v>653</v>
      </c>
      <c r="D33" s="1010">
        <v>80</v>
      </c>
      <c r="E33" s="1011"/>
      <c r="F33" s="314"/>
      <c r="G33">
        <v>1000</v>
      </c>
      <c r="H33" s="561">
        <f t="shared" si="0"/>
        <v>0</v>
      </c>
    </row>
    <row r="34" spans="1:8" ht="17.25" thickBot="1">
      <c r="A34" s="309">
        <v>28</v>
      </c>
      <c r="B34" s="310" t="s">
        <v>656</v>
      </c>
      <c r="C34" s="311" t="s">
        <v>653</v>
      </c>
      <c r="D34" s="1010">
        <v>110</v>
      </c>
      <c r="E34" s="1011"/>
      <c r="F34" s="314"/>
      <c r="G34">
        <v>1000</v>
      </c>
      <c r="H34" s="561">
        <f t="shared" si="0"/>
        <v>0</v>
      </c>
    </row>
    <row r="35" spans="1:8" ht="17.25" thickBot="1">
      <c r="A35" s="309">
        <v>29</v>
      </c>
      <c r="B35" s="310" t="s">
        <v>658</v>
      </c>
      <c r="C35" s="311" t="s">
        <v>653</v>
      </c>
      <c r="D35" s="1010">
        <v>100</v>
      </c>
      <c r="E35" s="1011"/>
      <c r="F35" s="314"/>
      <c r="G35">
        <v>1000</v>
      </c>
      <c r="H35" s="561">
        <f t="shared" si="0"/>
        <v>0</v>
      </c>
    </row>
    <row r="36" spans="1:8" ht="17.25" thickBot="1">
      <c r="A36" s="309">
        <v>30</v>
      </c>
      <c r="B36" s="310" t="s">
        <v>730</v>
      </c>
      <c r="C36" s="311" t="s">
        <v>653</v>
      </c>
      <c r="D36" s="1010">
        <v>100</v>
      </c>
      <c r="E36" s="1012"/>
      <c r="F36" s="314"/>
      <c r="G36">
        <v>1000</v>
      </c>
      <c r="H36" s="561">
        <f t="shared" si="0"/>
        <v>0</v>
      </c>
    </row>
    <row r="37" spans="1:8" ht="17.25" thickBot="1">
      <c r="A37" s="309">
        <v>31</v>
      </c>
      <c r="B37" s="310" t="s">
        <v>659</v>
      </c>
      <c r="C37" s="311" t="s">
        <v>653</v>
      </c>
      <c r="D37" s="1010">
        <v>110</v>
      </c>
      <c r="E37" s="1012"/>
      <c r="F37" s="314"/>
      <c r="G37">
        <v>1000</v>
      </c>
      <c r="H37" s="561">
        <f t="shared" si="0"/>
        <v>0</v>
      </c>
    </row>
    <row r="38" spans="1:8" ht="17.25" thickBot="1">
      <c r="A38" s="309">
        <v>32</v>
      </c>
      <c r="B38" s="310" t="s">
        <v>146</v>
      </c>
      <c r="C38" s="311" t="s">
        <v>653</v>
      </c>
      <c r="D38" s="1011"/>
      <c r="E38" s="1010">
        <v>30</v>
      </c>
      <c r="F38" s="314"/>
      <c r="G38">
        <v>1000</v>
      </c>
      <c r="H38" s="561">
        <f t="shared" si="0"/>
        <v>30000</v>
      </c>
    </row>
    <row r="39" spans="1:8" ht="17.25" thickBot="1">
      <c r="A39" s="309">
        <v>33</v>
      </c>
      <c r="B39" s="310" t="s">
        <v>147</v>
      </c>
      <c r="C39" s="311" t="s">
        <v>653</v>
      </c>
      <c r="D39" s="1011"/>
      <c r="E39" s="1010">
        <v>140</v>
      </c>
      <c r="F39" s="314"/>
      <c r="G39">
        <v>1000</v>
      </c>
      <c r="H39" s="561">
        <f t="shared" si="0"/>
        <v>140000</v>
      </c>
    </row>
    <row r="40" spans="1:8" ht="17.25" thickBot="1">
      <c r="A40" s="309">
        <v>34</v>
      </c>
      <c r="B40" s="310" t="s">
        <v>60</v>
      </c>
      <c r="C40" s="311" t="s">
        <v>653</v>
      </c>
      <c r="D40" s="1011"/>
      <c r="E40" s="1010">
        <v>30</v>
      </c>
      <c r="F40" s="314"/>
      <c r="G40">
        <v>1000</v>
      </c>
      <c r="H40" s="561">
        <f t="shared" si="0"/>
        <v>30000</v>
      </c>
    </row>
    <row r="41" spans="1:8" ht="17.25" thickBot="1">
      <c r="A41" s="309">
        <v>35</v>
      </c>
      <c r="B41" s="310" t="s">
        <v>690</v>
      </c>
      <c r="C41" s="311" t="s">
        <v>653</v>
      </c>
      <c r="D41" s="1011"/>
      <c r="E41" s="1010">
        <v>60</v>
      </c>
      <c r="F41" s="314"/>
      <c r="G41">
        <v>1000</v>
      </c>
      <c r="H41" s="561">
        <f t="shared" si="0"/>
        <v>60000</v>
      </c>
    </row>
    <row r="42" spans="1:8" ht="17.25" thickBot="1">
      <c r="A42" s="309">
        <v>36</v>
      </c>
      <c r="B42" s="310" t="s">
        <v>138</v>
      </c>
      <c r="C42" s="311" t="s">
        <v>653</v>
      </c>
      <c r="D42" s="1011"/>
      <c r="E42" s="1010">
        <v>50</v>
      </c>
      <c r="F42" s="314"/>
      <c r="G42">
        <v>1000</v>
      </c>
      <c r="H42" s="561">
        <f t="shared" si="0"/>
        <v>50000</v>
      </c>
    </row>
    <row r="43" spans="1:8" ht="17.25" thickBot="1">
      <c r="A43" s="309">
        <v>37</v>
      </c>
      <c r="B43" s="310" t="s">
        <v>46</v>
      </c>
      <c r="C43" s="311" t="s">
        <v>653</v>
      </c>
      <c r="D43" s="1011"/>
      <c r="E43" s="1010">
        <v>30</v>
      </c>
      <c r="F43" s="314"/>
      <c r="G43">
        <v>1000</v>
      </c>
      <c r="H43" s="561">
        <f t="shared" si="0"/>
        <v>30000</v>
      </c>
    </row>
    <row r="44" spans="1:8" ht="17.25" thickBot="1">
      <c r="A44" s="309">
        <v>38</v>
      </c>
      <c r="B44" s="1013" t="s">
        <v>1466</v>
      </c>
      <c r="C44" s="311" t="s">
        <v>653</v>
      </c>
      <c r="D44" s="1011"/>
      <c r="E44" s="1010">
        <v>60</v>
      </c>
      <c r="F44" s="314"/>
      <c r="G44">
        <v>1000</v>
      </c>
      <c r="H44" s="561">
        <f t="shared" si="0"/>
        <v>60000</v>
      </c>
    </row>
    <row r="45" spans="1:8" ht="15.75" thickBot="1">
      <c r="A45" s="309">
        <v>39</v>
      </c>
      <c r="B45" s="310" t="s">
        <v>670</v>
      </c>
      <c r="C45" s="311" t="s">
        <v>668</v>
      </c>
      <c r="D45" s="1010">
        <v>30</v>
      </c>
      <c r="E45" s="314"/>
      <c r="F45" s="314"/>
      <c r="G45">
        <v>1000</v>
      </c>
      <c r="H45" s="561">
        <f t="shared" si="0"/>
        <v>0</v>
      </c>
    </row>
    <row r="46" spans="1:8" ht="15.75" thickBot="1">
      <c r="A46" s="309">
        <v>40</v>
      </c>
      <c r="B46" s="310" t="s">
        <v>693</v>
      </c>
      <c r="C46" s="311" t="s">
        <v>668</v>
      </c>
      <c r="D46" s="1010">
        <v>50</v>
      </c>
      <c r="E46" s="314"/>
      <c r="F46" s="314"/>
      <c r="G46">
        <v>1000</v>
      </c>
      <c r="H46" s="561">
        <f t="shared" si="0"/>
        <v>0</v>
      </c>
    </row>
    <row r="47" spans="1:8" ht="17.25" thickBot="1">
      <c r="A47" s="309">
        <v>41</v>
      </c>
      <c r="B47" s="310" t="s">
        <v>672</v>
      </c>
      <c r="C47" s="311" t="s">
        <v>668</v>
      </c>
      <c r="D47" s="1010">
        <v>170</v>
      </c>
      <c r="E47" s="1012"/>
      <c r="F47" s="314"/>
      <c r="G47">
        <v>1000</v>
      </c>
      <c r="H47" s="561">
        <f t="shared" si="0"/>
        <v>0</v>
      </c>
    </row>
    <row r="48" spans="1:8" ht="17.25" thickBot="1">
      <c r="A48" s="309">
        <v>42</v>
      </c>
      <c r="B48" s="310" t="s">
        <v>671</v>
      </c>
      <c r="C48" s="311" t="s">
        <v>668</v>
      </c>
      <c r="D48" s="1010">
        <v>60</v>
      </c>
      <c r="E48" s="1012"/>
      <c r="F48" s="314"/>
      <c r="G48">
        <v>1000</v>
      </c>
      <c r="H48" s="561">
        <f t="shared" si="0"/>
        <v>0</v>
      </c>
    </row>
    <row r="49" spans="1:8" ht="17.25" thickBot="1">
      <c r="A49" s="309">
        <v>43</v>
      </c>
      <c r="B49" s="310" t="s">
        <v>732</v>
      </c>
      <c r="C49" s="311" t="s">
        <v>668</v>
      </c>
      <c r="D49" s="1010">
        <v>150</v>
      </c>
      <c r="E49" s="1012"/>
      <c r="F49" s="314"/>
      <c r="G49">
        <v>1000</v>
      </c>
      <c r="H49" s="561">
        <f t="shared" si="0"/>
        <v>0</v>
      </c>
    </row>
    <row r="50" spans="1:8" ht="17.25" thickBot="1">
      <c r="A50" s="309">
        <v>44</v>
      </c>
      <c r="B50" s="310" t="s">
        <v>692</v>
      </c>
      <c r="C50" s="311" t="s">
        <v>668</v>
      </c>
      <c r="D50" s="1010">
        <v>50</v>
      </c>
      <c r="E50" s="1012"/>
      <c r="F50" s="314"/>
      <c r="G50">
        <v>1000</v>
      </c>
      <c r="H50" s="561">
        <f t="shared" si="0"/>
        <v>0</v>
      </c>
    </row>
    <row r="51" spans="1:8" ht="17.25" thickBot="1">
      <c r="A51" s="309">
        <v>45</v>
      </c>
      <c r="B51" s="310" t="s">
        <v>675</v>
      </c>
      <c r="C51" s="311" t="s">
        <v>674</v>
      </c>
      <c r="D51" s="1010">
        <v>30</v>
      </c>
      <c r="E51" s="1012"/>
      <c r="F51" s="314"/>
      <c r="G51">
        <v>1000</v>
      </c>
      <c r="H51" s="561">
        <f t="shared" si="0"/>
        <v>0</v>
      </c>
    </row>
    <row r="52" spans="1:8" ht="17.25" thickBot="1">
      <c r="A52" s="309">
        <v>46</v>
      </c>
      <c r="B52" s="310" t="s">
        <v>182</v>
      </c>
      <c r="C52" s="311" t="s">
        <v>674</v>
      </c>
      <c r="D52" s="1011"/>
      <c r="E52" s="1010">
        <v>30</v>
      </c>
      <c r="F52" s="314"/>
      <c r="G52">
        <v>1000</v>
      </c>
      <c r="H52" s="561">
        <f t="shared" si="0"/>
        <v>30000</v>
      </c>
    </row>
    <row r="53" spans="1:8" ht="17.25" thickBot="1">
      <c r="A53" s="309">
        <v>47</v>
      </c>
      <c r="B53" s="310" t="s">
        <v>149</v>
      </c>
      <c r="C53" s="311" t="s">
        <v>674</v>
      </c>
      <c r="D53" s="1011"/>
      <c r="E53" s="1010">
        <v>90</v>
      </c>
      <c r="F53" s="314"/>
      <c r="G53">
        <v>1000</v>
      </c>
      <c r="H53" s="561">
        <f t="shared" si="0"/>
        <v>90000</v>
      </c>
    </row>
    <row r="54" spans="1:8" ht="29.25" thickBot="1">
      <c r="A54" s="1028" t="s">
        <v>758</v>
      </c>
      <c r="B54" s="1029"/>
      <c r="C54" s="318"/>
      <c r="D54" s="1014" t="s">
        <v>1555</v>
      </c>
      <c r="E54" s="1014" t="s">
        <v>1276</v>
      </c>
      <c r="F54" s="1014"/>
      <c r="G54">
        <v>1000</v>
      </c>
      <c r="H54" s="561" t="e">
        <f t="shared" si="0"/>
        <v>#VALUE!</v>
      </c>
    </row>
    <row r="55" spans="1:8" ht="15.75" customHeight="1" thickBot="1">
      <c r="A55" s="1028" t="s">
        <v>864</v>
      </c>
      <c r="B55" s="1029"/>
      <c r="C55" s="318"/>
      <c r="D55" s="1028" t="s">
        <v>1258</v>
      </c>
      <c r="E55" s="1029"/>
      <c r="F55" s="315"/>
      <c r="G55">
        <v>1000</v>
      </c>
      <c r="H55" s="561">
        <f t="shared" si="0"/>
        <v>0</v>
      </c>
    </row>
    <row r="56" spans="1:8">
      <c r="A56" s="320"/>
      <c r="G56">
        <v>1000</v>
      </c>
      <c r="H56" s="561">
        <f t="shared" si="0"/>
        <v>0</v>
      </c>
    </row>
    <row r="57" spans="1:8" ht="16.5">
      <c r="A57" s="322"/>
      <c r="B57" s="248"/>
      <c r="G57">
        <v>1000</v>
      </c>
      <c r="H57" s="561">
        <f t="shared" si="0"/>
        <v>0</v>
      </c>
    </row>
    <row r="58" spans="1:8" ht="15.75">
      <c r="A58" s="295" t="s">
        <v>678</v>
      </c>
      <c r="G58">
        <v>1000</v>
      </c>
      <c r="H58" s="561">
        <f t="shared" si="0"/>
        <v>0</v>
      </c>
    </row>
    <row r="59" spans="1:8" ht="15.75">
      <c r="A59" s="295"/>
      <c r="G59">
        <v>1000</v>
      </c>
      <c r="H59" s="561">
        <f t="shared" si="0"/>
        <v>0</v>
      </c>
    </row>
    <row r="60" spans="1:8">
      <c r="A60" s="1007" t="s">
        <v>1502</v>
      </c>
      <c r="G60">
        <v>1000</v>
      </c>
      <c r="H60" s="561">
        <f t="shared" si="0"/>
        <v>0</v>
      </c>
    </row>
    <row r="61" spans="1:8" ht="15.75">
      <c r="A61" s="296" t="s">
        <v>1554</v>
      </c>
      <c r="G61">
        <v>1000</v>
      </c>
      <c r="H61" s="561">
        <f t="shared" si="0"/>
        <v>0</v>
      </c>
    </row>
    <row r="62" spans="1:8" ht="16.5" thickBot="1">
      <c r="A62" s="296"/>
      <c r="G62">
        <v>1000</v>
      </c>
      <c r="H62" s="561">
        <f t="shared" si="0"/>
        <v>0</v>
      </c>
    </row>
    <row r="63" spans="1:8" ht="28.5" customHeight="1" thickBot="1">
      <c r="A63" s="1008" t="s">
        <v>0</v>
      </c>
      <c r="B63" s="1008" t="s">
        <v>121</v>
      </c>
      <c r="C63" s="1008" t="s">
        <v>632</v>
      </c>
      <c r="D63" s="1025" t="s">
        <v>894</v>
      </c>
      <c r="E63" s="1026"/>
      <c r="F63" s="1008" t="s">
        <v>699</v>
      </c>
      <c r="G63">
        <v>1000</v>
      </c>
      <c r="H63" s="561">
        <f t="shared" si="0"/>
        <v>0</v>
      </c>
    </row>
    <row r="64" spans="1:8" ht="15.75" thickBot="1">
      <c r="A64" s="1027"/>
      <c r="B64" s="1027"/>
      <c r="C64" s="1027"/>
      <c r="D64" s="940" t="s">
        <v>828</v>
      </c>
      <c r="E64" s="940" t="s">
        <v>829</v>
      </c>
      <c r="F64" s="1027"/>
      <c r="G64">
        <v>1000</v>
      </c>
      <c r="H64" s="561" t="e">
        <f t="shared" si="0"/>
        <v>#VALUE!</v>
      </c>
    </row>
    <row r="65" spans="1:8" ht="17.25" thickBot="1">
      <c r="A65" s="1015">
        <v>1</v>
      </c>
      <c r="B65" s="1016" t="s">
        <v>684</v>
      </c>
      <c r="C65" s="1012" t="s">
        <v>649</v>
      </c>
      <c r="D65" s="1017">
        <v>200000</v>
      </c>
      <c r="E65" s="312"/>
      <c r="F65" s="1012" t="s">
        <v>1504</v>
      </c>
      <c r="G65">
        <v>1000</v>
      </c>
      <c r="H65" s="561">
        <f t="shared" si="0"/>
        <v>0</v>
      </c>
    </row>
    <row r="66" spans="1:8" ht="17.25" thickBot="1">
      <c r="A66" s="1015">
        <v>2</v>
      </c>
      <c r="B66" s="1016" t="s">
        <v>672</v>
      </c>
      <c r="C66" s="1012" t="s">
        <v>668</v>
      </c>
      <c r="D66" s="1017">
        <v>100000</v>
      </c>
      <c r="E66" s="312"/>
      <c r="F66" s="1012" t="s">
        <v>1505</v>
      </c>
      <c r="G66">
        <v>1000</v>
      </c>
      <c r="H66" s="561">
        <f t="shared" si="0"/>
        <v>0</v>
      </c>
    </row>
    <row r="67" spans="1:8" ht="17.25" thickBot="1">
      <c r="A67" s="1030" t="s">
        <v>758</v>
      </c>
      <c r="B67" s="1031"/>
      <c r="C67" s="981"/>
      <c r="D67" s="770">
        <v>300000</v>
      </c>
      <c r="E67" s="1018"/>
      <c r="F67" s="1018"/>
      <c r="G67">
        <v>1000</v>
      </c>
      <c r="H67" s="561">
        <f t="shared" si="0"/>
        <v>0</v>
      </c>
    </row>
    <row r="68" spans="1:8" ht="17.25" customHeight="1" thickBot="1">
      <c r="A68" s="1030" t="s">
        <v>864</v>
      </c>
      <c r="B68" s="1031"/>
      <c r="C68" s="981"/>
      <c r="D68" s="1032">
        <v>300000</v>
      </c>
      <c r="E68" s="1033"/>
      <c r="F68" s="1019"/>
      <c r="G68">
        <v>1000</v>
      </c>
      <c r="H68" s="561">
        <f t="shared" si="0"/>
        <v>0</v>
      </c>
    </row>
    <row r="69" spans="1:8">
      <c r="A69" s="319"/>
      <c r="G69">
        <v>1000</v>
      </c>
      <c r="H69" s="561">
        <f t="shared" si="0"/>
        <v>0</v>
      </c>
    </row>
    <row r="70" spans="1:8" ht="16.5">
      <c r="A70" s="322"/>
      <c r="B70" s="248"/>
      <c r="G70">
        <v>1000</v>
      </c>
      <c r="H70" s="561">
        <f t="shared" si="0"/>
        <v>0</v>
      </c>
    </row>
    <row r="71" spans="1:8" ht="15.75">
      <c r="A71" s="295" t="s">
        <v>696</v>
      </c>
      <c r="G71">
        <v>1000</v>
      </c>
      <c r="H71" s="561">
        <f t="shared" si="0"/>
        <v>0</v>
      </c>
    </row>
    <row r="72" spans="1:8" ht="15.75">
      <c r="A72" s="295"/>
      <c r="G72">
        <v>1000</v>
      </c>
      <c r="H72" s="561">
        <f t="shared" ref="H72:H135" si="1">E72*G72</f>
        <v>0</v>
      </c>
    </row>
    <row r="73" spans="1:8">
      <c r="A73" s="1007" t="s">
        <v>1506</v>
      </c>
      <c r="G73">
        <v>1000</v>
      </c>
      <c r="H73" s="561">
        <f t="shared" si="1"/>
        <v>0</v>
      </c>
    </row>
    <row r="74" spans="1:8" ht="16.5" thickBot="1">
      <c r="A74" s="296" t="s">
        <v>1554</v>
      </c>
      <c r="G74">
        <v>1000</v>
      </c>
      <c r="H74" s="561">
        <f t="shared" si="1"/>
        <v>0</v>
      </c>
    </row>
    <row r="75" spans="1:8" ht="28.5" customHeight="1" thickBot="1">
      <c r="A75" s="1008" t="s">
        <v>0</v>
      </c>
      <c r="B75" s="1008" t="s">
        <v>121</v>
      </c>
      <c r="C75" s="1008" t="s">
        <v>632</v>
      </c>
      <c r="D75" s="1025" t="s">
        <v>894</v>
      </c>
      <c r="E75" s="1026"/>
      <c r="F75" s="1008" t="s">
        <v>699</v>
      </c>
      <c r="G75">
        <v>1000</v>
      </c>
      <c r="H75" s="561">
        <f t="shared" si="1"/>
        <v>0</v>
      </c>
    </row>
    <row r="76" spans="1:8" ht="15.75" thickBot="1">
      <c r="A76" s="1027"/>
      <c r="B76" s="1027"/>
      <c r="C76" s="1027"/>
      <c r="D76" s="940" t="s">
        <v>828</v>
      </c>
      <c r="E76" s="940" t="s">
        <v>829</v>
      </c>
      <c r="F76" s="1027"/>
      <c r="G76">
        <v>1000</v>
      </c>
      <c r="H76" s="561" t="e">
        <f t="shared" si="1"/>
        <v>#VALUE!</v>
      </c>
    </row>
    <row r="77" spans="1:8" ht="17.25" thickBot="1">
      <c r="A77" s="1020">
        <v>1</v>
      </c>
      <c r="B77" s="383" t="s">
        <v>154</v>
      </c>
      <c r="C77" s="384" t="s">
        <v>636</v>
      </c>
      <c r="D77" s="312"/>
      <c r="E77" s="314">
        <v>175</v>
      </c>
      <c r="F77" s="710"/>
      <c r="G77">
        <v>1000</v>
      </c>
      <c r="H77" s="561">
        <f t="shared" si="1"/>
        <v>175000</v>
      </c>
    </row>
    <row r="78" spans="1:8" ht="15.75" thickBot="1">
      <c r="A78" s="1020">
        <v>2</v>
      </c>
      <c r="B78" s="383" t="s">
        <v>1236</v>
      </c>
      <c r="C78" s="384" t="s">
        <v>642</v>
      </c>
      <c r="D78" s="314">
        <v>25</v>
      </c>
      <c r="E78" s="710"/>
      <c r="F78" s="710"/>
      <c r="G78">
        <v>1000</v>
      </c>
      <c r="H78" s="561">
        <f t="shared" si="1"/>
        <v>0</v>
      </c>
    </row>
    <row r="79" spans="1:8" ht="17.25" thickBot="1">
      <c r="A79" s="1020">
        <v>3</v>
      </c>
      <c r="B79" s="383" t="s">
        <v>144</v>
      </c>
      <c r="C79" s="384" t="s">
        <v>642</v>
      </c>
      <c r="D79" s="312"/>
      <c r="E79" s="314">
        <v>110</v>
      </c>
      <c r="F79" s="710"/>
      <c r="G79">
        <v>1000</v>
      </c>
      <c r="H79" s="561">
        <f t="shared" si="1"/>
        <v>110000</v>
      </c>
    </row>
    <row r="80" spans="1:8" ht="17.25" thickBot="1">
      <c r="A80" s="1020">
        <v>4</v>
      </c>
      <c r="B80" s="383" t="s">
        <v>168</v>
      </c>
      <c r="C80" s="384" t="s">
        <v>646</v>
      </c>
      <c r="D80" s="312"/>
      <c r="E80" s="314">
        <v>20</v>
      </c>
      <c r="F80" s="710"/>
      <c r="G80">
        <v>1000</v>
      </c>
      <c r="H80" s="561">
        <f t="shared" si="1"/>
        <v>20000</v>
      </c>
    </row>
    <row r="81" spans="1:8" ht="17.25" thickBot="1">
      <c r="A81" s="1020">
        <v>5</v>
      </c>
      <c r="B81" s="383" t="s">
        <v>187</v>
      </c>
      <c r="C81" s="384" t="s">
        <v>649</v>
      </c>
      <c r="D81" s="312"/>
      <c r="E81" s="314">
        <v>10</v>
      </c>
      <c r="F81" s="710"/>
      <c r="G81">
        <v>1000</v>
      </c>
      <c r="H81" s="561">
        <f t="shared" si="1"/>
        <v>10000</v>
      </c>
    </row>
    <row r="82" spans="1:8" ht="17.25" thickBot="1">
      <c r="A82" s="1020">
        <v>6</v>
      </c>
      <c r="B82" s="383" t="s">
        <v>152</v>
      </c>
      <c r="C82" s="384" t="s">
        <v>649</v>
      </c>
      <c r="D82" s="312"/>
      <c r="E82" s="314">
        <v>10</v>
      </c>
      <c r="F82" s="710"/>
      <c r="G82">
        <v>1000</v>
      </c>
      <c r="H82" s="561">
        <f t="shared" si="1"/>
        <v>10000</v>
      </c>
    </row>
    <row r="83" spans="1:8" ht="15.75" thickBot="1">
      <c r="A83" s="1020">
        <v>7</v>
      </c>
      <c r="B83" s="383" t="s">
        <v>727</v>
      </c>
      <c r="C83" s="384" t="s">
        <v>650</v>
      </c>
      <c r="D83" s="314">
        <v>40</v>
      </c>
      <c r="E83" s="710"/>
      <c r="F83" s="710"/>
      <c r="G83">
        <v>1000</v>
      </c>
      <c r="H83" s="561">
        <f t="shared" si="1"/>
        <v>0</v>
      </c>
    </row>
    <row r="84" spans="1:8" ht="17.25" thickBot="1">
      <c r="A84" s="1020">
        <v>8</v>
      </c>
      <c r="B84" s="383" t="s">
        <v>273</v>
      </c>
      <c r="C84" s="384" t="s">
        <v>668</v>
      </c>
      <c r="D84" s="312"/>
      <c r="E84" s="314">
        <v>60</v>
      </c>
      <c r="F84" s="710"/>
      <c r="G84">
        <v>1000</v>
      </c>
      <c r="H84" s="561">
        <f t="shared" si="1"/>
        <v>60000</v>
      </c>
    </row>
    <row r="85" spans="1:8" ht="17.25" thickBot="1">
      <c r="A85" s="1020">
        <v>9</v>
      </c>
      <c r="B85" s="383" t="s">
        <v>669</v>
      </c>
      <c r="C85" s="384" t="s">
        <v>668</v>
      </c>
      <c r="D85" s="314">
        <v>15</v>
      </c>
      <c r="E85" s="312"/>
      <c r="F85" s="710"/>
      <c r="G85">
        <v>1000</v>
      </c>
      <c r="H85" s="561">
        <f t="shared" si="1"/>
        <v>0</v>
      </c>
    </row>
    <row r="86" spans="1:8" ht="17.25" thickBot="1">
      <c r="A86" s="1020">
        <v>10</v>
      </c>
      <c r="B86" s="383" t="s">
        <v>742</v>
      </c>
      <c r="C86" s="384" t="s">
        <v>674</v>
      </c>
      <c r="D86" s="314">
        <v>65</v>
      </c>
      <c r="E86" s="312"/>
      <c r="F86" s="710"/>
      <c r="G86">
        <v>1000</v>
      </c>
      <c r="H86" s="561">
        <f t="shared" si="1"/>
        <v>0</v>
      </c>
    </row>
    <row r="87" spans="1:8" ht="17.25" thickBot="1">
      <c r="A87" s="1020">
        <v>11</v>
      </c>
      <c r="B87" s="383" t="s">
        <v>210</v>
      </c>
      <c r="C87" s="384" t="s">
        <v>636</v>
      </c>
      <c r="D87" s="312"/>
      <c r="E87" s="314">
        <v>100</v>
      </c>
      <c r="F87" s="710"/>
      <c r="G87">
        <v>1000</v>
      </c>
      <c r="H87" s="561">
        <f t="shared" si="1"/>
        <v>100000</v>
      </c>
    </row>
    <row r="88" spans="1:8" ht="17.25" thickBot="1">
      <c r="A88" s="1020">
        <v>12</v>
      </c>
      <c r="B88" s="383" t="s">
        <v>106</v>
      </c>
      <c r="C88" s="384" t="s">
        <v>636</v>
      </c>
      <c r="D88" s="312"/>
      <c r="E88" s="314">
        <v>20</v>
      </c>
      <c r="F88" s="710"/>
      <c r="G88">
        <v>1000</v>
      </c>
      <c r="H88" s="561">
        <f t="shared" si="1"/>
        <v>20000</v>
      </c>
    </row>
    <row r="89" spans="1:8" ht="17.25" thickBot="1">
      <c r="A89" s="1020">
        <v>13</v>
      </c>
      <c r="B89" s="383" t="s">
        <v>639</v>
      </c>
      <c r="C89" s="384" t="s">
        <v>636</v>
      </c>
      <c r="D89" s="312"/>
      <c r="E89" s="314">
        <v>25</v>
      </c>
      <c r="F89" s="710"/>
      <c r="G89">
        <v>1000</v>
      </c>
      <c r="H89" s="561">
        <f t="shared" si="1"/>
        <v>25000</v>
      </c>
    </row>
    <row r="90" spans="1:8" ht="17.25" thickBot="1">
      <c r="A90" s="1020">
        <v>14</v>
      </c>
      <c r="B90" s="383" t="s">
        <v>96</v>
      </c>
      <c r="C90" s="384" t="s">
        <v>636</v>
      </c>
      <c r="D90" s="312"/>
      <c r="E90" s="314">
        <v>10</v>
      </c>
      <c r="F90" s="710"/>
      <c r="G90">
        <v>1000</v>
      </c>
      <c r="H90" s="561">
        <f t="shared" si="1"/>
        <v>10000</v>
      </c>
    </row>
    <row r="91" spans="1:8" ht="17.25" thickBot="1">
      <c r="A91" s="1020">
        <v>15</v>
      </c>
      <c r="B91" s="383" t="s">
        <v>744</v>
      </c>
      <c r="C91" s="384" t="s">
        <v>636</v>
      </c>
      <c r="D91" s="314">
        <v>25</v>
      </c>
      <c r="E91" s="312"/>
      <c r="F91" s="710"/>
      <c r="G91">
        <v>1000</v>
      </c>
      <c r="H91" s="561">
        <f t="shared" si="1"/>
        <v>0</v>
      </c>
    </row>
    <row r="92" spans="1:8" ht="17.25" thickBot="1">
      <c r="A92" s="1020">
        <v>16</v>
      </c>
      <c r="B92" s="383" t="s">
        <v>98</v>
      </c>
      <c r="C92" s="384" t="s">
        <v>636</v>
      </c>
      <c r="D92" s="312"/>
      <c r="E92" s="314">
        <v>25</v>
      </c>
      <c r="F92" s="710"/>
      <c r="G92">
        <v>1000</v>
      </c>
      <c r="H92" s="561">
        <f t="shared" si="1"/>
        <v>25000</v>
      </c>
    </row>
    <row r="93" spans="1:8" ht="17.25" thickBot="1">
      <c r="A93" s="1020">
        <v>17</v>
      </c>
      <c r="B93" s="383" t="s">
        <v>1458</v>
      </c>
      <c r="C93" s="384" t="s">
        <v>642</v>
      </c>
      <c r="D93" s="312"/>
      <c r="E93" s="314">
        <v>120</v>
      </c>
      <c r="F93" s="710"/>
      <c r="G93">
        <v>1000</v>
      </c>
      <c r="H93" s="74">
        <f t="shared" si="1"/>
        <v>120000</v>
      </c>
    </row>
    <row r="94" spans="1:8" ht="15.75" thickBot="1">
      <c r="A94" s="1020">
        <v>18</v>
      </c>
      <c r="B94" s="383" t="s">
        <v>715</v>
      </c>
      <c r="C94" s="384" t="s">
        <v>642</v>
      </c>
      <c r="D94" s="314">
        <v>15</v>
      </c>
      <c r="E94" s="710"/>
      <c r="F94" s="710"/>
      <c r="G94">
        <v>1000</v>
      </c>
      <c r="H94" s="561">
        <f t="shared" si="1"/>
        <v>0</v>
      </c>
    </row>
    <row r="95" spans="1:8" ht="15.75" thickBot="1">
      <c r="A95" s="1020">
        <v>19</v>
      </c>
      <c r="B95" s="383" t="s">
        <v>755</v>
      </c>
      <c r="C95" s="384" t="s">
        <v>642</v>
      </c>
      <c r="D95" s="314">
        <v>50</v>
      </c>
      <c r="E95" s="710"/>
      <c r="F95" s="710"/>
      <c r="G95">
        <v>1000</v>
      </c>
      <c r="H95" s="561">
        <f t="shared" si="1"/>
        <v>0</v>
      </c>
    </row>
    <row r="96" spans="1:8" ht="17.25" thickBot="1">
      <c r="A96" s="1020">
        <v>20</v>
      </c>
      <c r="B96" s="383" t="s">
        <v>682</v>
      </c>
      <c r="C96" s="384" t="s">
        <v>642</v>
      </c>
      <c r="D96" s="314">
        <v>30</v>
      </c>
      <c r="E96" s="312"/>
      <c r="F96" s="710"/>
      <c r="G96">
        <v>1000</v>
      </c>
      <c r="H96" s="561">
        <f t="shared" si="1"/>
        <v>0</v>
      </c>
    </row>
    <row r="97" spans="1:8" ht="17.25" thickBot="1">
      <c r="A97" s="1020">
        <v>21</v>
      </c>
      <c r="B97" s="383" t="s">
        <v>644</v>
      </c>
      <c r="C97" s="384" t="s">
        <v>642</v>
      </c>
      <c r="D97" s="312"/>
      <c r="E97" s="314">
        <v>20</v>
      </c>
      <c r="F97" s="710"/>
      <c r="G97">
        <v>1000</v>
      </c>
      <c r="H97" s="561">
        <f t="shared" si="1"/>
        <v>20000</v>
      </c>
    </row>
    <row r="98" spans="1:8" ht="17.25" thickBot="1">
      <c r="A98" s="1020">
        <v>22</v>
      </c>
      <c r="B98" s="383" t="s">
        <v>1314</v>
      </c>
      <c r="C98" s="384" t="s">
        <v>646</v>
      </c>
      <c r="D98" s="312"/>
      <c r="E98" s="314">
        <v>75</v>
      </c>
      <c r="F98" s="710"/>
      <c r="G98">
        <v>1000</v>
      </c>
      <c r="H98" s="561">
        <f t="shared" si="1"/>
        <v>75000</v>
      </c>
    </row>
    <row r="99" spans="1:8" ht="17.25" thickBot="1">
      <c r="A99" s="1020">
        <v>23</v>
      </c>
      <c r="B99" s="383" t="s">
        <v>289</v>
      </c>
      <c r="C99" s="384" t="s">
        <v>646</v>
      </c>
      <c r="D99" s="312"/>
      <c r="E99" s="314">
        <v>80</v>
      </c>
      <c r="F99" s="710"/>
      <c r="G99">
        <v>1000</v>
      </c>
      <c r="H99" s="561">
        <f t="shared" si="1"/>
        <v>80000</v>
      </c>
    </row>
    <row r="100" spans="1:8" ht="17.25" thickBot="1">
      <c r="A100" s="1020">
        <v>24</v>
      </c>
      <c r="B100" s="383" t="s">
        <v>725</v>
      </c>
      <c r="C100" s="384" t="s">
        <v>646</v>
      </c>
      <c r="D100" s="312"/>
      <c r="E100" s="314">
        <v>10</v>
      </c>
      <c r="F100" s="710"/>
      <c r="G100">
        <v>1000</v>
      </c>
      <c r="H100" s="561">
        <f t="shared" si="1"/>
        <v>10000</v>
      </c>
    </row>
    <row r="101" spans="1:8" ht="17.25" thickBot="1">
      <c r="A101" s="1020">
        <v>25</v>
      </c>
      <c r="B101" s="383" t="s">
        <v>65</v>
      </c>
      <c r="C101" s="384" t="s">
        <v>646</v>
      </c>
      <c r="D101" s="312"/>
      <c r="E101" s="314">
        <v>55</v>
      </c>
      <c r="F101" s="710"/>
      <c r="G101">
        <v>1000</v>
      </c>
      <c r="H101" s="561">
        <f t="shared" si="1"/>
        <v>55000</v>
      </c>
    </row>
    <row r="102" spans="1:8" ht="17.25" thickBot="1">
      <c r="A102" s="1020">
        <v>26</v>
      </c>
      <c r="B102" s="383" t="s">
        <v>205</v>
      </c>
      <c r="C102" s="384" t="s">
        <v>649</v>
      </c>
      <c r="D102" s="312"/>
      <c r="E102" s="314">
        <v>35</v>
      </c>
      <c r="F102" s="710"/>
      <c r="G102">
        <v>1000</v>
      </c>
      <c r="H102" s="561">
        <f t="shared" si="1"/>
        <v>35000</v>
      </c>
    </row>
    <row r="103" spans="1:8" ht="17.25" thickBot="1">
      <c r="A103" s="985">
        <v>27</v>
      </c>
      <c r="B103" s="383" t="s">
        <v>831</v>
      </c>
      <c r="C103" s="384" t="s">
        <v>649</v>
      </c>
      <c r="D103" s="312"/>
      <c r="E103" s="314">
        <v>30</v>
      </c>
      <c r="F103" s="710"/>
      <c r="G103">
        <v>1000</v>
      </c>
      <c r="H103" s="561">
        <f t="shared" si="1"/>
        <v>30000</v>
      </c>
    </row>
    <row r="104" spans="1:8" ht="17.25" thickBot="1">
      <c r="A104" s="985">
        <v>28</v>
      </c>
      <c r="B104" s="383" t="s">
        <v>721</v>
      </c>
      <c r="C104" s="384" t="s">
        <v>649</v>
      </c>
      <c r="D104" s="312"/>
      <c r="E104" s="314">
        <v>10</v>
      </c>
      <c r="F104" s="710"/>
      <c r="G104">
        <v>1000</v>
      </c>
      <c r="H104" s="561">
        <f t="shared" si="1"/>
        <v>10000</v>
      </c>
    </row>
    <row r="105" spans="1:8" ht="17.25" thickBot="1">
      <c r="A105" s="985">
        <v>29</v>
      </c>
      <c r="B105" s="383" t="s">
        <v>27</v>
      </c>
      <c r="C105" s="384" t="s">
        <v>649</v>
      </c>
      <c r="D105" s="312"/>
      <c r="E105" s="314">
        <v>115</v>
      </c>
      <c r="F105" s="710"/>
      <c r="G105">
        <v>1000</v>
      </c>
      <c r="H105" s="561">
        <f t="shared" si="1"/>
        <v>115000</v>
      </c>
    </row>
    <row r="106" spans="1:8" ht="17.25" thickBot="1">
      <c r="A106" s="985">
        <v>30</v>
      </c>
      <c r="B106" s="383" t="s">
        <v>687</v>
      </c>
      <c r="C106" s="384" t="s">
        <v>649</v>
      </c>
      <c r="D106" s="314">
        <v>10</v>
      </c>
      <c r="E106" s="312"/>
      <c r="F106" s="710"/>
      <c r="G106">
        <v>1000</v>
      </c>
      <c r="H106" s="561">
        <f t="shared" si="1"/>
        <v>0</v>
      </c>
    </row>
    <row r="107" spans="1:8" ht="17.25" thickBot="1">
      <c r="A107" s="985">
        <v>31</v>
      </c>
      <c r="B107" s="383" t="s">
        <v>221</v>
      </c>
      <c r="C107" s="384" t="s">
        <v>649</v>
      </c>
      <c r="D107" s="312"/>
      <c r="E107" s="314">
        <v>10</v>
      </c>
      <c r="F107" s="710"/>
      <c r="G107">
        <v>1000</v>
      </c>
      <c r="H107" s="561">
        <f t="shared" si="1"/>
        <v>10000</v>
      </c>
    </row>
    <row r="108" spans="1:8" ht="17.25" thickBot="1">
      <c r="A108" s="985">
        <v>32</v>
      </c>
      <c r="B108" s="383" t="s">
        <v>685</v>
      </c>
      <c r="C108" s="384" t="s">
        <v>649</v>
      </c>
      <c r="D108" s="314">
        <v>10</v>
      </c>
      <c r="E108" s="312"/>
      <c r="F108" s="710"/>
      <c r="G108">
        <v>1000</v>
      </c>
      <c r="H108" s="561">
        <f t="shared" si="1"/>
        <v>0</v>
      </c>
    </row>
    <row r="109" spans="1:8" ht="15.75" thickBot="1">
      <c r="A109" s="985">
        <v>33</v>
      </c>
      <c r="B109" s="383" t="s">
        <v>638</v>
      </c>
      <c r="C109" s="384" t="s">
        <v>649</v>
      </c>
      <c r="D109" s="314">
        <v>25</v>
      </c>
      <c r="E109" s="710"/>
      <c r="F109" s="710"/>
      <c r="G109">
        <v>1000</v>
      </c>
      <c r="H109" s="561">
        <f t="shared" si="1"/>
        <v>0</v>
      </c>
    </row>
    <row r="110" spans="1:8" ht="17.25" thickBot="1">
      <c r="A110" s="985">
        <v>34</v>
      </c>
      <c r="B110" s="383" t="s">
        <v>688</v>
      </c>
      <c r="C110" s="384" t="s">
        <v>650</v>
      </c>
      <c r="D110" s="314">
        <v>25</v>
      </c>
      <c r="E110" s="312"/>
      <c r="F110" s="710"/>
      <c r="G110">
        <v>1000</v>
      </c>
      <c r="H110" s="561">
        <f t="shared" si="1"/>
        <v>0</v>
      </c>
    </row>
    <row r="111" spans="1:8" ht="17.25" thickBot="1">
      <c r="A111" s="985">
        <v>35</v>
      </c>
      <c r="B111" s="383" t="s">
        <v>83</v>
      </c>
      <c r="C111" s="384" t="s">
        <v>650</v>
      </c>
      <c r="D111" s="312"/>
      <c r="E111" s="314">
        <v>50</v>
      </c>
      <c r="F111" s="710"/>
      <c r="G111">
        <v>1000</v>
      </c>
      <c r="H111" s="561">
        <f t="shared" si="1"/>
        <v>50000</v>
      </c>
    </row>
    <row r="112" spans="1:8" ht="17.25" thickBot="1">
      <c r="A112" s="985">
        <v>36</v>
      </c>
      <c r="B112" s="383" t="s">
        <v>91</v>
      </c>
      <c r="C112" s="384" t="s">
        <v>650</v>
      </c>
      <c r="D112" s="312"/>
      <c r="E112" s="314">
        <v>15</v>
      </c>
      <c r="F112" s="710"/>
      <c r="G112">
        <v>1000</v>
      </c>
      <c r="H112" s="561">
        <f t="shared" si="1"/>
        <v>15000</v>
      </c>
    </row>
    <row r="113" spans="1:8" ht="15.75" thickBot="1">
      <c r="A113" s="985">
        <v>37</v>
      </c>
      <c r="B113" s="383" t="s">
        <v>728</v>
      </c>
      <c r="C113" s="384" t="s">
        <v>650</v>
      </c>
      <c r="D113" s="314">
        <v>30</v>
      </c>
      <c r="E113" s="710"/>
      <c r="F113" s="710"/>
      <c r="G113">
        <v>1000</v>
      </c>
      <c r="H113" s="561">
        <f t="shared" si="1"/>
        <v>0</v>
      </c>
    </row>
    <row r="114" spans="1:8" ht="17.25" thickBot="1">
      <c r="A114" s="985">
        <v>38</v>
      </c>
      <c r="B114" s="383" t="s">
        <v>269</v>
      </c>
      <c r="C114" s="384" t="s">
        <v>650</v>
      </c>
      <c r="D114" s="312"/>
      <c r="E114" s="314">
        <v>20</v>
      </c>
      <c r="F114" s="710"/>
      <c r="G114">
        <v>1000</v>
      </c>
      <c r="H114" s="561">
        <f t="shared" si="1"/>
        <v>20000</v>
      </c>
    </row>
    <row r="115" spans="1:8" ht="17.25" thickBot="1">
      <c r="A115" s="985">
        <v>39</v>
      </c>
      <c r="B115" s="383" t="s">
        <v>690</v>
      </c>
      <c r="C115" s="384" t="s">
        <v>653</v>
      </c>
      <c r="D115" s="312"/>
      <c r="E115" s="314">
        <v>20</v>
      </c>
      <c r="F115" s="710"/>
      <c r="G115">
        <v>1000</v>
      </c>
      <c r="H115" s="561">
        <f t="shared" si="1"/>
        <v>20000</v>
      </c>
    </row>
    <row r="116" spans="1:8" ht="17.25" thickBot="1">
      <c r="A116" s="985">
        <v>40</v>
      </c>
      <c r="B116" s="383" t="s">
        <v>147</v>
      </c>
      <c r="C116" s="384" t="s">
        <v>653</v>
      </c>
      <c r="D116" s="312"/>
      <c r="E116" s="314">
        <v>20</v>
      </c>
      <c r="F116" s="710"/>
      <c r="G116">
        <v>1000</v>
      </c>
      <c r="H116" s="561">
        <f t="shared" si="1"/>
        <v>20000</v>
      </c>
    </row>
    <row r="117" spans="1:8" ht="17.25" thickBot="1">
      <c r="A117" s="985">
        <v>41</v>
      </c>
      <c r="B117" s="383" t="s">
        <v>656</v>
      </c>
      <c r="C117" s="384" t="s">
        <v>653</v>
      </c>
      <c r="D117" s="314">
        <v>25</v>
      </c>
      <c r="E117" s="312"/>
      <c r="F117" s="710"/>
      <c r="G117">
        <v>1000</v>
      </c>
      <c r="H117" s="561">
        <f t="shared" si="1"/>
        <v>0</v>
      </c>
    </row>
    <row r="118" spans="1:8" ht="17.25" thickBot="1">
      <c r="A118" s="985">
        <v>42</v>
      </c>
      <c r="B118" s="383" t="s">
        <v>743</v>
      </c>
      <c r="C118" s="384" t="s">
        <v>653</v>
      </c>
      <c r="D118" s="314">
        <v>70</v>
      </c>
      <c r="E118" s="312"/>
      <c r="F118" s="710"/>
      <c r="G118">
        <v>1000</v>
      </c>
      <c r="H118" s="561">
        <f t="shared" si="1"/>
        <v>0</v>
      </c>
    </row>
    <row r="119" spans="1:8" ht="17.25" thickBot="1">
      <c r="A119" s="985">
        <v>43</v>
      </c>
      <c r="B119" s="383" t="s">
        <v>138</v>
      </c>
      <c r="C119" s="384" t="s">
        <v>653</v>
      </c>
      <c r="D119" s="312"/>
      <c r="E119" s="314">
        <v>10</v>
      </c>
      <c r="F119" s="710"/>
      <c r="G119">
        <v>1000</v>
      </c>
      <c r="H119" s="561">
        <f t="shared" si="1"/>
        <v>10000</v>
      </c>
    </row>
    <row r="120" spans="1:8" ht="17.25" thickBot="1">
      <c r="A120" s="985">
        <v>44</v>
      </c>
      <c r="B120" s="383" t="s">
        <v>730</v>
      </c>
      <c r="C120" s="384" t="s">
        <v>653</v>
      </c>
      <c r="D120" s="314">
        <v>50</v>
      </c>
      <c r="E120" s="312"/>
      <c r="F120" s="710"/>
      <c r="G120">
        <v>1000</v>
      </c>
      <c r="H120" s="561">
        <f t="shared" si="1"/>
        <v>0</v>
      </c>
    </row>
    <row r="121" spans="1:8" ht="17.25" thickBot="1">
      <c r="A121" s="985">
        <v>45</v>
      </c>
      <c r="B121" s="383" t="s">
        <v>46</v>
      </c>
      <c r="C121" s="384" t="s">
        <v>653</v>
      </c>
      <c r="D121" s="312"/>
      <c r="E121" s="314">
        <v>20</v>
      </c>
      <c r="F121" s="710"/>
      <c r="G121">
        <v>1000</v>
      </c>
      <c r="H121" s="561">
        <f t="shared" si="1"/>
        <v>20000</v>
      </c>
    </row>
    <row r="122" spans="1:8" ht="15.75" thickBot="1">
      <c r="A122" s="985">
        <v>46</v>
      </c>
      <c r="B122" s="383" t="s">
        <v>689</v>
      </c>
      <c r="C122" s="384" t="s">
        <v>653</v>
      </c>
      <c r="D122" s="314">
        <v>15</v>
      </c>
      <c r="E122" s="1021"/>
      <c r="F122" s="710"/>
      <c r="G122">
        <v>1000</v>
      </c>
      <c r="H122" s="561">
        <f t="shared" si="1"/>
        <v>0</v>
      </c>
    </row>
    <row r="123" spans="1:8" ht="17.25" thickBot="1">
      <c r="A123" s="985">
        <v>47</v>
      </c>
      <c r="B123" s="383" t="s">
        <v>48</v>
      </c>
      <c r="C123" s="384" t="s">
        <v>653</v>
      </c>
      <c r="D123" s="312"/>
      <c r="E123" s="314">
        <v>10</v>
      </c>
      <c r="F123" s="710"/>
      <c r="G123">
        <v>1000</v>
      </c>
      <c r="H123" s="561">
        <f t="shared" si="1"/>
        <v>10000</v>
      </c>
    </row>
    <row r="124" spans="1:8" ht="17.25" thickBot="1">
      <c r="A124" s="985">
        <v>48</v>
      </c>
      <c r="B124" s="383" t="s">
        <v>659</v>
      </c>
      <c r="C124" s="384" t="s">
        <v>653</v>
      </c>
      <c r="D124" s="314">
        <v>10</v>
      </c>
      <c r="E124" s="312"/>
      <c r="F124" s="710"/>
      <c r="G124">
        <v>1000</v>
      </c>
      <c r="H124" s="561">
        <f t="shared" si="1"/>
        <v>0</v>
      </c>
    </row>
    <row r="125" spans="1:8" ht="17.25" thickBot="1">
      <c r="A125" s="985">
        <v>49</v>
      </c>
      <c r="B125" s="383" t="s">
        <v>658</v>
      </c>
      <c r="C125" s="384" t="s">
        <v>653</v>
      </c>
      <c r="D125" s="314">
        <v>10</v>
      </c>
      <c r="E125" s="312"/>
      <c r="F125" s="710"/>
      <c r="G125">
        <v>1000</v>
      </c>
      <c r="H125" s="561">
        <f t="shared" si="1"/>
        <v>0</v>
      </c>
    </row>
    <row r="126" spans="1:8" ht="17.25" thickBot="1">
      <c r="A126" s="985">
        <v>50</v>
      </c>
      <c r="B126" s="383" t="s">
        <v>31</v>
      </c>
      <c r="C126" s="384" t="s">
        <v>668</v>
      </c>
      <c r="D126" s="312"/>
      <c r="E126" s="314">
        <v>10</v>
      </c>
      <c r="F126" s="710"/>
      <c r="G126">
        <v>1000</v>
      </c>
      <c r="H126" s="561">
        <f t="shared" si="1"/>
        <v>10000</v>
      </c>
    </row>
    <row r="127" spans="1:8" ht="17.25" thickBot="1">
      <c r="A127" s="985">
        <v>51</v>
      </c>
      <c r="B127" s="383" t="s">
        <v>435</v>
      </c>
      <c r="C127" s="384" t="s">
        <v>668</v>
      </c>
      <c r="D127" s="312"/>
      <c r="E127" s="314">
        <v>55</v>
      </c>
      <c r="F127" s="710"/>
      <c r="G127">
        <v>1000</v>
      </c>
      <c r="H127" s="561">
        <f t="shared" si="1"/>
        <v>55000</v>
      </c>
    </row>
    <row r="128" spans="1:8" ht="17.25" thickBot="1">
      <c r="A128" s="985">
        <v>52</v>
      </c>
      <c r="B128" s="383" t="s">
        <v>1316</v>
      </c>
      <c r="C128" s="384" t="s">
        <v>668</v>
      </c>
      <c r="D128" s="312"/>
      <c r="E128" s="314">
        <v>55</v>
      </c>
      <c r="F128" s="710"/>
      <c r="G128">
        <v>1000</v>
      </c>
      <c r="H128" s="561">
        <f t="shared" si="1"/>
        <v>55000</v>
      </c>
    </row>
    <row r="129" spans="1:8" ht="17.25" thickBot="1">
      <c r="A129" s="985">
        <v>53</v>
      </c>
      <c r="B129" s="383" t="s">
        <v>39</v>
      </c>
      <c r="C129" s="384" t="s">
        <v>668</v>
      </c>
      <c r="D129" s="312"/>
      <c r="E129" s="314">
        <v>100</v>
      </c>
      <c r="F129" s="710"/>
      <c r="G129">
        <v>1000</v>
      </c>
      <c r="H129" s="561">
        <f t="shared" si="1"/>
        <v>100000</v>
      </c>
    </row>
    <row r="130" spans="1:8" ht="15.75" thickBot="1">
      <c r="A130" s="985">
        <v>54</v>
      </c>
      <c r="B130" s="383" t="s">
        <v>693</v>
      </c>
      <c r="C130" s="384" t="s">
        <v>668</v>
      </c>
      <c r="D130" s="314">
        <v>10</v>
      </c>
      <c r="E130" s="710"/>
      <c r="F130" s="710"/>
      <c r="G130">
        <v>1000</v>
      </c>
      <c r="H130" s="561">
        <f t="shared" si="1"/>
        <v>0</v>
      </c>
    </row>
    <row r="131" spans="1:8" ht="17.25" thickBot="1">
      <c r="A131" s="985">
        <v>55</v>
      </c>
      <c r="B131" s="383" t="s">
        <v>262</v>
      </c>
      <c r="C131" s="384" t="s">
        <v>668</v>
      </c>
      <c r="D131" s="312"/>
      <c r="E131" s="314">
        <v>65</v>
      </c>
      <c r="F131" s="710"/>
      <c r="G131">
        <v>1000</v>
      </c>
      <c r="H131" s="561">
        <f t="shared" si="1"/>
        <v>65000</v>
      </c>
    </row>
    <row r="132" spans="1:8" ht="17.25" thickBot="1">
      <c r="A132" s="985">
        <v>56</v>
      </c>
      <c r="B132" s="383" t="s">
        <v>29</v>
      </c>
      <c r="C132" s="384" t="s">
        <v>668</v>
      </c>
      <c r="D132" s="312"/>
      <c r="E132" s="314">
        <v>15</v>
      </c>
      <c r="F132" s="710"/>
      <c r="G132">
        <v>1000</v>
      </c>
      <c r="H132" s="561">
        <f t="shared" si="1"/>
        <v>15000</v>
      </c>
    </row>
    <row r="133" spans="1:8" ht="15.75" thickBot="1">
      <c r="A133" s="985">
        <v>57</v>
      </c>
      <c r="B133" s="383" t="s">
        <v>672</v>
      </c>
      <c r="C133" s="384" t="s">
        <v>668</v>
      </c>
      <c r="D133" s="314">
        <v>20</v>
      </c>
      <c r="E133" s="710"/>
      <c r="F133" s="710"/>
      <c r="G133">
        <v>1000</v>
      </c>
      <c r="H133" s="561">
        <f t="shared" si="1"/>
        <v>0</v>
      </c>
    </row>
    <row r="134" spans="1:8" ht="15.75" thickBot="1">
      <c r="A134" s="985">
        <v>58</v>
      </c>
      <c r="B134" s="383" t="s">
        <v>671</v>
      </c>
      <c r="C134" s="384" t="s">
        <v>668</v>
      </c>
      <c r="D134" s="314">
        <v>10</v>
      </c>
      <c r="E134" s="710"/>
      <c r="F134" s="710"/>
      <c r="G134">
        <v>1000</v>
      </c>
      <c r="H134" s="561">
        <f t="shared" si="1"/>
        <v>0</v>
      </c>
    </row>
    <row r="135" spans="1:8" ht="17.25" thickBot="1">
      <c r="A135" s="985">
        <v>59</v>
      </c>
      <c r="B135" s="383" t="s">
        <v>213</v>
      </c>
      <c r="C135" s="384" t="s">
        <v>668</v>
      </c>
      <c r="D135" s="312"/>
      <c r="E135" s="314">
        <v>10</v>
      </c>
      <c r="F135" s="710"/>
      <c r="G135">
        <v>1000</v>
      </c>
      <c r="H135" s="561">
        <f t="shared" si="1"/>
        <v>10000</v>
      </c>
    </row>
    <row r="136" spans="1:8" ht="15.75" thickBot="1">
      <c r="A136" s="985">
        <v>60</v>
      </c>
      <c r="B136" s="383" t="s">
        <v>675</v>
      </c>
      <c r="C136" s="384" t="s">
        <v>674</v>
      </c>
      <c r="D136" s="314">
        <v>15</v>
      </c>
      <c r="E136" s="710"/>
      <c r="F136" s="710"/>
      <c r="G136">
        <v>1000</v>
      </c>
      <c r="H136" s="561">
        <f t="shared" ref="H136:H193" si="2">E136*G136</f>
        <v>0</v>
      </c>
    </row>
    <row r="137" spans="1:8" ht="17.25" thickBot="1">
      <c r="A137" s="985">
        <v>61</v>
      </c>
      <c r="B137" s="383" t="s">
        <v>72</v>
      </c>
      <c r="C137" s="384" t="s">
        <v>674</v>
      </c>
      <c r="D137" s="312"/>
      <c r="E137" s="314">
        <v>10</v>
      </c>
      <c r="F137" s="710"/>
      <c r="G137">
        <v>1000</v>
      </c>
      <c r="H137" s="561">
        <f t="shared" si="2"/>
        <v>10000</v>
      </c>
    </row>
    <row r="138" spans="1:8" ht="17.25" thickBot="1">
      <c r="A138" s="985">
        <v>62</v>
      </c>
      <c r="B138" s="383" t="s">
        <v>149</v>
      </c>
      <c r="C138" s="384" t="s">
        <v>674</v>
      </c>
      <c r="D138" s="312"/>
      <c r="E138" s="314">
        <v>100</v>
      </c>
      <c r="F138" s="710"/>
      <c r="G138">
        <v>1000</v>
      </c>
      <c r="H138" s="561">
        <f t="shared" si="2"/>
        <v>100000</v>
      </c>
    </row>
    <row r="139" spans="1:8" ht="17.25" thickBot="1">
      <c r="A139" s="985">
        <v>63</v>
      </c>
      <c r="B139" s="383" t="s">
        <v>749</v>
      </c>
      <c r="C139" s="384" t="s">
        <v>746</v>
      </c>
      <c r="D139" s="312"/>
      <c r="E139" s="314">
        <v>10</v>
      </c>
      <c r="F139" s="710"/>
      <c r="G139">
        <v>1000</v>
      </c>
      <c r="H139" s="561">
        <f t="shared" si="2"/>
        <v>10000</v>
      </c>
    </row>
    <row r="140" spans="1:8" ht="29.25" thickBot="1">
      <c r="A140" s="1028" t="s">
        <v>758</v>
      </c>
      <c r="B140" s="1029"/>
      <c r="C140" s="318"/>
      <c r="D140" s="1014">
        <v>600</v>
      </c>
      <c r="E140" s="1014" t="s">
        <v>1556</v>
      </c>
      <c r="F140" s="1014"/>
      <c r="G140">
        <v>1000</v>
      </c>
      <c r="H140" s="561" t="e">
        <f t="shared" si="2"/>
        <v>#VALUE!</v>
      </c>
    </row>
    <row r="141" spans="1:8" ht="15.75" customHeight="1" thickBot="1">
      <c r="A141" s="1028" t="s">
        <v>864</v>
      </c>
      <c r="B141" s="1029"/>
      <c r="C141" s="318"/>
      <c r="D141" s="1028" t="s">
        <v>1557</v>
      </c>
      <c r="E141" s="1029"/>
      <c r="F141" s="315"/>
      <c r="G141">
        <v>1000</v>
      </c>
      <c r="H141" s="561">
        <f t="shared" si="2"/>
        <v>0</v>
      </c>
    </row>
    <row r="142" spans="1:8">
      <c r="A142" s="319"/>
      <c r="G142">
        <v>1000</v>
      </c>
      <c r="H142" s="561">
        <f t="shared" si="2"/>
        <v>0</v>
      </c>
    </row>
    <row r="143" spans="1:8" ht="33">
      <c r="A143" s="750" t="s">
        <v>1167</v>
      </c>
      <c r="B143" s="248"/>
      <c r="G143">
        <v>1000</v>
      </c>
      <c r="H143" s="561">
        <f t="shared" si="2"/>
        <v>0</v>
      </c>
    </row>
    <row r="144" spans="1:8" ht="99">
      <c r="A144" s="750" t="s">
        <v>116</v>
      </c>
      <c r="B144" s="248"/>
      <c r="G144">
        <v>1000</v>
      </c>
      <c r="H144" s="561">
        <f t="shared" si="2"/>
        <v>0</v>
      </c>
    </row>
    <row r="145" spans="1:8" ht="16.5">
      <c r="A145" s="322"/>
      <c r="B145" s="248"/>
      <c r="G145">
        <v>1000</v>
      </c>
      <c r="H145" s="561">
        <f t="shared" si="2"/>
        <v>0</v>
      </c>
    </row>
    <row r="146" spans="1:8" ht="15.75">
      <c r="A146" s="295" t="s">
        <v>704</v>
      </c>
      <c r="G146">
        <v>1000</v>
      </c>
      <c r="H146" s="561">
        <f t="shared" si="2"/>
        <v>0</v>
      </c>
    </row>
    <row r="147" spans="1:8" ht="15.75">
      <c r="A147" s="295"/>
      <c r="G147">
        <v>1000</v>
      </c>
      <c r="H147" s="561">
        <f t="shared" si="2"/>
        <v>0</v>
      </c>
    </row>
    <row r="148" spans="1:8">
      <c r="A148" s="1007" t="s">
        <v>1541</v>
      </c>
      <c r="G148">
        <v>1000</v>
      </c>
      <c r="H148" s="561">
        <f t="shared" si="2"/>
        <v>0</v>
      </c>
    </row>
    <row r="149" spans="1:8" ht="15.75">
      <c r="A149" s="296" t="s">
        <v>1554</v>
      </c>
      <c r="G149">
        <v>1000</v>
      </c>
      <c r="H149" s="561">
        <f t="shared" si="2"/>
        <v>0</v>
      </c>
    </row>
    <row r="150" spans="1:8" ht="16.5" thickBot="1">
      <c r="A150" s="296"/>
      <c r="G150">
        <v>1000</v>
      </c>
      <c r="H150" s="561">
        <f t="shared" si="2"/>
        <v>0</v>
      </c>
    </row>
    <row r="151" spans="1:8" ht="29.25" thickBot="1">
      <c r="A151" s="1022" t="s">
        <v>0</v>
      </c>
      <c r="B151" s="1023" t="s">
        <v>121</v>
      </c>
      <c r="C151" s="1023" t="s">
        <v>632</v>
      </c>
      <c r="D151" s="1023" t="s">
        <v>894</v>
      </c>
      <c r="E151" s="1023" t="s">
        <v>699</v>
      </c>
      <c r="G151">
        <v>1000</v>
      </c>
      <c r="H151" s="561" t="e">
        <f t="shared" si="2"/>
        <v>#VALUE!</v>
      </c>
    </row>
    <row r="152" spans="1:8" ht="30.75" thickBot="1">
      <c r="A152" s="1020">
        <v>1</v>
      </c>
      <c r="B152" s="383" t="s">
        <v>770</v>
      </c>
      <c r="C152" s="384" t="s">
        <v>1179</v>
      </c>
      <c r="D152" s="314">
        <v>10</v>
      </c>
      <c r="E152" s="710"/>
      <c r="G152">
        <v>1000</v>
      </c>
      <c r="H152" s="561">
        <f t="shared" si="2"/>
        <v>0</v>
      </c>
    </row>
    <row r="153" spans="1:8" ht="30.75" thickBot="1">
      <c r="A153" s="1020">
        <v>2</v>
      </c>
      <c r="B153" s="383" t="s">
        <v>847</v>
      </c>
      <c r="C153" s="384" t="s">
        <v>1179</v>
      </c>
      <c r="D153" s="314">
        <v>10</v>
      </c>
      <c r="E153" s="710"/>
      <c r="G153">
        <v>1000</v>
      </c>
      <c r="H153" s="561">
        <f t="shared" si="2"/>
        <v>0</v>
      </c>
    </row>
    <row r="154" spans="1:8" ht="30.75" thickBot="1">
      <c r="A154" s="1020">
        <v>3</v>
      </c>
      <c r="B154" s="383" t="s">
        <v>1415</v>
      </c>
      <c r="C154" s="384" t="s">
        <v>1182</v>
      </c>
      <c r="D154" s="314">
        <v>10</v>
      </c>
      <c r="E154" s="710"/>
      <c r="G154">
        <v>1000</v>
      </c>
      <c r="H154" s="561">
        <f t="shared" si="2"/>
        <v>0</v>
      </c>
    </row>
    <row r="155" spans="1:8" ht="30.75" thickBot="1">
      <c r="A155" s="1020">
        <v>4</v>
      </c>
      <c r="B155" s="383" t="s">
        <v>852</v>
      </c>
      <c r="C155" s="384" t="s">
        <v>1179</v>
      </c>
      <c r="D155" s="314">
        <v>10</v>
      </c>
      <c r="E155" s="710"/>
      <c r="G155">
        <v>1000</v>
      </c>
      <c r="H155" s="561">
        <f t="shared" si="2"/>
        <v>0</v>
      </c>
    </row>
    <row r="156" spans="1:8" ht="30.75" thickBot="1">
      <c r="A156" s="1020">
        <v>5</v>
      </c>
      <c r="B156" s="383" t="s">
        <v>1479</v>
      </c>
      <c r="C156" s="384" t="s">
        <v>1179</v>
      </c>
      <c r="D156" s="314">
        <v>10</v>
      </c>
      <c r="E156" s="710"/>
      <c r="G156">
        <v>1000</v>
      </c>
      <c r="H156" s="561">
        <f t="shared" si="2"/>
        <v>0</v>
      </c>
    </row>
    <row r="157" spans="1:8" ht="30.75" thickBot="1">
      <c r="A157" s="1020">
        <v>6</v>
      </c>
      <c r="B157" s="383" t="s">
        <v>857</v>
      </c>
      <c r="C157" s="384" t="s">
        <v>1182</v>
      </c>
      <c r="D157" s="314">
        <v>20</v>
      </c>
      <c r="E157" s="710"/>
      <c r="G157">
        <v>1000</v>
      </c>
      <c r="H157" s="561">
        <f t="shared" si="2"/>
        <v>0</v>
      </c>
    </row>
    <row r="158" spans="1:8" ht="30.75" thickBot="1">
      <c r="A158" s="1020">
        <v>7</v>
      </c>
      <c r="B158" s="383" t="s">
        <v>856</v>
      </c>
      <c r="C158" s="384" t="s">
        <v>1182</v>
      </c>
      <c r="D158" s="314">
        <v>10</v>
      </c>
      <c r="E158" s="710"/>
      <c r="G158">
        <v>1000</v>
      </c>
      <c r="H158" s="561">
        <f t="shared" si="2"/>
        <v>0</v>
      </c>
    </row>
    <row r="159" spans="1:8" ht="30.75" thickBot="1">
      <c r="A159" s="1020">
        <v>8</v>
      </c>
      <c r="B159" s="383" t="s">
        <v>1205</v>
      </c>
      <c r="C159" s="384" t="s">
        <v>1198</v>
      </c>
      <c r="D159" s="314">
        <v>10</v>
      </c>
      <c r="E159" s="710"/>
      <c r="G159">
        <v>1000</v>
      </c>
      <c r="H159" s="561">
        <f t="shared" si="2"/>
        <v>0</v>
      </c>
    </row>
    <row r="160" spans="1:8" ht="15.75" thickBot="1">
      <c r="A160" s="1028" t="s">
        <v>758</v>
      </c>
      <c r="B160" s="1029"/>
      <c r="C160" s="318"/>
      <c r="D160" s="1024">
        <v>90000</v>
      </c>
      <c r="E160" s="1014"/>
      <c r="G160">
        <v>1000</v>
      </c>
      <c r="H160" s="561">
        <f t="shared" si="2"/>
        <v>0</v>
      </c>
    </row>
    <row r="161" spans="1:8">
      <c r="A161" s="319"/>
      <c r="G161">
        <v>1000</v>
      </c>
      <c r="H161" s="561">
        <f t="shared" si="2"/>
        <v>0</v>
      </c>
    </row>
    <row r="162" spans="1:8">
      <c r="A162" s="319"/>
      <c r="G162">
        <v>1000</v>
      </c>
      <c r="H162" s="561">
        <f t="shared" si="2"/>
        <v>0</v>
      </c>
    </row>
    <row r="163" spans="1:8">
      <c r="A163" s="319"/>
      <c r="G163">
        <v>1000</v>
      </c>
      <c r="H163" s="561">
        <f t="shared" si="2"/>
        <v>0</v>
      </c>
    </row>
    <row r="164" spans="1:8">
      <c r="A164" s="319"/>
      <c r="G164">
        <v>1000</v>
      </c>
      <c r="H164" s="561">
        <f t="shared" si="2"/>
        <v>0</v>
      </c>
    </row>
    <row r="165" spans="1:8">
      <c r="A165" s="319"/>
      <c r="G165">
        <v>1000</v>
      </c>
      <c r="H165" s="561">
        <f t="shared" si="2"/>
        <v>0</v>
      </c>
    </row>
    <row r="166" spans="1:8">
      <c r="A166" s="319"/>
      <c r="G166">
        <v>1000</v>
      </c>
      <c r="H166" s="561">
        <f t="shared" si="2"/>
        <v>0</v>
      </c>
    </row>
    <row r="167" spans="1:8">
      <c r="A167" s="319"/>
      <c r="G167">
        <v>1000</v>
      </c>
      <c r="H167" s="561">
        <f t="shared" si="2"/>
        <v>0</v>
      </c>
    </row>
    <row r="168" spans="1:8">
      <c r="A168" s="319"/>
      <c r="G168">
        <v>1000</v>
      </c>
      <c r="H168" s="561">
        <f t="shared" si="2"/>
        <v>0</v>
      </c>
    </row>
    <row r="169" spans="1:8">
      <c r="A169" s="319"/>
      <c r="G169">
        <v>1000</v>
      </c>
      <c r="H169" s="561">
        <f t="shared" si="2"/>
        <v>0</v>
      </c>
    </row>
    <row r="170" spans="1:8">
      <c r="A170" s="319"/>
      <c r="G170">
        <v>1000</v>
      </c>
      <c r="H170" s="561">
        <f t="shared" si="2"/>
        <v>0</v>
      </c>
    </row>
    <row r="171" spans="1:8">
      <c r="A171" s="319"/>
      <c r="G171">
        <v>1000</v>
      </c>
      <c r="H171" s="561">
        <f t="shared" si="2"/>
        <v>0</v>
      </c>
    </row>
    <row r="172" spans="1:8">
      <c r="A172" s="319"/>
      <c r="G172">
        <v>1000</v>
      </c>
      <c r="H172" s="561">
        <f t="shared" si="2"/>
        <v>0</v>
      </c>
    </row>
    <row r="173" spans="1:8">
      <c r="A173" s="319"/>
      <c r="G173">
        <v>1000</v>
      </c>
      <c r="H173" s="561">
        <f t="shared" si="2"/>
        <v>0</v>
      </c>
    </row>
    <row r="174" spans="1:8">
      <c r="A174" s="319"/>
      <c r="G174">
        <v>1000</v>
      </c>
      <c r="H174" s="561">
        <f t="shared" si="2"/>
        <v>0</v>
      </c>
    </row>
    <row r="175" spans="1:8">
      <c r="A175" s="319"/>
      <c r="G175">
        <v>1000</v>
      </c>
      <c r="H175" s="561">
        <f t="shared" si="2"/>
        <v>0</v>
      </c>
    </row>
    <row r="176" spans="1:8">
      <c r="A176" s="319"/>
      <c r="G176">
        <v>1000</v>
      </c>
      <c r="H176" s="561">
        <f t="shared" si="2"/>
        <v>0</v>
      </c>
    </row>
    <row r="177" spans="7:8">
      <c r="G177">
        <v>1000</v>
      </c>
      <c r="H177" s="561">
        <f t="shared" si="2"/>
        <v>0</v>
      </c>
    </row>
    <row r="178" spans="7:8">
      <c r="G178">
        <v>1000</v>
      </c>
      <c r="H178" s="561">
        <f t="shared" si="2"/>
        <v>0</v>
      </c>
    </row>
    <row r="179" spans="7:8">
      <c r="G179">
        <v>1000</v>
      </c>
      <c r="H179" s="561">
        <f t="shared" si="2"/>
        <v>0</v>
      </c>
    </row>
    <row r="180" spans="7:8">
      <c r="G180">
        <v>1000</v>
      </c>
      <c r="H180" s="561">
        <f t="shared" si="2"/>
        <v>0</v>
      </c>
    </row>
    <row r="181" spans="7:8">
      <c r="G181">
        <v>1000</v>
      </c>
      <c r="H181" s="561">
        <f t="shared" si="2"/>
        <v>0</v>
      </c>
    </row>
    <row r="182" spans="7:8">
      <c r="G182">
        <v>1000</v>
      </c>
      <c r="H182" s="561">
        <f t="shared" si="2"/>
        <v>0</v>
      </c>
    </row>
    <row r="183" spans="7:8">
      <c r="G183">
        <v>1000</v>
      </c>
      <c r="H183" s="561">
        <f t="shared" si="2"/>
        <v>0</v>
      </c>
    </row>
    <row r="184" spans="7:8">
      <c r="G184">
        <v>1000</v>
      </c>
      <c r="H184" s="561">
        <f t="shared" si="2"/>
        <v>0</v>
      </c>
    </row>
    <row r="185" spans="7:8">
      <c r="G185">
        <v>1000</v>
      </c>
      <c r="H185" s="561">
        <f t="shared" si="2"/>
        <v>0</v>
      </c>
    </row>
    <row r="186" spans="7:8">
      <c r="G186">
        <v>1000</v>
      </c>
      <c r="H186" s="561">
        <f t="shared" si="2"/>
        <v>0</v>
      </c>
    </row>
    <row r="187" spans="7:8">
      <c r="G187">
        <v>1000</v>
      </c>
      <c r="H187" s="561">
        <f t="shared" si="2"/>
        <v>0</v>
      </c>
    </row>
    <row r="188" spans="7:8">
      <c r="G188">
        <v>1000</v>
      </c>
      <c r="H188" s="561">
        <f t="shared" si="2"/>
        <v>0</v>
      </c>
    </row>
    <row r="189" spans="7:8">
      <c r="G189">
        <v>1000</v>
      </c>
      <c r="H189" s="561">
        <f t="shared" si="2"/>
        <v>0</v>
      </c>
    </row>
    <row r="190" spans="7:8">
      <c r="G190">
        <v>1000</v>
      </c>
      <c r="H190" s="561">
        <f t="shared" si="2"/>
        <v>0</v>
      </c>
    </row>
    <row r="191" spans="7:8">
      <c r="G191">
        <v>1000</v>
      </c>
      <c r="H191" s="561">
        <f t="shared" si="2"/>
        <v>0</v>
      </c>
    </row>
    <row r="192" spans="7:8">
      <c r="G192">
        <v>1000</v>
      </c>
      <c r="H192" s="561">
        <f t="shared" si="2"/>
        <v>0</v>
      </c>
    </row>
    <row r="193" spans="7:8">
      <c r="G193">
        <v>1000</v>
      </c>
      <c r="H193" s="561">
        <f t="shared" si="2"/>
        <v>0</v>
      </c>
    </row>
  </sheetData>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
  <sheetViews>
    <sheetView workbookViewId="0">
      <selection activeCell="H103" sqref="H103"/>
    </sheetView>
  </sheetViews>
  <sheetFormatPr defaultRowHeight="15"/>
  <cols>
    <col min="2" max="2" width="27.85546875" customWidth="1"/>
  </cols>
  <sheetData>
    <row r="1" spans="1:8">
      <c r="A1" s="686" t="s">
        <v>1218</v>
      </c>
    </row>
    <row r="2" spans="1:8" ht="15.75">
      <c r="A2" s="232" t="s">
        <v>1558</v>
      </c>
    </row>
    <row r="3" spans="1:8" ht="16.5" thickBot="1">
      <c r="A3" s="232"/>
    </row>
    <row r="4" spans="1:8" ht="28.5" customHeight="1" thickBot="1">
      <c r="A4" s="939" t="s">
        <v>0</v>
      </c>
      <c r="B4" s="939" t="s">
        <v>121</v>
      </c>
      <c r="C4" s="939" t="s">
        <v>632</v>
      </c>
      <c r="D4" s="941" t="s">
        <v>894</v>
      </c>
      <c r="E4" s="942"/>
      <c r="F4" s="939" t="s">
        <v>699</v>
      </c>
    </row>
    <row r="5" spans="1:8" ht="15.75" thickBot="1">
      <c r="A5" s="943"/>
      <c r="B5" s="943"/>
      <c r="C5" s="943"/>
      <c r="D5" s="940" t="s">
        <v>828</v>
      </c>
      <c r="E5" s="940" t="s">
        <v>829</v>
      </c>
      <c r="F5" s="943"/>
    </row>
    <row r="6" spans="1:8" ht="15.75" thickBot="1">
      <c r="A6" s="694">
        <v>1</v>
      </c>
      <c r="B6" s="383" t="s">
        <v>645</v>
      </c>
      <c r="C6" s="384" t="s">
        <v>642</v>
      </c>
      <c r="D6" s="314">
        <v>35</v>
      </c>
      <c r="E6" s="314"/>
      <c r="F6" s="314"/>
      <c r="G6">
        <v>1000</v>
      </c>
      <c r="H6">
        <f>E6*G6</f>
        <v>0</v>
      </c>
    </row>
    <row r="7" spans="1:8" ht="15.75" thickBot="1">
      <c r="A7" s="694">
        <v>2</v>
      </c>
      <c r="B7" s="383" t="s">
        <v>682</v>
      </c>
      <c r="C7" s="384" t="s">
        <v>642</v>
      </c>
      <c r="D7" s="314">
        <v>20</v>
      </c>
      <c r="E7" s="314"/>
      <c r="F7" s="314"/>
      <c r="G7">
        <v>1000</v>
      </c>
      <c r="H7">
        <f t="shared" ref="H7:H70" si="0">E7*G7</f>
        <v>0</v>
      </c>
    </row>
    <row r="8" spans="1:8" ht="17.25" thickBot="1">
      <c r="A8" s="694">
        <v>3</v>
      </c>
      <c r="B8" s="383" t="s">
        <v>153</v>
      </c>
      <c r="C8" s="384" t="s">
        <v>642</v>
      </c>
      <c r="D8" s="312"/>
      <c r="E8" s="314">
        <v>20</v>
      </c>
      <c r="F8" s="314"/>
      <c r="G8">
        <v>1000</v>
      </c>
      <c r="H8">
        <f t="shared" si="0"/>
        <v>20000</v>
      </c>
    </row>
    <row r="9" spans="1:8" ht="17.25" thickBot="1">
      <c r="A9" s="694">
        <v>4</v>
      </c>
      <c r="B9" s="383" t="s">
        <v>641</v>
      </c>
      <c r="C9" s="384" t="s">
        <v>717</v>
      </c>
      <c r="D9" s="314">
        <v>60</v>
      </c>
      <c r="E9" s="385"/>
      <c r="F9" s="314"/>
      <c r="G9">
        <v>1000</v>
      </c>
      <c r="H9">
        <f t="shared" si="0"/>
        <v>0</v>
      </c>
    </row>
    <row r="10" spans="1:8" ht="17.25" thickBot="1">
      <c r="A10" s="694">
        <v>5</v>
      </c>
      <c r="B10" s="383" t="s">
        <v>640</v>
      </c>
      <c r="C10" s="384" t="s">
        <v>717</v>
      </c>
      <c r="D10" s="314">
        <v>70</v>
      </c>
      <c r="E10" s="385"/>
      <c r="F10" s="314"/>
      <c r="G10">
        <v>1000</v>
      </c>
      <c r="H10">
        <f t="shared" si="0"/>
        <v>0</v>
      </c>
    </row>
    <row r="11" spans="1:8" ht="17.25" thickBot="1">
      <c r="A11" s="694">
        <v>6</v>
      </c>
      <c r="B11" s="383" t="s">
        <v>744</v>
      </c>
      <c r="C11" s="384" t="s">
        <v>717</v>
      </c>
      <c r="D11" s="314">
        <v>40</v>
      </c>
      <c r="E11" s="385"/>
      <c r="F11" s="314"/>
      <c r="G11">
        <v>1000</v>
      </c>
      <c r="H11">
        <f t="shared" si="0"/>
        <v>0</v>
      </c>
    </row>
    <row r="12" spans="1:8" ht="17.25" thickBot="1">
      <c r="A12" s="694">
        <v>7</v>
      </c>
      <c r="B12" s="383" t="s">
        <v>96</v>
      </c>
      <c r="C12" s="384" t="s">
        <v>717</v>
      </c>
      <c r="D12" s="312"/>
      <c r="E12" s="314">
        <v>70</v>
      </c>
      <c r="F12" s="314"/>
      <c r="G12">
        <v>1000</v>
      </c>
      <c r="H12">
        <f t="shared" si="0"/>
        <v>70000</v>
      </c>
    </row>
    <row r="13" spans="1:8" ht="17.25" thickBot="1">
      <c r="A13" s="694">
        <v>8</v>
      </c>
      <c r="B13" s="383" t="s">
        <v>210</v>
      </c>
      <c r="C13" s="384" t="s">
        <v>717</v>
      </c>
      <c r="D13" s="312"/>
      <c r="E13" s="314">
        <v>70</v>
      </c>
      <c r="F13" s="314"/>
      <c r="G13">
        <v>1000</v>
      </c>
      <c r="H13">
        <f t="shared" si="0"/>
        <v>70000</v>
      </c>
    </row>
    <row r="14" spans="1:8" ht="15.75" thickBot="1">
      <c r="A14" s="694">
        <v>9</v>
      </c>
      <c r="B14" s="383" t="s">
        <v>687</v>
      </c>
      <c r="C14" s="384" t="s">
        <v>649</v>
      </c>
      <c r="D14" s="314">
        <v>40</v>
      </c>
      <c r="E14" s="314"/>
      <c r="F14" s="314"/>
      <c r="G14">
        <v>1000</v>
      </c>
      <c r="H14">
        <f t="shared" si="0"/>
        <v>0</v>
      </c>
    </row>
    <row r="15" spans="1:8" ht="17.25" thickBot="1">
      <c r="A15" s="694">
        <v>10</v>
      </c>
      <c r="B15" s="383" t="s">
        <v>685</v>
      </c>
      <c r="C15" s="384" t="s">
        <v>649</v>
      </c>
      <c r="D15" s="314">
        <v>100</v>
      </c>
      <c r="E15" s="385"/>
      <c r="F15" s="314"/>
      <c r="G15">
        <v>1000</v>
      </c>
      <c r="H15">
        <f t="shared" si="0"/>
        <v>0</v>
      </c>
    </row>
    <row r="16" spans="1:8" ht="17.25" thickBot="1">
      <c r="A16" s="694">
        <v>11</v>
      </c>
      <c r="B16" s="383" t="s">
        <v>686</v>
      </c>
      <c r="C16" s="384" t="s">
        <v>649</v>
      </c>
      <c r="D16" s="314">
        <v>20</v>
      </c>
      <c r="E16" s="385"/>
      <c r="F16" s="314"/>
      <c r="G16">
        <v>1000</v>
      </c>
      <c r="H16">
        <f t="shared" si="0"/>
        <v>0</v>
      </c>
    </row>
    <row r="17" spans="1:8" ht="17.25" thickBot="1">
      <c r="A17" s="694">
        <v>12</v>
      </c>
      <c r="B17" s="383" t="s">
        <v>684</v>
      </c>
      <c r="C17" s="384" t="s">
        <v>649</v>
      </c>
      <c r="D17" s="314">
        <v>135</v>
      </c>
      <c r="E17" s="385"/>
      <c r="F17" s="314"/>
      <c r="G17">
        <v>1000</v>
      </c>
      <c r="H17">
        <f t="shared" si="0"/>
        <v>0</v>
      </c>
    </row>
    <row r="18" spans="1:8" ht="17.25" thickBot="1">
      <c r="A18" s="694">
        <v>13</v>
      </c>
      <c r="B18" s="383" t="s">
        <v>205</v>
      </c>
      <c r="C18" s="384" t="s">
        <v>649</v>
      </c>
      <c r="D18" s="312"/>
      <c r="E18" s="314">
        <v>110</v>
      </c>
      <c r="F18" s="314"/>
      <c r="G18">
        <v>1000</v>
      </c>
      <c r="H18">
        <f t="shared" si="0"/>
        <v>110000</v>
      </c>
    </row>
    <row r="19" spans="1:8" ht="17.25" thickBot="1">
      <c r="A19" s="694">
        <v>14</v>
      </c>
      <c r="B19" s="383" t="s">
        <v>721</v>
      </c>
      <c r="C19" s="384" t="s">
        <v>649</v>
      </c>
      <c r="D19" s="312"/>
      <c r="E19" s="314">
        <v>20</v>
      </c>
      <c r="F19" s="314"/>
      <c r="G19">
        <v>1000</v>
      </c>
      <c r="H19">
        <f t="shared" si="0"/>
        <v>20000</v>
      </c>
    </row>
    <row r="20" spans="1:8" ht="17.25" thickBot="1">
      <c r="A20" s="694">
        <v>15</v>
      </c>
      <c r="B20" s="383" t="s">
        <v>722</v>
      </c>
      <c r="C20" s="384" t="s">
        <v>646</v>
      </c>
      <c r="D20" s="314">
        <v>20</v>
      </c>
      <c r="E20" s="385"/>
      <c r="F20" s="314"/>
      <c r="G20">
        <v>1000</v>
      </c>
      <c r="H20">
        <f t="shared" si="0"/>
        <v>0</v>
      </c>
    </row>
    <row r="21" spans="1:8" ht="17.25" thickBot="1">
      <c r="A21" s="694">
        <v>16</v>
      </c>
      <c r="B21" s="383" t="s">
        <v>683</v>
      </c>
      <c r="C21" s="384" t="s">
        <v>646</v>
      </c>
      <c r="D21" s="314">
        <v>30</v>
      </c>
      <c r="E21" s="385"/>
      <c r="F21" s="314"/>
      <c r="G21">
        <v>1000</v>
      </c>
      <c r="H21">
        <f t="shared" si="0"/>
        <v>0</v>
      </c>
    </row>
    <row r="22" spans="1:8" ht="17.25" thickBot="1">
      <c r="A22" s="694">
        <v>17</v>
      </c>
      <c r="B22" s="383" t="s">
        <v>168</v>
      </c>
      <c r="C22" s="384" t="s">
        <v>646</v>
      </c>
      <c r="D22" s="312"/>
      <c r="E22" s="314">
        <v>10</v>
      </c>
      <c r="F22" s="314"/>
      <c r="G22">
        <v>1000</v>
      </c>
      <c r="H22">
        <f t="shared" si="0"/>
        <v>10000</v>
      </c>
    </row>
    <row r="23" spans="1:8" ht="17.25" thickBot="1">
      <c r="A23" s="694">
        <v>18</v>
      </c>
      <c r="B23" s="383" t="s">
        <v>725</v>
      </c>
      <c r="C23" s="384" t="s">
        <v>646</v>
      </c>
      <c r="D23" s="312"/>
      <c r="E23" s="314">
        <v>20</v>
      </c>
      <c r="F23" s="314"/>
      <c r="G23">
        <v>1000</v>
      </c>
      <c r="H23">
        <f t="shared" si="0"/>
        <v>20000</v>
      </c>
    </row>
    <row r="24" spans="1:8" ht="17.25" thickBot="1">
      <c r="A24" s="694">
        <v>19</v>
      </c>
      <c r="B24" s="383" t="s">
        <v>289</v>
      </c>
      <c r="C24" s="384" t="s">
        <v>646</v>
      </c>
      <c r="D24" s="312"/>
      <c r="E24" s="314">
        <v>30</v>
      </c>
      <c r="F24" s="314"/>
      <c r="G24">
        <v>1000</v>
      </c>
      <c r="H24">
        <f t="shared" si="0"/>
        <v>30000</v>
      </c>
    </row>
    <row r="25" spans="1:8" ht="17.25" thickBot="1">
      <c r="A25" s="694">
        <v>20</v>
      </c>
      <c r="B25" s="383" t="s">
        <v>1434</v>
      </c>
      <c r="C25" s="384" t="s">
        <v>646</v>
      </c>
      <c r="D25" s="312"/>
      <c r="E25" s="314">
        <v>15</v>
      </c>
      <c r="F25" s="314"/>
      <c r="G25">
        <v>1000</v>
      </c>
      <c r="H25">
        <f t="shared" si="0"/>
        <v>15000</v>
      </c>
    </row>
    <row r="26" spans="1:8" ht="17.25" thickBot="1">
      <c r="A26" s="694">
        <v>21</v>
      </c>
      <c r="B26" s="383" t="s">
        <v>1314</v>
      </c>
      <c r="C26" s="384" t="s">
        <v>646</v>
      </c>
      <c r="D26" s="312"/>
      <c r="E26" s="314">
        <v>35</v>
      </c>
      <c r="F26" s="314"/>
      <c r="G26">
        <v>1000</v>
      </c>
      <c r="H26">
        <f t="shared" si="0"/>
        <v>35000</v>
      </c>
    </row>
    <row r="27" spans="1:8" ht="17.25" thickBot="1">
      <c r="A27" s="694">
        <v>22</v>
      </c>
      <c r="B27" s="383" t="s">
        <v>1401</v>
      </c>
      <c r="C27" s="384" t="s">
        <v>650</v>
      </c>
      <c r="D27" s="314">
        <v>35</v>
      </c>
      <c r="E27" s="385"/>
      <c r="F27" s="314"/>
      <c r="G27">
        <v>1000</v>
      </c>
      <c r="H27">
        <f t="shared" si="0"/>
        <v>0</v>
      </c>
    </row>
    <row r="28" spans="1:8" ht="17.25" thickBot="1">
      <c r="A28" s="694">
        <v>23</v>
      </c>
      <c r="B28" s="383" t="s">
        <v>651</v>
      </c>
      <c r="C28" s="384" t="s">
        <v>650</v>
      </c>
      <c r="D28" s="314">
        <v>50</v>
      </c>
      <c r="E28" s="385"/>
      <c r="F28" s="314"/>
      <c r="G28">
        <v>1000</v>
      </c>
      <c r="H28">
        <f t="shared" si="0"/>
        <v>0</v>
      </c>
    </row>
    <row r="29" spans="1:8" ht="17.25" thickBot="1">
      <c r="A29" s="694">
        <v>24</v>
      </c>
      <c r="B29" s="383" t="s">
        <v>688</v>
      </c>
      <c r="C29" s="384" t="s">
        <v>650</v>
      </c>
      <c r="D29" s="314">
        <v>40</v>
      </c>
      <c r="E29" s="385"/>
      <c r="F29" s="314"/>
      <c r="G29">
        <v>1000</v>
      </c>
      <c r="H29">
        <f t="shared" si="0"/>
        <v>0</v>
      </c>
    </row>
    <row r="30" spans="1:8" ht="17.25" thickBot="1">
      <c r="A30" s="694">
        <v>25</v>
      </c>
      <c r="B30" s="383" t="s">
        <v>269</v>
      </c>
      <c r="C30" s="384" t="s">
        <v>650</v>
      </c>
      <c r="D30" s="312"/>
      <c r="E30" s="314">
        <v>20</v>
      </c>
      <c r="F30" s="314"/>
      <c r="G30">
        <v>1000</v>
      </c>
      <c r="H30">
        <f t="shared" si="0"/>
        <v>20000</v>
      </c>
    </row>
    <row r="31" spans="1:8" ht="17.25" thickBot="1">
      <c r="A31" s="694">
        <v>26</v>
      </c>
      <c r="B31" s="383" t="s">
        <v>91</v>
      </c>
      <c r="C31" s="384" t="s">
        <v>650</v>
      </c>
      <c r="D31" s="312"/>
      <c r="E31" s="314">
        <v>35</v>
      </c>
      <c r="F31" s="314"/>
      <c r="G31">
        <v>1000</v>
      </c>
      <c r="H31">
        <f t="shared" si="0"/>
        <v>35000</v>
      </c>
    </row>
    <row r="32" spans="1:8" ht="17.25" thickBot="1">
      <c r="A32" s="309">
        <v>27</v>
      </c>
      <c r="B32" s="383" t="s">
        <v>83</v>
      </c>
      <c r="C32" s="384" t="s">
        <v>650</v>
      </c>
      <c r="D32" s="312"/>
      <c r="E32" s="314">
        <v>10</v>
      </c>
      <c r="F32" s="314"/>
      <c r="G32">
        <v>1000</v>
      </c>
      <c r="H32">
        <f t="shared" si="0"/>
        <v>10000</v>
      </c>
    </row>
    <row r="33" spans="1:8" ht="17.25" thickBot="1">
      <c r="A33" s="309">
        <v>28</v>
      </c>
      <c r="B33" s="383" t="s">
        <v>147</v>
      </c>
      <c r="C33" s="384" t="s">
        <v>653</v>
      </c>
      <c r="D33" s="312"/>
      <c r="E33" s="314">
        <v>40</v>
      </c>
      <c r="F33" s="314"/>
      <c r="G33">
        <v>1000</v>
      </c>
      <c r="H33">
        <f t="shared" si="0"/>
        <v>40000</v>
      </c>
    </row>
    <row r="34" spans="1:8" ht="17.25" thickBot="1">
      <c r="A34" s="309">
        <v>29</v>
      </c>
      <c r="B34" s="383" t="s">
        <v>60</v>
      </c>
      <c r="C34" s="384" t="s">
        <v>653</v>
      </c>
      <c r="D34" s="312"/>
      <c r="E34" s="314">
        <v>20</v>
      </c>
      <c r="F34" s="314"/>
      <c r="G34">
        <v>1000</v>
      </c>
      <c r="H34">
        <f t="shared" si="0"/>
        <v>20000</v>
      </c>
    </row>
    <row r="35" spans="1:8" ht="17.25" thickBot="1">
      <c r="A35" s="309">
        <v>30</v>
      </c>
      <c r="B35" s="383" t="s">
        <v>693</v>
      </c>
      <c r="C35" s="384" t="s">
        <v>668</v>
      </c>
      <c r="D35" s="314">
        <v>60</v>
      </c>
      <c r="E35" s="385"/>
      <c r="F35" s="314"/>
      <c r="G35">
        <v>1000</v>
      </c>
      <c r="H35">
        <f t="shared" si="0"/>
        <v>0</v>
      </c>
    </row>
    <row r="36" spans="1:8" ht="17.25" thickBot="1">
      <c r="A36" s="309">
        <v>31</v>
      </c>
      <c r="B36" s="383" t="s">
        <v>671</v>
      </c>
      <c r="C36" s="384" t="s">
        <v>668</v>
      </c>
      <c r="D36" s="314">
        <v>30</v>
      </c>
      <c r="E36" s="385"/>
      <c r="F36" s="314"/>
      <c r="G36">
        <v>1000</v>
      </c>
      <c r="H36">
        <f t="shared" si="0"/>
        <v>0</v>
      </c>
    </row>
    <row r="37" spans="1:8" ht="17.25" thickBot="1">
      <c r="A37" s="309">
        <v>32</v>
      </c>
      <c r="B37" s="383" t="s">
        <v>732</v>
      </c>
      <c r="C37" s="384" t="s">
        <v>668</v>
      </c>
      <c r="D37" s="314">
        <v>20</v>
      </c>
      <c r="E37" s="385"/>
      <c r="F37" s="314"/>
      <c r="G37">
        <v>1000</v>
      </c>
      <c r="H37">
        <f t="shared" si="0"/>
        <v>0</v>
      </c>
    </row>
    <row r="38" spans="1:8" ht="15.75" thickBot="1">
      <c r="A38" s="700" t="s">
        <v>758</v>
      </c>
      <c r="B38" s="701"/>
      <c r="C38" s="318"/>
      <c r="D38" s="696">
        <v>805</v>
      </c>
      <c r="E38" s="696">
        <v>525</v>
      </c>
      <c r="F38" s="696"/>
      <c r="G38">
        <v>1000</v>
      </c>
      <c r="H38">
        <f t="shared" si="0"/>
        <v>525000</v>
      </c>
    </row>
    <row r="39" spans="1:8" ht="15.75" customHeight="1" thickBot="1">
      <c r="A39" s="700" t="s">
        <v>864</v>
      </c>
      <c r="B39" s="701"/>
      <c r="C39" s="318"/>
      <c r="D39" s="700" t="s">
        <v>1559</v>
      </c>
      <c r="E39" s="701"/>
      <c r="F39" s="697"/>
      <c r="G39">
        <v>1000</v>
      </c>
      <c r="H39">
        <f t="shared" si="0"/>
        <v>0</v>
      </c>
    </row>
    <row r="40" spans="1:8" ht="16.5">
      <c r="A40" s="246"/>
      <c r="B40" s="248"/>
      <c r="G40">
        <v>1000</v>
      </c>
      <c r="H40">
        <f t="shared" si="0"/>
        <v>0</v>
      </c>
    </row>
    <row r="41" spans="1:8" ht="15.75">
      <c r="A41" s="205"/>
      <c r="G41">
        <v>1000</v>
      </c>
      <c r="H41">
        <f t="shared" si="0"/>
        <v>0</v>
      </c>
    </row>
    <row r="42" spans="1:8">
      <c r="A42" s="686" t="s">
        <v>1560</v>
      </c>
      <c r="G42">
        <v>1000</v>
      </c>
      <c r="H42">
        <f t="shared" si="0"/>
        <v>0</v>
      </c>
    </row>
    <row r="43" spans="1:8" ht="15.75">
      <c r="A43" s="232" t="s">
        <v>1558</v>
      </c>
      <c r="G43">
        <v>1000</v>
      </c>
      <c r="H43">
        <f t="shared" si="0"/>
        <v>0</v>
      </c>
    </row>
    <row r="44" spans="1:8" ht="16.5" thickBot="1">
      <c r="A44" s="232"/>
      <c r="G44">
        <v>1000</v>
      </c>
      <c r="H44">
        <f t="shared" si="0"/>
        <v>0</v>
      </c>
    </row>
    <row r="45" spans="1:8" ht="43.5" thickBot="1">
      <c r="A45" s="1004" t="s">
        <v>0</v>
      </c>
      <c r="B45" s="1005" t="s">
        <v>121</v>
      </c>
      <c r="C45" s="1005" t="s">
        <v>632</v>
      </c>
      <c r="D45" s="1005" t="s">
        <v>894</v>
      </c>
      <c r="E45" s="1005" t="s">
        <v>699</v>
      </c>
      <c r="G45">
        <v>1000</v>
      </c>
      <c r="H45" t="e">
        <f t="shared" si="0"/>
        <v>#VALUE!</v>
      </c>
    </row>
    <row r="46" spans="1:8" ht="45.75" thickBot="1">
      <c r="A46" s="694">
        <v>1</v>
      </c>
      <c r="B46" s="383" t="s">
        <v>1561</v>
      </c>
      <c r="C46" s="384" t="s">
        <v>1171</v>
      </c>
      <c r="D46" s="314">
        <v>20</v>
      </c>
      <c r="E46" s="314"/>
      <c r="G46">
        <v>1000</v>
      </c>
      <c r="H46">
        <f t="shared" si="0"/>
        <v>0</v>
      </c>
    </row>
    <row r="47" spans="1:8" ht="45.75" thickBot="1">
      <c r="A47" s="694">
        <v>2</v>
      </c>
      <c r="B47" s="383" t="s">
        <v>842</v>
      </c>
      <c r="C47" s="384" t="s">
        <v>1171</v>
      </c>
      <c r="D47" s="314">
        <v>60</v>
      </c>
      <c r="E47" s="314"/>
      <c r="G47">
        <v>1000</v>
      </c>
      <c r="H47">
        <f t="shared" si="0"/>
        <v>0</v>
      </c>
    </row>
    <row r="48" spans="1:8" ht="45.75" thickBot="1">
      <c r="A48" s="694">
        <v>3</v>
      </c>
      <c r="B48" s="383" t="s">
        <v>1229</v>
      </c>
      <c r="C48" s="384" t="s">
        <v>1171</v>
      </c>
      <c r="D48" s="314">
        <v>20</v>
      </c>
      <c r="E48" s="314"/>
      <c r="G48">
        <v>1000</v>
      </c>
      <c r="H48">
        <f t="shared" si="0"/>
        <v>0</v>
      </c>
    </row>
    <row r="49" spans="1:8" ht="30.75" thickBot="1">
      <c r="A49" s="694">
        <v>4</v>
      </c>
      <c r="B49" s="383" t="s">
        <v>770</v>
      </c>
      <c r="C49" s="384" t="s">
        <v>1179</v>
      </c>
      <c r="D49" s="314">
        <v>20</v>
      </c>
      <c r="E49" s="314"/>
      <c r="G49">
        <v>1000</v>
      </c>
      <c r="H49">
        <f t="shared" si="0"/>
        <v>0</v>
      </c>
    </row>
    <row r="50" spans="1:8" ht="30.75" thickBot="1">
      <c r="A50" s="694">
        <v>5</v>
      </c>
      <c r="B50" s="383" t="s">
        <v>849</v>
      </c>
      <c r="C50" s="384" t="s">
        <v>1179</v>
      </c>
      <c r="D50" s="314">
        <v>20</v>
      </c>
      <c r="E50" s="314"/>
      <c r="G50">
        <v>1000</v>
      </c>
      <c r="H50">
        <f t="shared" si="0"/>
        <v>0</v>
      </c>
    </row>
    <row r="51" spans="1:8" ht="30.75" thickBot="1">
      <c r="A51" s="694">
        <v>6</v>
      </c>
      <c r="B51" s="383" t="s">
        <v>1562</v>
      </c>
      <c r="C51" s="384" t="s">
        <v>1179</v>
      </c>
      <c r="D51" s="314">
        <v>20</v>
      </c>
      <c r="E51" s="314"/>
      <c r="G51">
        <v>1000</v>
      </c>
      <c r="H51">
        <f t="shared" si="0"/>
        <v>0</v>
      </c>
    </row>
    <row r="52" spans="1:8" ht="30.75" thickBot="1">
      <c r="A52" s="694">
        <v>7</v>
      </c>
      <c r="B52" s="446" t="s">
        <v>1563</v>
      </c>
      <c r="C52" s="384" t="s">
        <v>1179</v>
      </c>
      <c r="D52" s="314">
        <v>20</v>
      </c>
      <c r="E52" s="314"/>
      <c r="G52">
        <v>1000</v>
      </c>
      <c r="H52">
        <f t="shared" si="0"/>
        <v>0</v>
      </c>
    </row>
    <row r="53" spans="1:8" ht="30.75" thickBot="1">
      <c r="A53" s="694">
        <v>8</v>
      </c>
      <c r="B53" s="383" t="s">
        <v>1564</v>
      </c>
      <c r="C53" s="384" t="s">
        <v>1179</v>
      </c>
      <c r="D53" s="314">
        <v>20</v>
      </c>
      <c r="E53" s="314"/>
      <c r="G53">
        <v>1000</v>
      </c>
      <c r="H53">
        <f t="shared" si="0"/>
        <v>0</v>
      </c>
    </row>
    <row r="54" spans="1:8" ht="30.75" thickBot="1">
      <c r="A54" s="694">
        <v>9</v>
      </c>
      <c r="B54" s="383" t="s">
        <v>1565</v>
      </c>
      <c r="C54" s="384" t="s">
        <v>1182</v>
      </c>
      <c r="D54" s="314">
        <v>40</v>
      </c>
      <c r="E54" s="314"/>
      <c r="G54">
        <v>1000</v>
      </c>
      <c r="H54">
        <f t="shared" si="0"/>
        <v>0</v>
      </c>
    </row>
    <row r="55" spans="1:8" ht="30.75" thickBot="1">
      <c r="A55" s="694">
        <v>10</v>
      </c>
      <c r="B55" s="383" t="s">
        <v>856</v>
      </c>
      <c r="C55" s="384" t="s">
        <v>1182</v>
      </c>
      <c r="D55" s="314">
        <v>20</v>
      </c>
      <c r="E55" s="314"/>
      <c r="G55">
        <v>1000</v>
      </c>
      <c r="H55">
        <f t="shared" si="0"/>
        <v>0</v>
      </c>
    </row>
    <row r="56" spans="1:8" ht="30.75" thickBot="1">
      <c r="A56" s="694">
        <v>11</v>
      </c>
      <c r="B56" s="383" t="s">
        <v>857</v>
      </c>
      <c r="C56" s="384" t="s">
        <v>1182</v>
      </c>
      <c r="D56" s="314">
        <v>40</v>
      </c>
      <c r="E56" s="314"/>
      <c r="G56">
        <v>1000</v>
      </c>
      <c r="H56">
        <f t="shared" si="0"/>
        <v>0</v>
      </c>
    </row>
    <row r="57" spans="1:8" ht="30.75" thickBot="1">
      <c r="A57" s="694">
        <v>12</v>
      </c>
      <c r="B57" s="383" t="s">
        <v>1199</v>
      </c>
      <c r="C57" s="384" t="s">
        <v>1198</v>
      </c>
      <c r="D57" s="314">
        <v>40</v>
      </c>
      <c r="E57" s="314"/>
      <c r="G57">
        <v>1000</v>
      </c>
      <c r="H57">
        <f t="shared" si="0"/>
        <v>0</v>
      </c>
    </row>
    <row r="58" spans="1:8" ht="30.75" thickBot="1">
      <c r="A58" s="694">
        <v>13</v>
      </c>
      <c r="B58" s="383" t="s">
        <v>1201</v>
      </c>
      <c r="C58" s="384" t="s">
        <v>1198</v>
      </c>
      <c r="D58" s="314">
        <v>20</v>
      </c>
      <c r="E58" s="314"/>
      <c r="G58">
        <v>1000</v>
      </c>
      <c r="H58">
        <f t="shared" si="0"/>
        <v>0</v>
      </c>
    </row>
    <row r="59" spans="1:8" ht="30.75" thickBot="1">
      <c r="A59" s="694">
        <v>14</v>
      </c>
      <c r="B59" s="383" t="s">
        <v>1208</v>
      </c>
      <c r="C59" s="384" t="s">
        <v>1198</v>
      </c>
      <c r="D59" s="314">
        <v>20</v>
      </c>
      <c r="E59" s="314"/>
      <c r="G59">
        <v>1000</v>
      </c>
      <c r="H59">
        <f t="shared" si="0"/>
        <v>0</v>
      </c>
    </row>
    <row r="60" spans="1:8" ht="15.75" thickBot="1">
      <c r="A60" s="700" t="s">
        <v>758</v>
      </c>
      <c r="B60" s="701"/>
      <c r="C60" s="318"/>
      <c r="D60" s="696">
        <v>380</v>
      </c>
      <c r="E60" s="696"/>
      <c r="G60">
        <v>1000</v>
      </c>
      <c r="H60">
        <f t="shared" si="0"/>
        <v>0</v>
      </c>
    </row>
    <row r="61" spans="1:8">
      <c r="A61" s="244"/>
      <c r="G61">
        <v>1000</v>
      </c>
      <c r="H61">
        <f t="shared" si="0"/>
        <v>0</v>
      </c>
    </row>
    <row r="62" spans="1:8" ht="15.75">
      <c r="A62" s="205"/>
      <c r="G62">
        <v>1000</v>
      </c>
      <c r="H62">
        <f t="shared" si="0"/>
        <v>0</v>
      </c>
    </row>
    <row r="63" spans="1:8" ht="15.75">
      <c r="A63" s="205" t="s">
        <v>1510</v>
      </c>
      <c r="G63">
        <v>1000</v>
      </c>
      <c r="H63">
        <f t="shared" si="0"/>
        <v>0</v>
      </c>
    </row>
    <row r="64" spans="1:8" ht="15.75">
      <c r="A64" s="232" t="s">
        <v>1566</v>
      </c>
      <c r="G64">
        <v>1000</v>
      </c>
      <c r="H64">
        <f t="shared" si="0"/>
        <v>0</v>
      </c>
    </row>
    <row r="65" spans="1:8" ht="15.75" thickBot="1">
      <c r="A65" s="987"/>
      <c r="G65">
        <v>1000</v>
      </c>
      <c r="H65">
        <f t="shared" si="0"/>
        <v>0</v>
      </c>
    </row>
    <row r="66" spans="1:8" ht="48" thickBot="1">
      <c r="A66" s="252" t="s">
        <v>0</v>
      </c>
      <c r="B66" s="253" t="s">
        <v>632</v>
      </c>
      <c r="C66" s="988" t="s">
        <v>1245</v>
      </c>
      <c r="D66" s="989" t="s">
        <v>634</v>
      </c>
      <c r="G66">
        <v>1000</v>
      </c>
      <c r="H66">
        <f t="shared" si="0"/>
        <v>0</v>
      </c>
    </row>
    <row r="67" spans="1:8" ht="16.5" thickBot="1">
      <c r="A67" s="273">
        <v>1</v>
      </c>
      <c r="B67" s="256" t="s">
        <v>708</v>
      </c>
      <c r="C67" s="990">
        <v>300000</v>
      </c>
      <c r="D67" s="413"/>
      <c r="G67">
        <v>1000</v>
      </c>
      <c r="H67">
        <f t="shared" si="0"/>
        <v>0</v>
      </c>
    </row>
    <row r="68" spans="1:8" ht="16.5" thickBot="1">
      <c r="A68" s="288" t="s">
        <v>758</v>
      </c>
      <c r="B68" s="289"/>
      <c r="C68" s="991">
        <v>300000</v>
      </c>
      <c r="D68" s="418"/>
      <c r="G68">
        <v>1000</v>
      </c>
      <c r="H68">
        <f t="shared" si="0"/>
        <v>0</v>
      </c>
    </row>
    <row r="69" spans="1:8">
      <c r="A69" s="244"/>
      <c r="G69">
        <v>1000</v>
      </c>
      <c r="H69">
        <f t="shared" si="0"/>
        <v>0</v>
      </c>
    </row>
    <row r="70" spans="1:8">
      <c r="G70">
        <v>1000</v>
      </c>
      <c r="H70">
        <f t="shared" si="0"/>
        <v>0</v>
      </c>
    </row>
    <row r="71" spans="1:8">
      <c r="G71">
        <v>1000</v>
      </c>
      <c r="H71">
        <f t="shared" ref="H71:H103" si="1">E71*G71</f>
        <v>0</v>
      </c>
    </row>
    <row r="72" spans="1:8">
      <c r="G72">
        <v>1000</v>
      </c>
      <c r="H72">
        <f t="shared" si="1"/>
        <v>0</v>
      </c>
    </row>
    <row r="73" spans="1:8">
      <c r="G73">
        <v>1000</v>
      </c>
      <c r="H73">
        <f t="shared" si="1"/>
        <v>0</v>
      </c>
    </row>
    <row r="74" spans="1:8">
      <c r="G74">
        <v>1000</v>
      </c>
      <c r="H74">
        <f t="shared" si="1"/>
        <v>0</v>
      </c>
    </row>
    <row r="75" spans="1:8">
      <c r="G75">
        <v>1000</v>
      </c>
      <c r="H75">
        <f t="shared" si="1"/>
        <v>0</v>
      </c>
    </row>
    <row r="76" spans="1:8">
      <c r="G76">
        <v>1000</v>
      </c>
      <c r="H76">
        <f t="shared" si="1"/>
        <v>0</v>
      </c>
    </row>
    <row r="77" spans="1:8">
      <c r="G77">
        <v>1000</v>
      </c>
      <c r="H77">
        <f t="shared" si="1"/>
        <v>0</v>
      </c>
    </row>
    <row r="78" spans="1:8">
      <c r="G78">
        <v>1000</v>
      </c>
      <c r="H78">
        <f t="shared" si="1"/>
        <v>0</v>
      </c>
    </row>
    <row r="79" spans="1:8">
      <c r="G79">
        <v>1000</v>
      </c>
      <c r="H79">
        <f t="shared" si="1"/>
        <v>0</v>
      </c>
    </row>
    <row r="80" spans="1:8">
      <c r="G80">
        <v>1000</v>
      </c>
      <c r="H80">
        <f t="shared" si="1"/>
        <v>0</v>
      </c>
    </row>
    <row r="81" spans="7:8">
      <c r="G81">
        <v>1000</v>
      </c>
      <c r="H81">
        <f t="shared" si="1"/>
        <v>0</v>
      </c>
    </row>
    <row r="82" spans="7:8">
      <c r="G82">
        <v>1000</v>
      </c>
      <c r="H82">
        <f t="shared" si="1"/>
        <v>0</v>
      </c>
    </row>
    <row r="83" spans="7:8">
      <c r="G83">
        <v>1000</v>
      </c>
      <c r="H83">
        <f t="shared" si="1"/>
        <v>0</v>
      </c>
    </row>
    <row r="84" spans="7:8">
      <c r="G84">
        <v>1000</v>
      </c>
      <c r="H84">
        <f t="shared" si="1"/>
        <v>0</v>
      </c>
    </row>
    <row r="85" spans="7:8">
      <c r="G85">
        <v>1000</v>
      </c>
      <c r="H85">
        <f t="shared" si="1"/>
        <v>0</v>
      </c>
    </row>
    <row r="86" spans="7:8">
      <c r="G86">
        <v>1000</v>
      </c>
      <c r="H86">
        <f t="shared" si="1"/>
        <v>0</v>
      </c>
    </row>
    <row r="87" spans="7:8">
      <c r="G87">
        <v>1000</v>
      </c>
      <c r="H87">
        <f t="shared" si="1"/>
        <v>0</v>
      </c>
    </row>
    <row r="88" spans="7:8">
      <c r="G88">
        <v>1000</v>
      </c>
      <c r="H88">
        <f t="shared" si="1"/>
        <v>0</v>
      </c>
    </row>
    <row r="89" spans="7:8">
      <c r="G89">
        <v>1000</v>
      </c>
      <c r="H89">
        <f t="shared" si="1"/>
        <v>0</v>
      </c>
    </row>
    <row r="90" spans="7:8">
      <c r="G90">
        <v>1000</v>
      </c>
      <c r="H90">
        <f t="shared" si="1"/>
        <v>0</v>
      </c>
    </row>
    <row r="91" spans="7:8">
      <c r="G91">
        <v>1000</v>
      </c>
      <c r="H91">
        <f t="shared" si="1"/>
        <v>0</v>
      </c>
    </row>
    <row r="92" spans="7:8">
      <c r="G92">
        <v>1000</v>
      </c>
      <c r="H92">
        <f t="shared" si="1"/>
        <v>0</v>
      </c>
    </row>
    <row r="93" spans="7:8">
      <c r="G93">
        <v>1000</v>
      </c>
      <c r="H93">
        <f t="shared" si="1"/>
        <v>0</v>
      </c>
    </row>
    <row r="94" spans="7:8">
      <c r="G94">
        <v>1000</v>
      </c>
      <c r="H94">
        <f t="shared" si="1"/>
        <v>0</v>
      </c>
    </row>
    <row r="95" spans="7:8">
      <c r="G95">
        <v>1000</v>
      </c>
      <c r="H95">
        <f t="shared" si="1"/>
        <v>0</v>
      </c>
    </row>
    <row r="96" spans="7:8">
      <c r="G96">
        <v>1000</v>
      </c>
      <c r="H96">
        <f t="shared" si="1"/>
        <v>0</v>
      </c>
    </row>
    <row r="97" spans="7:8">
      <c r="G97">
        <v>1000</v>
      </c>
      <c r="H97">
        <f t="shared" si="1"/>
        <v>0</v>
      </c>
    </row>
    <row r="98" spans="7:8">
      <c r="G98">
        <v>1000</v>
      </c>
      <c r="H98">
        <f t="shared" si="1"/>
        <v>0</v>
      </c>
    </row>
    <row r="99" spans="7:8">
      <c r="G99">
        <v>1000</v>
      </c>
      <c r="H99">
        <f t="shared" si="1"/>
        <v>0</v>
      </c>
    </row>
    <row r="100" spans="7:8">
      <c r="G100">
        <v>1000</v>
      </c>
      <c r="H100">
        <f t="shared" si="1"/>
        <v>0</v>
      </c>
    </row>
    <row r="101" spans="7:8">
      <c r="G101">
        <v>1000</v>
      </c>
      <c r="H101">
        <f t="shared" si="1"/>
        <v>0</v>
      </c>
    </row>
    <row r="102" spans="7:8">
      <c r="G102">
        <v>1000</v>
      </c>
      <c r="H102">
        <f t="shared" si="1"/>
        <v>0</v>
      </c>
    </row>
    <row r="103" spans="7:8">
      <c r="G103">
        <v>1000</v>
      </c>
      <c r="H103">
        <f t="shared" si="1"/>
        <v>0</v>
      </c>
    </row>
    <row r="104" spans="7:8">
      <c r="G104">
        <v>1000</v>
      </c>
    </row>
    <row r="105" spans="7:8">
      <c r="G105">
        <v>1000</v>
      </c>
    </row>
    <row r="106" spans="7:8">
      <c r="G106">
        <v>1000</v>
      </c>
    </row>
    <row r="107" spans="7:8">
      <c r="G107">
        <v>1000</v>
      </c>
    </row>
    <row r="108" spans="7:8">
      <c r="G108">
        <v>1000</v>
      </c>
    </row>
    <row r="109" spans="7:8">
      <c r="G109">
        <v>1000</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
  <sheetViews>
    <sheetView workbookViewId="0">
      <selection activeCell="G67" sqref="G1:G1048576"/>
    </sheetView>
  </sheetViews>
  <sheetFormatPr defaultRowHeight="15"/>
  <cols>
    <col min="3" max="3" width="14.28515625" customWidth="1"/>
    <col min="4" max="4" width="14.28515625" bestFit="1" customWidth="1"/>
    <col min="5" max="5" width="11.5703125" bestFit="1" customWidth="1"/>
    <col min="6" max="6" width="13.28515625" bestFit="1" customWidth="1"/>
    <col min="7" max="7" width="14.28515625" bestFit="1" customWidth="1"/>
    <col min="8" max="8" width="10.5703125" bestFit="1" customWidth="1"/>
    <col min="9" max="13" width="13.28515625" bestFit="1" customWidth="1"/>
    <col min="14" max="15" width="11.5703125" bestFit="1" customWidth="1"/>
    <col min="16" max="16" width="13.28515625" bestFit="1" customWidth="1"/>
    <col min="17" max="17" width="13.7109375" customWidth="1"/>
  </cols>
  <sheetData>
    <row r="1" spans="1:17">
      <c r="C1" t="s">
        <v>236</v>
      </c>
      <c r="D1" t="s">
        <v>237</v>
      </c>
      <c r="E1" t="s">
        <v>238</v>
      </c>
      <c r="F1" t="s">
        <v>1659</v>
      </c>
      <c r="G1" t="s">
        <v>1658</v>
      </c>
      <c r="H1" t="s">
        <v>239</v>
      </c>
      <c r="I1" t="s">
        <v>483</v>
      </c>
      <c r="J1" t="s">
        <v>240</v>
      </c>
      <c r="K1" t="s">
        <v>244</v>
      </c>
      <c r="L1" t="s">
        <v>245</v>
      </c>
      <c r="M1" t="s">
        <v>246</v>
      </c>
      <c r="N1" t="s">
        <v>293</v>
      </c>
      <c r="O1" t="s">
        <v>1657</v>
      </c>
      <c r="P1" t="s">
        <v>266</v>
      </c>
      <c r="Q1" t="s">
        <v>12</v>
      </c>
    </row>
    <row r="2" spans="1:17">
      <c r="A2">
        <v>2</v>
      </c>
      <c r="B2" t="s">
        <v>23</v>
      </c>
      <c r="C2" s="561">
        <f>SUMIFS('338888_CTV_T9'!N:N,'338888_CTV_T9'!$D:$D,Sheet4!$B2)</f>
        <v>0</v>
      </c>
      <c r="D2" s="561">
        <f>SUMIFS('338888_CTV_T9'!O:O,'338888_CTV_T9'!$D:$D,Sheet4!$B2)</f>
        <v>0</v>
      </c>
      <c r="E2" s="561">
        <f>SUMIFS('338888_CTV_T9'!P:P,'338888_CTV_T9'!$D:$D,Sheet4!$B2)</f>
        <v>0</v>
      </c>
      <c r="F2" s="561">
        <f>SUMIFS('338888_CTV_T9'!Q:Q,'338888_CTV_T9'!$D:$D,Sheet4!$B2)</f>
        <v>0</v>
      </c>
      <c r="G2" s="561">
        <f>SUMIFS('338888_CTV_T9'!R:R,'338888_CTV_T9'!$D:$D,Sheet4!$B2)</f>
        <v>0</v>
      </c>
      <c r="H2" s="561">
        <f>SUMIFS('338888_CTV_T9'!S:S,'338888_CTV_T9'!$D:$D,Sheet4!$B2)</f>
        <v>0</v>
      </c>
      <c r="I2" s="561">
        <f>SUMIFS('338888_CTV_T9'!T:T,'338888_CTV_T9'!$D:$D,Sheet4!$B2)</f>
        <v>0</v>
      </c>
      <c r="J2" s="561">
        <f>SUMIFS('338888_CTV_T9'!U:U,'338888_CTV_T9'!$D:$D,Sheet4!$B2)</f>
        <v>0</v>
      </c>
      <c r="K2" s="561">
        <f>SUMIFS('338888_CTV_T9'!V:V,'338888_CTV_T9'!$D:$D,Sheet4!$B2)</f>
        <v>0</v>
      </c>
      <c r="L2" s="561">
        <f>SUMIFS('338888_CTV_T9'!W:W,'338888_CTV_T9'!$D:$D,Sheet4!$B2)</f>
        <v>0</v>
      </c>
      <c r="M2" s="561">
        <f>SUMIFS('338888_CTV_T9'!X:X,'338888_CTV_T9'!$D:$D,Sheet4!$B2)</f>
        <v>0</v>
      </c>
      <c r="N2" s="561">
        <f>SUMIFS('338888_CTV_T9'!Y:Y,'338888_CTV_T9'!$D:$D,Sheet4!$B2)</f>
        <v>0</v>
      </c>
      <c r="O2" s="561">
        <f>SUMIFS('338888_CTV_T9'!AA:AA,'338888_CTV_T9'!$D:$D,Sheet4!$B2)</f>
        <v>0</v>
      </c>
      <c r="P2" s="561">
        <f>SUMIFS('338888_CTV_T9'!AB:AB,'338888_CTV_T9'!$D:$D,Sheet4!$B2)</f>
        <v>0</v>
      </c>
      <c r="Q2" s="66">
        <f>SUM(C2:P2)</f>
        <v>0</v>
      </c>
    </row>
    <row r="3" spans="1:17">
      <c r="A3">
        <v>3</v>
      </c>
      <c r="B3" t="s">
        <v>42</v>
      </c>
      <c r="C3" s="561">
        <f>SUMIFS('338888_CTV_T9'!N:N,'338888_CTV_T9'!$D:$D,Sheet4!$B3)</f>
        <v>0</v>
      </c>
      <c r="D3" s="561">
        <f>SUMIFS('338888_CTV_T9'!O:O,'338888_CTV_T9'!$D:$D,Sheet4!$B3)</f>
        <v>0</v>
      </c>
      <c r="E3" s="561">
        <f>SUMIFS('338888_CTV_T9'!P:P,'338888_CTV_T9'!$D:$D,Sheet4!$B3)</f>
        <v>0</v>
      </c>
      <c r="F3" s="561">
        <f>SUMIFS('338888_CTV_T9'!Q:Q,'338888_CTV_T9'!$D:$D,Sheet4!$B3)</f>
        <v>0</v>
      </c>
      <c r="G3" s="561">
        <f>SUMIFS('338888_CTV_T9'!R:R,'338888_CTV_T9'!$D:$D,Sheet4!$B3)</f>
        <v>0</v>
      </c>
      <c r="H3" s="561">
        <f>SUMIFS('338888_CTV_T9'!S:S,'338888_CTV_T9'!$D:$D,Sheet4!$B3)</f>
        <v>0</v>
      </c>
      <c r="I3" s="561">
        <f>SUMIFS('338888_CTV_T9'!T:T,'338888_CTV_T9'!$D:$D,Sheet4!$B3)</f>
        <v>0</v>
      </c>
      <c r="J3" s="561">
        <f>SUMIFS('338888_CTV_T9'!U:U,'338888_CTV_T9'!$D:$D,Sheet4!$B3)</f>
        <v>0</v>
      </c>
      <c r="K3" s="561">
        <f>SUMIFS('338888_CTV_T9'!V:V,'338888_CTV_T9'!$D:$D,Sheet4!$B3)</f>
        <v>0</v>
      </c>
      <c r="L3" s="561">
        <f>SUMIFS('338888_CTV_T9'!W:W,'338888_CTV_T9'!$D:$D,Sheet4!$B3)</f>
        <v>0</v>
      </c>
      <c r="M3" s="561">
        <f>SUMIFS('338888_CTV_T9'!X:X,'338888_CTV_T9'!$D:$D,Sheet4!$B3)</f>
        <v>0</v>
      </c>
      <c r="N3" s="561">
        <f>SUMIFS('338888_CTV_T9'!Y:Y,'338888_CTV_T9'!$D:$D,Sheet4!$B3)</f>
        <v>0</v>
      </c>
      <c r="O3" s="561">
        <f>SUMIFS('338888_CTV_T9'!AA:AA,'338888_CTV_T9'!$D:$D,Sheet4!$B3)</f>
        <v>0</v>
      </c>
      <c r="P3" s="561">
        <f>SUMIFS('338888_CTV_T9'!AB:AB,'338888_CTV_T9'!$D:$D,Sheet4!$B3)</f>
        <v>0</v>
      </c>
      <c r="Q3" s="66">
        <f t="shared" ref="Q3:Q7" si="0">SUM(C3:P3)</f>
        <v>0</v>
      </c>
    </row>
    <row r="4" spans="1:17">
      <c r="A4">
        <v>4</v>
      </c>
      <c r="B4" t="s">
        <v>63</v>
      </c>
      <c r="C4" s="561">
        <f>SUMIFS('338888_CTV_T9'!N:N,'338888_CTV_T9'!$D:$D,Sheet4!$B4)</f>
        <v>0</v>
      </c>
      <c r="D4" s="561">
        <f>SUMIFS('338888_CTV_T9'!O:O,'338888_CTV_T9'!$D:$D,Sheet4!$B4)</f>
        <v>0</v>
      </c>
      <c r="E4" s="561">
        <f>SUMIFS('338888_CTV_T9'!P:P,'338888_CTV_T9'!$D:$D,Sheet4!$B4)</f>
        <v>0</v>
      </c>
      <c r="F4" s="561">
        <f>SUMIFS('338888_CTV_T9'!Q:Q,'338888_CTV_T9'!$D:$D,Sheet4!$B4)</f>
        <v>0</v>
      </c>
      <c r="G4" s="561">
        <f>SUMIFS('338888_CTV_T9'!R:R,'338888_CTV_T9'!$D:$D,Sheet4!$B4)</f>
        <v>0</v>
      </c>
      <c r="H4" s="561">
        <f>SUMIFS('338888_CTV_T9'!S:S,'338888_CTV_T9'!$D:$D,Sheet4!$B4)</f>
        <v>0</v>
      </c>
      <c r="I4" s="561">
        <f>SUMIFS('338888_CTV_T9'!T:T,'338888_CTV_T9'!$D:$D,Sheet4!$B4)</f>
        <v>0</v>
      </c>
      <c r="J4" s="561">
        <f>SUMIFS('338888_CTV_T9'!U:U,'338888_CTV_T9'!$D:$D,Sheet4!$B4)</f>
        <v>0</v>
      </c>
      <c r="K4" s="561">
        <f>SUMIFS('338888_CTV_T9'!V:V,'338888_CTV_T9'!$D:$D,Sheet4!$B4)</f>
        <v>0</v>
      </c>
      <c r="L4" s="561">
        <f>SUMIFS('338888_CTV_T9'!W:W,'338888_CTV_T9'!$D:$D,Sheet4!$B4)</f>
        <v>0</v>
      </c>
      <c r="M4" s="561">
        <f>SUMIFS('338888_CTV_T9'!X:X,'338888_CTV_T9'!$D:$D,Sheet4!$B4)</f>
        <v>0</v>
      </c>
      <c r="N4" s="561">
        <f>SUMIFS('338888_CTV_T9'!Y:Y,'338888_CTV_T9'!$D:$D,Sheet4!$B4)</f>
        <v>0</v>
      </c>
      <c r="O4" s="561">
        <f>SUMIFS('338888_CTV_T9'!AA:AA,'338888_CTV_T9'!$D:$D,Sheet4!$B4)</f>
        <v>0</v>
      </c>
      <c r="P4" s="561">
        <f>SUMIFS('338888_CTV_T9'!AB:AB,'338888_CTV_T9'!$D:$D,Sheet4!$B4)</f>
        <v>0</v>
      </c>
      <c r="Q4" s="66">
        <f t="shared" si="0"/>
        <v>0</v>
      </c>
    </row>
    <row r="5" spans="1:17">
      <c r="A5">
        <v>5</v>
      </c>
      <c r="B5" t="s">
        <v>70</v>
      </c>
      <c r="C5" s="561">
        <f>SUMIFS('338888_CTV_T9'!N:N,'338888_CTV_T9'!$D:$D,Sheet4!$B5)+308000</f>
        <v>308000</v>
      </c>
      <c r="D5" s="561">
        <f>SUMIFS('338888_CTV_T9'!O:O,'338888_CTV_T9'!$D:$D,Sheet4!$B5)</f>
        <v>0</v>
      </c>
      <c r="E5" s="561">
        <f>SUMIFS('338888_CTV_T9'!P:P,'338888_CTV_T9'!$D:$D,Sheet4!$B5)</f>
        <v>0</v>
      </c>
      <c r="F5" s="561">
        <f>SUMIFS('338888_CTV_T9'!Q:Q,'338888_CTV_T9'!$D:$D,Sheet4!$B5)</f>
        <v>0</v>
      </c>
      <c r="G5" s="561">
        <f>SUMIFS('338888_CTV_T9'!R:R,'338888_CTV_T9'!$D:$D,Sheet4!$B5)</f>
        <v>0</v>
      </c>
      <c r="H5" s="561">
        <f>SUMIFS('338888_CTV_T9'!S:S,'338888_CTV_T9'!$D:$D,Sheet4!$B5)</f>
        <v>0</v>
      </c>
      <c r="I5" s="561">
        <f>SUMIFS('338888_CTV_T9'!T:T,'338888_CTV_T9'!$D:$D,Sheet4!$B5)</f>
        <v>0</v>
      </c>
      <c r="J5" s="561">
        <f>SUMIFS('338888_CTV_T9'!U:U,'338888_CTV_T9'!$D:$D,Sheet4!$B5)</f>
        <v>0</v>
      </c>
      <c r="K5" s="561">
        <f>SUMIFS('338888_CTV_T9'!V:V,'338888_CTV_T9'!$D:$D,Sheet4!$B5)</f>
        <v>0</v>
      </c>
      <c r="L5" s="561">
        <f>SUMIFS('338888_CTV_T9'!W:W,'338888_CTV_T9'!$D:$D,Sheet4!$B5)</f>
        <v>0</v>
      </c>
      <c r="M5" s="561">
        <f>SUMIFS('338888_CTV_T9'!X:X,'338888_CTV_T9'!$D:$D,Sheet4!$B5)</f>
        <v>0</v>
      </c>
      <c r="N5" s="561">
        <f>SUMIFS('338888_CTV_T9'!Y:Y,'338888_CTV_T9'!$D:$D,Sheet4!$B5)</f>
        <v>0</v>
      </c>
      <c r="O5" s="561">
        <f>SUMIFS('338888_CTV_T9'!AA:AA,'338888_CTV_T9'!$D:$D,Sheet4!$B5)</f>
        <v>0</v>
      </c>
      <c r="P5" s="561">
        <f>SUMIFS('338888_CTV_T9'!AB:AB,'338888_CTV_T9'!$D:$D,Sheet4!$B5)</f>
        <v>0</v>
      </c>
      <c r="Q5" s="66">
        <f t="shared" si="0"/>
        <v>308000</v>
      </c>
    </row>
    <row r="6" spans="1:17">
      <c r="A6">
        <v>6</v>
      </c>
      <c r="B6" t="s">
        <v>79</v>
      </c>
      <c r="C6" s="561">
        <f>SUMIFS('338888_CTV_T9'!N:N,'338888_CTV_T9'!$D:$D,Sheet4!$B6)</f>
        <v>0</v>
      </c>
      <c r="D6" s="561">
        <f>SUMIFS('338888_CTV_T9'!O:O,'338888_CTV_T9'!$D:$D,Sheet4!$B6)</f>
        <v>0</v>
      </c>
      <c r="E6" s="561">
        <f>SUMIFS('338888_CTV_T9'!P:P,'338888_CTV_T9'!$D:$D,Sheet4!$B6)</f>
        <v>0</v>
      </c>
      <c r="F6" s="561">
        <f>SUMIFS('338888_CTV_T9'!Q:Q,'338888_CTV_T9'!$D:$D,Sheet4!$B6)</f>
        <v>0</v>
      </c>
      <c r="G6" s="561">
        <f>SUMIFS('338888_CTV_T9'!R:R,'338888_CTV_T9'!$D:$D,Sheet4!$B6)</f>
        <v>0</v>
      </c>
      <c r="H6" s="561">
        <f>SUMIFS('338888_CTV_T9'!S:S,'338888_CTV_T9'!$D:$D,Sheet4!$B6)</f>
        <v>0</v>
      </c>
      <c r="I6" s="561">
        <f>SUMIFS('338888_CTV_T9'!T:T,'338888_CTV_T9'!$D:$D,Sheet4!$B6)</f>
        <v>0</v>
      </c>
      <c r="J6" s="561">
        <f>SUMIFS('338888_CTV_T9'!U:U,'338888_CTV_T9'!$D:$D,Sheet4!$B6)</f>
        <v>0</v>
      </c>
      <c r="K6" s="561">
        <f>SUMIFS('338888_CTV_T9'!V:V,'338888_CTV_T9'!$D:$D,Sheet4!$B6)</f>
        <v>0</v>
      </c>
      <c r="L6" s="561">
        <f>SUMIFS('338888_CTV_T9'!W:W,'338888_CTV_T9'!$D:$D,Sheet4!$B6)</f>
        <v>0</v>
      </c>
      <c r="M6" s="561">
        <f>SUMIFS('338888_CTV_T9'!X:X,'338888_CTV_T9'!$D:$D,Sheet4!$B6)</f>
        <v>0</v>
      </c>
      <c r="N6" s="561">
        <f>SUMIFS('338888_CTV_T9'!Y:Y,'338888_CTV_T9'!$D:$D,Sheet4!$B6)</f>
        <v>0</v>
      </c>
      <c r="O6" s="561">
        <f>SUMIFS('338888_CTV_T9'!AA:AA,'338888_CTV_T9'!$D:$D,Sheet4!$B6)</f>
        <v>0</v>
      </c>
      <c r="P6" s="561">
        <f>SUMIFS('338888_CTV_T9'!AB:AB,'338888_CTV_T9'!$D:$D,Sheet4!$B6)</f>
        <v>0</v>
      </c>
      <c r="Q6" s="66">
        <f t="shared" si="0"/>
        <v>0</v>
      </c>
    </row>
    <row r="7" spans="1:17">
      <c r="A7">
        <v>8</v>
      </c>
      <c r="B7" t="s">
        <v>92</v>
      </c>
      <c r="C7" s="561">
        <f>SUMIFS('338888_CTV_T9'!N:N,'338888_CTV_T9'!$D:$D,Sheet4!$B7)</f>
        <v>0</v>
      </c>
      <c r="D7" s="561">
        <f>SUMIFS('338888_CTV_T9'!O:O,'338888_CTV_T9'!$D:$D,Sheet4!$B7)</f>
        <v>0</v>
      </c>
      <c r="E7" s="561">
        <f>SUMIFS('338888_CTV_T9'!P:P,'338888_CTV_T9'!$D:$D,Sheet4!$B7)</f>
        <v>0</v>
      </c>
      <c r="F7" s="561">
        <f>SUMIFS('338888_CTV_T9'!Q:Q,'338888_CTV_T9'!$D:$D,Sheet4!$B7)</f>
        <v>0</v>
      </c>
      <c r="G7" s="561">
        <f>SUMIFS('338888_CTV_T9'!R:R,'338888_CTV_T9'!$D:$D,Sheet4!$B7)</f>
        <v>0</v>
      </c>
      <c r="H7" s="561">
        <f>SUMIFS('338888_CTV_T9'!S:S,'338888_CTV_T9'!$D:$D,Sheet4!$B7)</f>
        <v>0</v>
      </c>
      <c r="I7" s="561">
        <f>SUMIFS('338888_CTV_T9'!T:T,'338888_CTV_T9'!$D:$D,Sheet4!$B7)</f>
        <v>0</v>
      </c>
      <c r="J7" s="561">
        <f>SUMIFS('338888_CTV_T9'!U:U,'338888_CTV_T9'!$D:$D,Sheet4!$B7)</f>
        <v>0</v>
      </c>
      <c r="K7" s="561">
        <f>SUMIFS('338888_CTV_T9'!V:V,'338888_CTV_T9'!$D:$D,Sheet4!$B7)</f>
        <v>0</v>
      </c>
      <c r="L7" s="561">
        <f>SUMIFS('338888_CTV_T9'!W:W,'338888_CTV_T9'!$D:$D,Sheet4!$B7)</f>
        <v>0</v>
      </c>
      <c r="M7" s="561">
        <f>SUMIFS('338888_CTV_T9'!X:X,'338888_CTV_T9'!$D:$D,Sheet4!$B7)</f>
        <v>0</v>
      </c>
      <c r="N7" s="561">
        <f>SUMIFS('338888_CTV_T9'!Y:Y,'338888_CTV_T9'!$D:$D,Sheet4!$B7)</f>
        <v>0</v>
      </c>
      <c r="O7" s="561">
        <f>SUMIFS('338888_CTV_T9'!AA:AA,'338888_CTV_T9'!$D:$D,Sheet4!$B7)</f>
        <v>0</v>
      </c>
      <c r="P7" s="561">
        <f>SUMIFS('338888_CTV_T9'!AB:AB,'338888_CTV_T9'!$D:$D,Sheet4!$B7)</f>
        <v>0</v>
      </c>
      <c r="Q7" s="66">
        <f t="shared" si="0"/>
        <v>0</v>
      </c>
    </row>
    <row r="8" spans="1:17">
      <c r="C8" s="92">
        <f>SUM(C2:C7)</f>
        <v>308000</v>
      </c>
      <c r="D8" s="92">
        <f t="shared" ref="D8:Q8" si="1">SUM(D2:D7)</f>
        <v>0</v>
      </c>
      <c r="E8" s="92">
        <f t="shared" si="1"/>
        <v>0</v>
      </c>
      <c r="F8" s="92">
        <f t="shared" si="1"/>
        <v>0</v>
      </c>
      <c r="G8" s="92">
        <f t="shared" si="1"/>
        <v>0</v>
      </c>
      <c r="H8" s="92">
        <f t="shared" si="1"/>
        <v>0</v>
      </c>
      <c r="I8" s="92">
        <f t="shared" si="1"/>
        <v>0</v>
      </c>
      <c r="J8" s="92">
        <f t="shared" si="1"/>
        <v>0</v>
      </c>
      <c r="K8" s="92">
        <f t="shared" si="1"/>
        <v>0</v>
      </c>
      <c r="L8" s="92">
        <f t="shared" si="1"/>
        <v>0</v>
      </c>
      <c r="M8" s="92">
        <f t="shared" si="1"/>
        <v>0</v>
      </c>
      <c r="N8" s="92">
        <f t="shared" si="1"/>
        <v>0</v>
      </c>
      <c r="O8" s="74">
        <f t="shared" si="1"/>
        <v>0</v>
      </c>
      <c r="P8" s="92">
        <f t="shared" si="1"/>
        <v>0</v>
      </c>
      <c r="Q8" s="74">
        <f t="shared" si="1"/>
        <v>308000</v>
      </c>
    </row>
    <row r="9" spans="1:17">
      <c r="Q9">
        <v>149690444</v>
      </c>
    </row>
    <row r="11" spans="1:17">
      <c r="Q11" s="66">
        <f>Q9-Q8</f>
        <v>149382444</v>
      </c>
    </row>
  </sheetData>
  <sortState ref="A2:B7">
    <sortCondition ref="A2"/>
  </sortState>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1"/>
  <sheetViews>
    <sheetView topLeftCell="A49" workbookViewId="0">
      <selection activeCell="G67" sqref="G1:G1048576"/>
    </sheetView>
  </sheetViews>
  <sheetFormatPr defaultRowHeight="15"/>
  <cols>
    <col min="2" max="2" width="21.140625" customWidth="1"/>
    <col min="4" max="4" width="11.28515625" customWidth="1"/>
    <col min="5" max="5" width="13.140625" style="68" customWidth="1"/>
    <col min="8" max="8" width="15.28515625" style="562" bestFit="1" customWidth="1"/>
  </cols>
  <sheetData>
    <row r="1" spans="1:8">
      <c r="A1" s="686" t="s">
        <v>1500</v>
      </c>
    </row>
    <row r="2" spans="1:8" ht="16.5" thickBot="1">
      <c r="A2" s="232" t="s">
        <v>1716</v>
      </c>
    </row>
    <row r="3" spans="1:8" ht="28.5" customHeight="1" thickBot="1">
      <c r="A3" s="939" t="s">
        <v>0</v>
      </c>
      <c r="B3" s="939" t="s">
        <v>121</v>
      </c>
      <c r="C3" s="939" t="s">
        <v>632</v>
      </c>
      <c r="D3" s="941" t="s">
        <v>894</v>
      </c>
      <c r="E3" s="942"/>
      <c r="F3" s="939" t="s">
        <v>699</v>
      </c>
    </row>
    <row r="4" spans="1:8" ht="15.75" thickBot="1">
      <c r="A4" s="943"/>
      <c r="B4" s="943"/>
      <c r="C4" s="943"/>
      <c r="D4" s="940" t="s">
        <v>828</v>
      </c>
      <c r="E4" s="940" t="s">
        <v>829</v>
      </c>
      <c r="F4" s="943"/>
    </row>
    <row r="5" spans="1:8" ht="15.75" thickBot="1">
      <c r="A5" s="694">
        <v>1</v>
      </c>
      <c r="B5" s="383" t="s">
        <v>682</v>
      </c>
      <c r="C5" s="384" t="s">
        <v>642</v>
      </c>
      <c r="D5" s="314">
        <v>70</v>
      </c>
      <c r="E5" s="726"/>
      <c r="F5" s="314"/>
      <c r="G5">
        <v>1000</v>
      </c>
      <c r="H5" s="562">
        <f>E5*G5</f>
        <v>0</v>
      </c>
    </row>
    <row r="6" spans="1:8" ht="30.75" customHeight="1" thickBot="1">
      <c r="A6" s="694">
        <v>2</v>
      </c>
      <c r="B6" s="383" t="s">
        <v>153</v>
      </c>
      <c r="C6" s="384" t="s">
        <v>642</v>
      </c>
      <c r="D6" s="312"/>
      <c r="E6" s="726">
        <v>20</v>
      </c>
      <c r="F6" s="314"/>
      <c r="G6">
        <v>1000</v>
      </c>
      <c r="H6" s="562">
        <f t="shared" ref="H6:H69" si="0">E6*G6</f>
        <v>20000</v>
      </c>
    </row>
    <row r="7" spans="1:8" ht="30.75" customHeight="1" thickBot="1">
      <c r="A7" s="694">
        <v>3</v>
      </c>
      <c r="B7" s="383" t="s">
        <v>639</v>
      </c>
      <c r="C7" s="384" t="s">
        <v>717</v>
      </c>
      <c r="D7" s="312"/>
      <c r="E7" s="726">
        <v>80</v>
      </c>
      <c r="F7" s="314"/>
      <c r="G7">
        <v>1000</v>
      </c>
      <c r="H7" s="562">
        <f t="shared" si="0"/>
        <v>80000</v>
      </c>
    </row>
    <row r="8" spans="1:8" ht="45.75" customHeight="1" thickBot="1">
      <c r="A8" s="694">
        <v>4</v>
      </c>
      <c r="B8" s="383" t="s">
        <v>210</v>
      </c>
      <c r="C8" s="384" t="s">
        <v>717</v>
      </c>
      <c r="D8" s="312"/>
      <c r="E8" s="726">
        <v>90</v>
      </c>
      <c r="F8" s="314"/>
      <c r="G8">
        <v>1000</v>
      </c>
      <c r="H8" s="562">
        <f t="shared" si="0"/>
        <v>90000</v>
      </c>
    </row>
    <row r="9" spans="1:8" ht="45.75" customHeight="1" thickBot="1">
      <c r="A9" s="694">
        <v>5</v>
      </c>
      <c r="B9" s="383" t="s">
        <v>641</v>
      </c>
      <c r="C9" s="384" t="s">
        <v>717</v>
      </c>
      <c r="D9" s="314">
        <v>80</v>
      </c>
      <c r="E9" s="1035"/>
      <c r="F9" s="314"/>
      <c r="G9">
        <v>1000</v>
      </c>
      <c r="H9" s="562">
        <f t="shared" si="0"/>
        <v>0</v>
      </c>
    </row>
    <row r="10" spans="1:8" ht="30.75" customHeight="1" thickBot="1">
      <c r="A10" s="694">
        <v>6</v>
      </c>
      <c r="B10" s="383" t="s">
        <v>640</v>
      </c>
      <c r="C10" s="384" t="s">
        <v>717</v>
      </c>
      <c r="D10" s="314">
        <v>40</v>
      </c>
      <c r="E10" s="1035"/>
      <c r="F10" s="314"/>
      <c r="G10">
        <v>1000</v>
      </c>
      <c r="H10" s="562">
        <f t="shared" si="0"/>
        <v>0</v>
      </c>
    </row>
    <row r="11" spans="1:8" ht="45.75" customHeight="1" thickBot="1">
      <c r="A11" s="694">
        <v>7</v>
      </c>
      <c r="B11" s="383" t="s">
        <v>721</v>
      </c>
      <c r="C11" s="384" t="s">
        <v>649</v>
      </c>
      <c r="D11" s="312"/>
      <c r="E11" s="726">
        <v>50</v>
      </c>
      <c r="F11" s="314"/>
      <c r="G11">
        <v>1000</v>
      </c>
      <c r="H11" s="562">
        <f t="shared" si="0"/>
        <v>50000</v>
      </c>
    </row>
    <row r="12" spans="1:8" ht="45.75" customHeight="1" thickBot="1">
      <c r="A12" s="694">
        <v>8</v>
      </c>
      <c r="B12" s="383" t="s">
        <v>205</v>
      </c>
      <c r="C12" s="384" t="s">
        <v>649</v>
      </c>
      <c r="D12" s="312"/>
      <c r="E12" s="726">
        <v>190</v>
      </c>
      <c r="F12" s="314"/>
      <c r="G12">
        <v>1000</v>
      </c>
      <c r="H12" s="562">
        <f t="shared" si="0"/>
        <v>190000</v>
      </c>
    </row>
    <row r="13" spans="1:8" ht="45.75" customHeight="1" thickBot="1">
      <c r="A13" s="694">
        <v>9</v>
      </c>
      <c r="B13" s="383" t="s">
        <v>685</v>
      </c>
      <c r="C13" s="384" t="s">
        <v>649</v>
      </c>
      <c r="D13" s="314">
        <v>60</v>
      </c>
      <c r="E13" s="1039"/>
      <c r="F13" s="314"/>
      <c r="G13">
        <v>1000</v>
      </c>
      <c r="H13" s="562">
        <f t="shared" si="0"/>
        <v>0</v>
      </c>
    </row>
    <row r="14" spans="1:8" ht="45.75" customHeight="1" thickBot="1">
      <c r="A14" s="694">
        <v>10</v>
      </c>
      <c r="B14" s="383" t="s">
        <v>687</v>
      </c>
      <c r="C14" s="384" t="s">
        <v>649</v>
      </c>
      <c r="D14" s="314">
        <v>90</v>
      </c>
      <c r="E14" s="1039"/>
      <c r="F14" s="314"/>
      <c r="G14">
        <v>1000</v>
      </c>
      <c r="H14" s="562">
        <f t="shared" si="0"/>
        <v>0</v>
      </c>
    </row>
    <row r="15" spans="1:8" ht="45.75" customHeight="1" thickBot="1">
      <c r="A15" s="694">
        <v>11</v>
      </c>
      <c r="B15" s="383" t="s">
        <v>684</v>
      </c>
      <c r="C15" s="384" t="s">
        <v>649</v>
      </c>
      <c r="D15" s="314">
        <v>60</v>
      </c>
      <c r="E15" s="1035"/>
      <c r="F15" s="314"/>
      <c r="G15">
        <v>1000</v>
      </c>
      <c r="H15" s="562">
        <f t="shared" si="0"/>
        <v>0</v>
      </c>
    </row>
    <row r="16" spans="1:8" ht="45.75" customHeight="1" thickBot="1">
      <c r="A16" s="694">
        <v>12</v>
      </c>
      <c r="B16" s="383" t="s">
        <v>686</v>
      </c>
      <c r="C16" s="384" t="s">
        <v>649</v>
      </c>
      <c r="D16" s="314">
        <v>110</v>
      </c>
      <c r="E16" s="1035"/>
      <c r="F16" s="314"/>
      <c r="G16">
        <v>1000</v>
      </c>
      <c r="H16" s="562">
        <f t="shared" si="0"/>
        <v>0</v>
      </c>
    </row>
    <row r="17" spans="1:8" ht="45.75" customHeight="1" thickBot="1">
      <c r="A17" s="694">
        <v>13</v>
      </c>
      <c r="B17" s="383" t="s">
        <v>683</v>
      </c>
      <c r="C17" s="384" t="s">
        <v>646</v>
      </c>
      <c r="D17" s="314">
        <v>20</v>
      </c>
      <c r="E17" s="1035"/>
      <c r="F17" s="314"/>
      <c r="G17">
        <v>1000</v>
      </c>
      <c r="H17" s="562">
        <f t="shared" si="0"/>
        <v>0</v>
      </c>
    </row>
    <row r="18" spans="1:8" ht="30.75" customHeight="1" thickBot="1">
      <c r="A18" s="694">
        <v>14</v>
      </c>
      <c r="B18" s="383" t="s">
        <v>723</v>
      </c>
      <c r="C18" s="384" t="s">
        <v>646</v>
      </c>
      <c r="D18" s="314">
        <v>30</v>
      </c>
      <c r="E18" s="1035"/>
      <c r="F18" s="314"/>
      <c r="G18">
        <v>1000</v>
      </c>
      <c r="H18" s="562">
        <f t="shared" si="0"/>
        <v>0</v>
      </c>
    </row>
    <row r="19" spans="1:8" ht="45.75" customHeight="1" thickBot="1">
      <c r="A19" s="694">
        <v>15</v>
      </c>
      <c r="B19" s="383" t="s">
        <v>168</v>
      </c>
      <c r="C19" s="384" t="s">
        <v>646</v>
      </c>
      <c r="D19" s="312"/>
      <c r="E19" s="725">
        <v>90</v>
      </c>
      <c r="F19" s="314"/>
      <c r="G19">
        <v>1000</v>
      </c>
      <c r="H19" s="562">
        <f t="shared" si="0"/>
        <v>90000</v>
      </c>
    </row>
    <row r="20" spans="1:8" ht="45.75" customHeight="1" thickBot="1">
      <c r="A20" s="694">
        <v>16</v>
      </c>
      <c r="B20" s="383" t="s">
        <v>722</v>
      </c>
      <c r="C20" s="384" t="s">
        <v>646</v>
      </c>
      <c r="D20" s="314">
        <v>30</v>
      </c>
      <c r="E20" s="1039"/>
      <c r="F20" s="314"/>
      <c r="G20">
        <v>1000</v>
      </c>
      <c r="H20" s="562">
        <f t="shared" si="0"/>
        <v>0</v>
      </c>
    </row>
    <row r="21" spans="1:8" ht="45.75" customHeight="1" thickBot="1">
      <c r="A21" s="694">
        <v>17</v>
      </c>
      <c r="B21" s="383" t="s">
        <v>65</v>
      </c>
      <c r="C21" s="384" t="s">
        <v>646</v>
      </c>
      <c r="D21" s="312"/>
      <c r="E21" s="726">
        <v>30</v>
      </c>
      <c r="F21" s="314"/>
      <c r="G21">
        <v>1000</v>
      </c>
      <c r="H21" s="562">
        <f t="shared" si="0"/>
        <v>30000</v>
      </c>
    </row>
    <row r="22" spans="1:8" s="1058" customFormat="1" ht="45.75" customHeight="1" thickBot="1">
      <c r="A22" s="1052">
        <v>18</v>
      </c>
      <c r="B22" s="1053" t="s">
        <v>1434</v>
      </c>
      <c r="C22" s="1054" t="s">
        <v>646</v>
      </c>
      <c r="D22" s="1055"/>
      <c r="E22" s="1056">
        <v>80</v>
      </c>
      <c r="F22" s="1057"/>
      <c r="G22" s="1058">
        <v>1000</v>
      </c>
      <c r="H22" s="1059">
        <f t="shared" si="0"/>
        <v>80000</v>
      </c>
    </row>
    <row r="23" spans="1:8" ht="60.75" customHeight="1" thickBot="1">
      <c r="A23" s="694">
        <v>19</v>
      </c>
      <c r="B23" s="383" t="s">
        <v>289</v>
      </c>
      <c r="C23" s="384" t="s">
        <v>646</v>
      </c>
      <c r="D23" s="312"/>
      <c r="E23" s="726">
        <v>110</v>
      </c>
      <c r="F23" s="314"/>
      <c r="G23">
        <v>1000</v>
      </c>
      <c r="H23" s="562">
        <f t="shared" si="0"/>
        <v>110000</v>
      </c>
    </row>
    <row r="24" spans="1:8" ht="30.75" customHeight="1" thickBot="1">
      <c r="A24" s="694">
        <v>20</v>
      </c>
      <c r="B24" s="383" t="s">
        <v>645</v>
      </c>
      <c r="C24" s="384" t="s">
        <v>650</v>
      </c>
      <c r="D24" s="314">
        <v>50</v>
      </c>
      <c r="E24" s="1035"/>
      <c r="F24" s="314"/>
      <c r="G24">
        <v>1000</v>
      </c>
      <c r="H24" s="562">
        <f t="shared" si="0"/>
        <v>0</v>
      </c>
    </row>
    <row r="25" spans="1:8" ht="30.75" customHeight="1" thickBot="1">
      <c r="A25" s="694">
        <v>21</v>
      </c>
      <c r="B25" s="383" t="s">
        <v>1401</v>
      </c>
      <c r="C25" s="384" t="s">
        <v>650</v>
      </c>
      <c r="D25" s="314">
        <v>60</v>
      </c>
      <c r="E25" s="1035"/>
      <c r="F25" s="314"/>
      <c r="G25">
        <v>1000</v>
      </c>
      <c r="H25" s="562">
        <f t="shared" si="0"/>
        <v>0</v>
      </c>
    </row>
    <row r="26" spans="1:8" ht="30.75" customHeight="1" thickBot="1">
      <c r="A26" s="694">
        <v>22</v>
      </c>
      <c r="B26" s="383" t="s">
        <v>688</v>
      </c>
      <c r="C26" s="384" t="s">
        <v>650</v>
      </c>
      <c r="D26" s="314">
        <v>150</v>
      </c>
      <c r="E26" s="1035"/>
      <c r="F26" s="314"/>
      <c r="G26">
        <v>1000</v>
      </c>
      <c r="H26" s="562">
        <f t="shared" si="0"/>
        <v>0</v>
      </c>
    </row>
    <row r="27" spans="1:8" ht="30.75" customHeight="1" thickBot="1">
      <c r="A27" s="694">
        <v>23</v>
      </c>
      <c r="B27" s="383" t="s">
        <v>91</v>
      </c>
      <c r="C27" s="384" t="s">
        <v>650</v>
      </c>
      <c r="D27" s="312"/>
      <c r="E27" s="726">
        <v>20</v>
      </c>
      <c r="F27" s="314"/>
      <c r="G27">
        <v>1000</v>
      </c>
      <c r="H27" s="562">
        <f t="shared" si="0"/>
        <v>20000</v>
      </c>
    </row>
    <row r="28" spans="1:8" ht="45.75" customHeight="1" thickBot="1">
      <c r="A28" s="694">
        <v>24</v>
      </c>
      <c r="B28" s="383" t="s">
        <v>269</v>
      </c>
      <c r="C28" s="384" t="s">
        <v>650</v>
      </c>
      <c r="D28" s="312"/>
      <c r="E28" s="726">
        <v>160</v>
      </c>
      <c r="F28" s="314"/>
      <c r="G28">
        <v>1000</v>
      </c>
      <c r="H28" s="562">
        <f t="shared" si="0"/>
        <v>160000</v>
      </c>
    </row>
    <row r="29" spans="1:8" ht="30.75" customHeight="1" thickBot="1">
      <c r="A29" s="694">
        <v>25</v>
      </c>
      <c r="B29" s="383" t="s">
        <v>651</v>
      </c>
      <c r="C29" s="384" t="s">
        <v>650</v>
      </c>
      <c r="D29" s="314">
        <v>110</v>
      </c>
      <c r="E29" s="1035"/>
      <c r="F29" s="314"/>
      <c r="G29">
        <v>1000</v>
      </c>
      <c r="H29" s="562">
        <f t="shared" si="0"/>
        <v>0</v>
      </c>
    </row>
    <row r="30" spans="1:8" ht="45.75" customHeight="1" thickBot="1">
      <c r="A30" s="694">
        <v>26</v>
      </c>
      <c r="B30" s="383" t="s">
        <v>727</v>
      </c>
      <c r="C30" s="384" t="s">
        <v>650</v>
      </c>
      <c r="D30" s="314">
        <v>50</v>
      </c>
      <c r="E30" s="1035"/>
      <c r="F30" s="314"/>
      <c r="G30">
        <v>1000</v>
      </c>
      <c r="H30" s="562">
        <f t="shared" si="0"/>
        <v>0</v>
      </c>
    </row>
    <row r="31" spans="1:8" ht="30.75" customHeight="1" thickBot="1">
      <c r="A31" s="309">
        <v>27</v>
      </c>
      <c r="B31" s="383" t="s">
        <v>876</v>
      </c>
      <c r="C31" s="384" t="s">
        <v>653</v>
      </c>
      <c r="D31" s="314">
        <v>30</v>
      </c>
      <c r="E31" s="1035"/>
      <c r="F31" s="314"/>
      <c r="G31">
        <v>1000</v>
      </c>
      <c r="H31" s="562">
        <f t="shared" si="0"/>
        <v>0</v>
      </c>
    </row>
    <row r="32" spans="1:8" ht="30.75" customHeight="1" thickBot="1">
      <c r="A32" s="309">
        <v>28</v>
      </c>
      <c r="B32" s="383" t="s">
        <v>659</v>
      </c>
      <c r="C32" s="384" t="s">
        <v>653</v>
      </c>
      <c r="D32" s="314">
        <v>30</v>
      </c>
      <c r="E32" s="1035"/>
      <c r="F32" s="314"/>
      <c r="G32">
        <v>1000</v>
      </c>
      <c r="H32" s="562">
        <f t="shared" si="0"/>
        <v>0</v>
      </c>
    </row>
    <row r="33" spans="1:8" ht="45.75" customHeight="1" thickBot="1">
      <c r="A33" s="309">
        <v>29</v>
      </c>
      <c r="B33" s="383" t="s">
        <v>60</v>
      </c>
      <c r="C33" s="384" t="s">
        <v>653</v>
      </c>
      <c r="D33" s="312"/>
      <c r="E33" s="726">
        <v>80</v>
      </c>
      <c r="F33" s="314"/>
      <c r="G33">
        <v>1000</v>
      </c>
      <c r="H33" s="562">
        <f t="shared" si="0"/>
        <v>80000</v>
      </c>
    </row>
    <row r="34" spans="1:8" ht="30.75" customHeight="1" thickBot="1">
      <c r="A34" s="309">
        <v>30</v>
      </c>
      <c r="B34" s="383" t="s">
        <v>147</v>
      </c>
      <c r="C34" s="384" t="s">
        <v>653</v>
      </c>
      <c r="D34" s="312"/>
      <c r="E34" s="726">
        <v>110</v>
      </c>
      <c r="F34" s="314"/>
      <c r="G34">
        <v>1000</v>
      </c>
      <c r="H34" s="562">
        <f t="shared" si="0"/>
        <v>110000</v>
      </c>
    </row>
    <row r="35" spans="1:8" ht="45.75" customHeight="1" thickBot="1">
      <c r="A35" s="309">
        <v>31</v>
      </c>
      <c r="B35" s="383" t="s">
        <v>654</v>
      </c>
      <c r="C35" s="384" t="s">
        <v>653</v>
      </c>
      <c r="D35" s="314">
        <v>40</v>
      </c>
      <c r="E35" s="1039"/>
      <c r="F35" s="314"/>
      <c r="G35">
        <v>1000</v>
      </c>
      <c r="H35" s="562">
        <f t="shared" si="0"/>
        <v>0</v>
      </c>
    </row>
    <row r="36" spans="1:8" ht="45.75" customHeight="1" thickBot="1">
      <c r="A36" s="309">
        <v>32</v>
      </c>
      <c r="B36" s="383" t="s">
        <v>656</v>
      </c>
      <c r="C36" s="384" t="s">
        <v>653</v>
      </c>
      <c r="D36" s="314">
        <v>30</v>
      </c>
      <c r="E36" s="1039"/>
      <c r="F36" s="314"/>
      <c r="G36">
        <v>1000</v>
      </c>
      <c r="H36" s="562">
        <f t="shared" si="0"/>
        <v>0</v>
      </c>
    </row>
    <row r="37" spans="1:8" ht="45.75" customHeight="1" thickBot="1">
      <c r="A37" s="309">
        <v>33</v>
      </c>
      <c r="B37" s="383" t="s">
        <v>730</v>
      </c>
      <c r="C37" s="384" t="s">
        <v>653</v>
      </c>
      <c r="D37" s="314">
        <v>30</v>
      </c>
      <c r="E37" s="726"/>
      <c r="F37" s="314"/>
      <c r="G37">
        <v>1000</v>
      </c>
      <c r="H37" s="562">
        <f t="shared" si="0"/>
        <v>0</v>
      </c>
    </row>
    <row r="38" spans="1:8" ht="30.75" customHeight="1" thickBot="1">
      <c r="A38" s="309">
        <v>34</v>
      </c>
      <c r="B38" s="383" t="s">
        <v>658</v>
      </c>
      <c r="C38" s="384" t="s">
        <v>653</v>
      </c>
      <c r="D38" s="314">
        <v>30</v>
      </c>
      <c r="E38" s="726"/>
      <c r="F38" s="314"/>
      <c r="G38">
        <v>1000</v>
      </c>
      <c r="H38" s="562">
        <f t="shared" si="0"/>
        <v>0</v>
      </c>
    </row>
    <row r="39" spans="1:8" ht="45.75" customHeight="1" thickBot="1">
      <c r="A39" s="309">
        <v>35</v>
      </c>
      <c r="B39" s="383" t="s">
        <v>757</v>
      </c>
      <c r="C39" s="384" t="s">
        <v>668</v>
      </c>
      <c r="D39" s="314">
        <v>50</v>
      </c>
      <c r="E39" s="1035"/>
      <c r="F39" s="314"/>
      <c r="G39">
        <v>1000</v>
      </c>
      <c r="H39" s="562">
        <f t="shared" si="0"/>
        <v>0</v>
      </c>
    </row>
    <row r="40" spans="1:8" ht="30.75" customHeight="1" thickBot="1">
      <c r="A40" s="309">
        <v>36</v>
      </c>
      <c r="B40" s="383" t="s">
        <v>693</v>
      </c>
      <c r="C40" s="384" t="s">
        <v>668</v>
      </c>
      <c r="D40" s="314">
        <v>110</v>
      </c>
      <c r="E40" s="1035"/>
      <c r="F40" s="314"/>
      <c r="G40">
        <v>1000</v>
      </c>
      <c r="H40" s="562">
        <f t="shared" si="0"/>
        <v>0</v>
      </c>
    </row>
    <row r="41" spans="1:8" ht="45.75" customHeight="1" thickBot="1">
      <c r="A41" s="309">
        <v>37</v>
      </c>
      <c r="B41" s="383" t="s">
        <v>732</v>
      </c>
      <c r="C41" s="384" t="s">
        <v>668</v>
      </c>
      <c r="D41" s="314">
        <v>190</v>
      </c>
      <c r="E41" s="1035"/>
      <c r="F41" s="314"/>
      <c r="G41">
        <v>1000</v>
      </c>
      <c r="H41" s="562">
        <f t="shared" si="0"/>
        <v>0</v>
      </c>
    </row>
    <row r="42" spans="1:8" ht="45.75" customHeight="1" thickBot="1">
      <c r="A42" s="309">
        <v>38</v>
      </c>
      <c r="B42" s="383" t="s">
        <v>262</v>
      </c>
      <c r="C42" s="384" t="s">
        <v>668</v>
      </c>
      <c r="D42" s="312"/>
      <c r="E42" s="726">
        <v>20</v>
      </c>
      <c r="F42" s="314"/>
      <c r="G42">
        <v>1000</v>
      </c>
      <c r="H42" s="562">
        <f t="shared" si="0"/>
        <v>20000</v>
      </c>
    </row>
    <row r="43" spans="1:8" ht="60.75" customHeight="1" thickBot="1">
      <c r="A43" s="309">
        <v>39</v>
      </c>
      <c r="B43" s="383" t="s">
        <v>692</v>
      </c>
      <c r="C43" s="384" t="s">
        <v>668</v>
      </c>
      <c r="D43" s="314">
        <v>30</v>
      </c>
      <c r="E43" s="1035"/>
      <c r="F43" s="314"/>
      <c r="G43">
        <v>1000</v>
      </c>
      <c r="H43" s="562">
        <f t="shared" si="0"/>
        <v>0</v>
      </c>
    </row>
    <row r="44" spans="1:8" ht="30.75" customHeight="1" thickBot="1">
      <c r="A44" s="309">
        <v>40</v>
      </c>
      <c r="B44" s="383" t="s">
        <v>671</v>
      </c>
      <c r="C44" s="384" t="s">
        <v>668</v>
      </c>
      <c r="D44" s="314">
        <v>70</v>
      </c>
      <c r="E44" s="1035"/>
      <c r="F44" s="314"/>
      <c r="G44">
        <v>1000</v>
      </c>
      <c r="H44" s="562">
        <f t="shared" si="0"/>
        <v>0</v>
      </c>
    </row>
    <row r="45" spans="1:8" ht="45.75" customHeight="1" thickBot="1">
      <c r="A45" s="309">
        <v>41</v>
      </c>
      <c r="B45" s="383" t="s">
        <v>150</v>
      </c>
      <c r="C45" s="384" t="s">
        <v>674</v>
      </c>
      <c r="D45" s="312"/>
      <c r="E45" s="725">
        <v>30</v>
      </c>
      <c r="F45" s="314"/>
      <c r="G45">
        <v>1000</v>
      </c>
      <c r="H45" s="562">
        <f t="shared" si="0"/>
        <v>30000</v>
      </c>
    </row>
    <row r="46" spans="1:8" ht="30.75" customHeight="1" thickBot="1">
      <c r="A46" s="309">
        <v>42</v>
      </c>
      <c r="B46" s="383" t="s">
        <v>741</v>
      </c>
      <c r="C46" s="384" t="s">
        <v>674</v>
      </c>
      <c r="D46" s="314">
        <v>140</v>
      </c>
      <c r="E46" s="1039"/>
      <c r="F46" s="314"/>
      <c r="G46">
        <v>1000</v>
      </c>
      <c r="H46" s="562">
        <f t="shared" si="0"/>
        <v>0</v>
      </c>
    </row>
    <row r="47" spans="1:8" ht="17.25" thickBot="1">
      <c r="A47" s="309">
        <v>43</v>
      </c>
      <c r="B47" s="383" t="s">
        <v>675</v>
      </c>
      <c r="C47" s="384" t="s">
        <v>674</v>
      </c>
      <c r="D47" s="314">
        <v>130</v>
      </c>
      <c r="E47" s="1039"/>
      <c r="F47" s="314"/>
      <c r="G47">
        <v>1000</v>
      </c>
      <c r="H47" s="562">
        <f t="shared" si="0"/>
        <v>0</v>
      </c>
    </row>
    <row r="48" spans="1:8" ht="15.75" thickBot="1">
      <c r="A48" s="700" t="s">
        <v>758</v>
      </c>
      <c r="B48" s="701"/>
      <c r="C48" s="318"/>
      <c r="D48" s="696" t="s">
        <v>1537</v>
      </c>
      <c r="E48" s="1036" t="s">
        <v>1652</v>
      </c>
      <c r="F48" s="696"/>
      <c r="G48">
        <v>1000</v>
      </c>
    </row>
    <row r="49" spans="1:8" ht="15.75" customHeight="1" thickBot="1">
      <c r="A49" s="700" t="s">
        <v>864</v>
      </c>
      <c r="B49" s="701"/>
      <c r="C49" s="318"/>
      <c r="D49" s="700" t="s">
        <v>1647</v>
      </c>
      <c r="E49" s="701"/>
      <c r="F49" s="697"/>
      <c r="G49">
        <v>1000</v>
      </c>
      <c r="H49" s="562">
        <f t="shared" si="0"/>
        <v>0</v>
      </c>
    </row>
    <row r="50" spans="1:8">
      <c r="A50" s="284"/>
      <c r="G50">
        <v>1000</v>
      </c>
      <c r="H50" s="562">
        <f t="shared" si="0"/>
        <v>0</v>
      </c>
    </row>
    <row r="51" spans="1:8" ht="16.5">
      <c r="A51" s="246"/>
      <c r="B51" s="248"/>
      <c r="G51">
        <v>1000</v>
      </c>
      <c r="H51" s="562">
        <f t="shared" si="0"/>
        <v>0</v>
      </c>
    </row>
    <row r="52" spans="1:8" ht="15.75">
      <c r="A52" s="205" t="s">
        <v>678</v>
      </c>
      <c r="G52">
        <v>1000</v>
      </c>
      <c r="H52" s="562">
        <f t="shared" si="0"/>
        <v>0</v>
      </c>
    </row>
    <row r="53" spans="1:8" ht="15.75">
      <c r="A53" s="205"/>
      <c r="G53">
        <v>1000</v>
      </c>
      <c r="H53" s="562">
        <f t="shared" si="0"/>
        <v>0</v>
      </c>
    </row>
    <row r="54" spans="1:8">
      <c r="A54" s="686" t="s">
        <v>1502</v>
      </c>
      <c r="G54">
        <v>1000</v>
      </c>
      <c r="H54" s="562">
        <f t="shared" si="0"/>
        <v>0</v>
      </c>
    </row>
    <row r="55" spans="1:8" ht="15.75">
      <c r="A55" s="232" t="s">
        <v>1716</v>
      </c>
      <c r="G55">
        <v>1000</v>
      </c>
      <c r="H55" s="562">
        <f t="shared" si="0"/>
        <v>0</v>
      </c>
    </row>
    <row r="56" spans="1:8" ht="16.5" thickBot="1">
      <c r="A56" s="232"/>
      <c r="G56">
        <v>1000</v>
      </c>
      <c r="H56" s="562">
        <f t="shared" si="0"/>
        <v>0</v>
      </c>
    </row>
    <row r="57" spans="1:8" ht="28.5" customHeight="1" thickBot="1">
      <c r="A57" s="939" t="s">
        <v>0</v>
      </c>
      <c r="B57" s="939" t="s">
        <v>121</v>
      </c>
      <c r="C57" s="939" t="s">
        <v>632</v>
      </c>
      <c r="D57" s="941" t="s">
        <v>894</v>
      </c>
      <c r="E57" s="942"/>
      <c r="F57" s="939" t="s">
        <v>699</v>
      </c>
      <c r="G57">
        <v>1000</v>
      </c>
      <c r="H57" s="562">
        <f t="shared" si="0"/>
        <v>0</v>
      </c>
    </row>
    <row r="58" spans="1:8" ht="15.75" thickBot="1">
      <c r="A58" s="943"/>
      <c r="B58" s="943"/>
      <c r="C58" s="943"/>
      <c r="D58" s="940" t="s">
        <v>828</v>
      </c>
      <c r="E58" s="940" t="s">
        <v>829</v>
      </c>
      <c r="F58" s="943"/>
      <c r="G58">
        <v>1000</v>
      </c>
    </row>
    <row r="59" spans="1:8" ht="33.75" thickBot="1">
      <c r="A59" s="980">
        <v>1</v>
      </c>
      <c r="B59" s="446" t="s">
        <v>205</v>
      </c>
      <c r="C59" s="799" t="s">
        <v>649</v>
      </c>
      <c r="D59" s="385"/>
      <c r="E59" s="728">
        <v>300</v>
      </c>
      <c r="F59" s="799" t="s">
        <v>1503</v>
      </c>
      <c r="G59">
        <v>1000</v>
      </c>
      <c r="H59" s="562">
        <f t="shared" si="0"/>
        <v>300000</v>
      </c>
    </row>
    <row r="60" spans="1:8" ht="45.75" customHeight="1" thickBot="1">
      <c r="A60" s="980">
        <v>2</v>
      </c>
      <c r="B60" s="446" t="s">
        <v>732</v>
      </c>
      <c r="C60" s="799" t="s">
        <v>668</v>
      </c>
      <c r="D60" s="449">
        <v>200</v>
      </c>
      <c r="E60" s="1037"/>
      <c r="F60" s="799" t="s">
        <v>1504</v>
      </c>
      <c r="G60">
        <v>1000</v>
      </c>
      <c r="H60" s="562">
        <f t="shared" si="0"/>
        <v>0</v>
      </c>
    </row>
    <row r="61" spans="1:8" ht="17.25" thickBot="1">
      <c r="A61" s="980">
        <v>3</v>
      </c>
      <c r="B61" s="446" t="s">
        <v>688</v>
      </c>
      <c r="C61" s="407" t="s">
        <v>650</v>
      </c>
      <c r="D61" s="449">
        <v>100</v>
      </c>
      <c r="E61" s="1037"/>
      <c r="F61" s="799" t="s">
        <v>1505</v>
      </c>
      <c r="G61">
        <v>1000</v>
      </c>
      <c r="H61" s="562">
        <f t="shared" si="0"/>
        <v>0</v>
      </c>
    </row>
    <row r="62" spans="1:8" ht="17.25" thickBot="1">
      <c r="A62" s="992" t="s">
        <v>758</v>
      </c>
      <c r="B62" s="993"/>
      <c r="C62" s="981"/>
      <c r="D62" s="982">
        <v>300000</v>
      </c>
      <c r="E62" s="1038">
        <v>300000</v>
      </c>
      <c r="F62" s="389"/>
      <c r="G62">
        <v>1000</v>
      </c>
      <c r="H62" s="562">
        <f t="shared" si="0"/>
        <v>300000000</v>
      </c>
    </row>
    <row r="63" spans="1:8" ht="17.25" customHeight="1" thickBot="1">
      <c r="A63" s="992" t="s">
        <v>864</v>
      </c>
      <c r="B63" s="993"/>
      <c r="C63" s="981"/>
      <c r="D63" s="994">
        <v>600000</v>
      </c>
      <c r="E63" s="995"/>
      <c r="F63" s="984"/>
      <c r="G63">
        <v>1000</v>
      </c>
      <c r="H63" s="562">
        <f t="shared" si="0"/>
        <v>0</v>
      </c>
    </row>
    <row r="64" spans="1:8">
      <c r="A64" s="244"/>
      <c r="G64">
        <v>1000</v>
      </c>
      <c r="H64" s="562">
        <f t="shared" si="0"/>
        <v>0</v>
      </c>
    </row>
    <row r="65" spans="1:8">
      <c r="A65" s="244"/>
      <c r="G65">
        <v>1000</v>
      </c>
      <c r="H65" s="562">
        <f t="shared" si="0"/>
        <v>0</v>
      </c>
    </row>
    <row r="66" spans="1:8" ht="15.75">
      <c r="A66" s="691"/>
      <c r="B66" s="247"/>
      <c r="G66">
        <v>1000</v>
      </c>
      <c r="H66" s="562">
        <f t="shared" si="0"/>
        <v>0</v>
      </c>
    </row>
    <row r="67" spans="1:8" ht="16.5">
      <c r="A67" s="246"/>
      <c r="B67" s="248"/>
      <c r="G67">
        <v>1000</v>
      </c>
      <c r="H67" s="562">
        <f t="shared" si="0"/>
        <v>0</v>
      </c>
    </row>
    <row r="68" spans="1:8" ht="15.75">
      <c r="A68" s="205" t="s">
        <v>696</v>
      </c>
      <c r="G68">
        <v>1000</v>
      </c>
      <c r="H68" s="562">
        <f t="shared" si="0"/>
        <v>0</v>
      </c>
    </row>
    <row r="69" spans="1:8" ht="15.75">
      <c r="A69" s="205"/>
      <c r="G69">
        <v>1000</v>
      </c>
      <c r="H69" s="562">
        <f t="shared" si="0"/>
        <v>0</v>
      </c>
    </row>
    <row r="70" spans="1:8" ht="15.75">
      <c r="A70" s="205" t="s">
        <v>1717</v>
      </c>
      <c r="G70">
        <v>1000</v>
      </c>
      <c r="H70" s="562">
        <f t="shared" ref="H70:H96" si="1">E70*G70</f>
        <v>0</v>
      </c>
    </row>
    <row r="71" spans="1:8" ht="15.75">
      <c r="A71" s="232" t="s">
        <v>1718</v>
      </c>
      <c r="G71">
        <v>1000</v>
      </c>
      <c r="H71" s="562">
        <f t="shared" si="1"/>
        <v>0</v>
      </c>
    </row>
    <row r="72" spans="1:8" ht="15.75" thickBot="1">
      <c r="A72" s="987"/>
      <c r="G72">
        <v>1000</v>
      </c>
      <c r="H72" s="562">
        <f t="shared" si="1"/>
        <v>0</v>
      </c>
    </row>
    <row r="73" spans="1:8" ht="48" thickBot="1">
      <c r="A73" s="252" t="s">
        <v>0</v>
      </c>
      <c r="B73" s="253" t="s">
        <v>632</v>
      </c>
      <c r="C73" s="988" t="s">
        <v>894</v>
      </c>
      <c r="D73" s="989" t="s">
        <v>634</v>
      </c>
      <c r="G73">
        <v>1000</v>
      </c>
      <c r="H73" s="562">
        <f t="shared" si="1"/>
        <v>0</v>
      </c>
    </row>
    <row r="74" spans="1:8" ht="32.25" thickBot="1">
      <c r="A74" s="273">
        <v>1</v>
      </c>
      <c r="B74" s="256" t="s">
        <v>837</v>
      </c>
      <c r="C74" s="1034">
        <v>500</v>
      </c>
      <c r="D74" s="413"/>
      <c r="G74">
        <v>1000</v>
      </c>
      <c r="H74" s="562">
        <f t="shared" si="1"/>
        <v>0</v>
      </c>
    </row>
    <row r="75" spans="1:8" ht="16.5" thickBot="1">
      <c r="A75" s="288" t="s">
        <v>758</v>
      </c>
      <c r="B75" s="289"/>
      <c r="C75" s="283">
        <v>500</v>
      </c>
      <c r="D75" s="418"/>
      <c r="G75">
        <v>1000</v>
      </c>
      <c r="H75" s="562">
        <f t="shared" si="1"/>
        <v>0</v>
      </c>
    </row>
    <row r="76" spans="1:8">
      <c r="A76" s="244"/>
      <c r="G76">
        <v>1000</v>
      </c>
      <c r="H76" s="562">
        <f t="shared" si="1"/>
        <v>0</v>
      </c>
    </row>
    <row r="77" spans="1:8">
      <c r="A77" s="244"/>
      <c r="G77">
        <v>1000</v>
      </c>
      <c r="H77" s="562">
        <f t="shared" si="1"/>
        <v>0</v>
      </c>
    </row>
    <row r="78" spans="1:8">
      <c r="A78" s="244"/>
      <c r="G78">
        <v>1000</v>
      </c>
      <c r="H78" s="562">
        <f t="shared" si="1"/>
        <v>0</v>
      </c>
    </row>
    <row r="79" spans="1:8">
      <c r="A79" s="244"/>
      <c r="G79">
        <v>1000</v>
      </c>
      <c r="H79" s="562">
        <f t="shared" si="1"/>
        <v>0</v>
      </c>
    </row>
    <row r="80" spans="1:8">
      <c r="A80" s="244"/>
      <c r="G80">
        <v>1000</v>
      </c>
      <c r="H80" s="562">
        <f t="shared" si="1"/>
        <v>0</v>
      </c>
    </row>
    <row r="81" spans="1:8">
      <c r="A81" s="244"/>
      <c r="G81">
        <v>1000</v>
      </c>
      <c r="H81" s="562">
        <f t="shared" si="1"/>
        <v>0</v>
      </c>
    </row>
    <row r="82" spans="1:8">
      <c r="A82" s="244"/>
      <c r="G82">
        <v>1000</v>
      </c>
      <c r="H82" s="562">
        <f t="shared" si="1"/>
        <v>0</v>
      </c>
    </row>
    <row r="83" spans="1:8">
      <c r="A83" s="244"/>
      <c r="G83">
        <v>1000</v>
      </c>
      <c r="H83" s="562">
        <f t="shared" si="1"/>
        <v>0</v>
      </c>
    </row>
    <row r="84" spans="1:8">
      <c r="A84" s="244"/>
      <c r="G84">
        <v>1000</v>
      </c>
      <c r="H84" s="562">
        <f t="shared" si="1"/>
        <v>0</v>
      </c>
    </row>
    <row r="85" spans="1:8">
      <c r="A85" s="244"/>
      <c r="G85">
        <v>1000</v>
      </c>
      <c r="H85" s="562">
        <f t="shared" si="1"/>
        <v>0</v>
      </c>
    </row>
    <row r="86" spans="1:8">
      <c r="A86" s="244"/>
      <c r="G86">
        <v>1000</v>
      </c>
      <c r="H86" s="562">
        <f t="shared" si="1"/>
        <v>0</v>
      </c>
    </row>
    <row r="87" spans="1:8">
      <c r="A87" s="244"/>
      <c r="G87">
        <v>1000</v>
      </c>
      <c r="H87" s="562">
        <f t="shared" si="1"/>
        <v>0</v>
      </c>
    </row>
    <row r="88" spans="1:8">
      <c r="A88" s="244"/>
      <c r="G88">
        <v>1000</v>
      </c>
      <c r="H88" s="562">
        <f t="shared" si="1"/>
        <v>0</v>
      </c>
    </row>
    <row r="89" spans="1:8">
      <c r="A89" s="244"/>
      <c r="G89">
        <v>1000</v>
      </c>
      <c r="H89" s="562">
        <f t="shared" si="1"/>
        <v>0</v>
      </c>
    </row>
    <row r="90" spans="1:8">
      <c r="A90" s="244"/>
      <c r="G90">
        <v>1000</v>
      </c>
      <c r="H90" s="562">
        <f t="shared" si="1"/>
        <v>0</v>
      </c>
    </row>
    <row r="91" spans="1:8">
      <c r="A91" s="244"/>
      <c r="G91">
        <v>1000</v>
      </c>
      <c r="H91" s="562">
        <f t="shared" si="1"/>
        <v>0</v>
      </c>
    </row>
    <row r="92" spans="1:8">
      <c r="A92" s="244"/>
      <c r="G92">
        <v>1000</v>
      </c>
      <c r="H92" s="562">
        <f t="shared" si="1"/>
        <v>0</v>
      </c>
    </row>
    <row r="93" spans="1:8">
      <c r="A93" s="244"/>
      <c r="G93">
        <v>1000</v>
      </c>
      <c r="H93" s="562">
        <f t="shared" si="1"/>
        <v>0</v>
      </c>
    </row>
    <row r="94" spans="1:8">
      <c r="A94" s="284"/>
      <c r="G94">
        <v>1000</v>
      </c>
      <c r="H94" s="562">
        <f t="shared" si="1"/>
        <v>0</v>
      </c>
    </row>
    <row r="95" spans="1:8">
      <c r="G95">
        <v>1000</v>
      </c>
      <c r="H95" s="562">
        <f t="shared" si="1"/>
        <v>0</v>
      </c>
    </row>
    <row r="96" spans="1:8">
      <c r="G96">
        <v>1000</v>
      </c>
      <c r="H96" s="562">
        <f t="shared" si="1"/>
        <v>0</v>
      </c>
    </row>
    <row r="97" spans="7:7">
      <c r="G97">
        <v>1000</v>
      </c>
    </row>
    <row r="98" spans="7:7">
      <c r="G98">
        <v>1000</v>
      </c>
    </row>
    <row r="99" spans="7:7">
      <c r="G99">
        <v>1000</v>
      </c>
    </row>
    <row r="100" spans="7:7">
      <c r="G100">
        <v>1000</v>
      </c>
    </row>
    <row r="101" spans="7:7">
      <c r="G101">
        <v>1000</v>
      </c>
    </row>
  </sheetData>
  <pageMargins left="0.7" right="0.7" top="0.75" bottom="0.75" header="0.3" footer="0.3"/>
  <pageSetup paperSize="9" orientation="portrait" verticalDpi="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9"/>
  <sheetViews>
    <sheetView topLeftCell="A94" workbookViewId="0">
      <selection activeCell="G67" sqref="G1:G1048576"/>
    </sheetView>
  </sheetViews>
  <sheetFormatPr defaultRowHeight="15"/>
  <cols>
    <col min="2" max="2" width="32.5703125" customWidth="1"/>
    <col min="4" max="4" width="11.5703125" customWidth="1"/>
    <col min="5" max="5" width="15.140625" style="68" customWidth="1"/>
  </cols>
  <sheetData>
    <row r="1" spans="1:6" ht="15.75">
      <c r="A1" s="205" t="s">
        <v>868</v>
      </c>
    </row>
    <row r="2" spans="1:6" ht="15.75">
      <c r="A2" s="205"/>
    </row>
    <row r="3" spans="1:6">
      <c r="A3" s="686" t="s">
        <v>1648</v>
      </c>
    </row>
    <row r="4" spans="1:6" ht="16.5" thickBot="1">
      <c r="A4" s="232" t="s">
        <v>1719</v>
      </c>
    </row>
    <row r="5" spans="1:6" ht="28.5" customHeight="1" thickBot="1">
      <c r="A5" s="939" t="s">
        <v>0</v>
      </c>
      <c r="B5" s="939" t="s">
        <v>121</v>
      </c>
      <c r="C5" s="939" t="s">
        <v>632</v>
      </c>
      <c r="D5" s="941" t="s">
        <v>894</v>
      </c>
      <c r="E5" s="942"/>
      <c r="F5" s="939" t="s">
        <v>699</v>
      </c>
    </row>
    <row r="6" spans="1:6" ht="15.75" thickBot="1">
      <c r="A6" s="943"/>
      <c r="B6" s="943"/>
      <c r="C6" s="943"/>
      <c r="D6" s="940" t="s">
        <v>828</v>
      </c>
      <c r="E6" s="940" t="s">
        <v>829</v>
      </c>
      <c r="F6" s="943"/>
    </row>
    <row r="7" spans="1:6" ht="15.75" thickBot="1">
      <c r="A7" s="694">
        <v>1</v>
      </c>
      <c r="B7" s="383" t="s">
        <v>39</v>
      </c>
      <c r="C7" s="384" t="s">
        <v>668</v>
      </c>
      <c r="D7" s="314"/>
      <c r="E7" s="727">
        <v>60000</v>
      </c>
      <c r="F7" s="314"/>
    </row>
    <row r="8" spans="1:6" ht="45.75" customHeight="1" thickBot="1">
      <c r="A8" s="694">
        <v>2</v>
      </c>
      <c r="B8" s="383" t="s">
        <v>31</v>
      </c>
      <c r="C8" s="384" t="s">
        <v>668</v>
      </c>
      <c r="D8" s="314"/>
      <c r="E8" s="727">
        <v>30000</v>
      </c>
      <c r="F8" s="314"/>
    </row>
    <row r="9" spans="1:6" ht="30.75" customHeight="1" thickBot="1">
      <c r="A9" s="694">
        <v>3</v>
      </c>
      <c r="B9" s="383" t="s">
        <v>213</v>
      </c>
      <c r="C9" s="384" t="s">
        <v>668</v>
      </c>
      <c r="D9" s="314"/>
      <c r="E9" s="727">
        <v>30000</v>
      </c>
      <c r="F9" s="314"/>
    </row>
    <row r="10" spans="1:6" ht="45.75" customHeight="1" thickBot="1">
      <c r="A10" s="694">
        <v>4</v>
      </c>
      <c r="B10" s="383" t="s">
        <v>262</v>
      </c>
      <c r="C10" s="384" t="s">
        <v>668</v>
      </c>
      <c r="D10" s="314"/>
      <c r="E10" s="727">
        <v>60000</v>
      </c>
      <c r="F10" s="314"/>
    </row>
    <row r="11" spans="1:6" ht="60.75" customHeight="1" thickBot="1">
      <c r="A11" s="694">
        <v>5</v>
      </c>
      <c r="B11" s="383" t="s">
        <v>435</v>
      </c>
      <c r="C11" s="384" t="s">
        <v>668</v>
      </c>
      <c r="D11" s="314"/>
      <c r="E11" s="727">
        <v>75000</v>
      </c>
      <c r="F11" s="314"/>
    </row>
    <row r="12" spans="1:6" ht="30.75" customHeight="1" thickBot="1">
      <c r="A12" s="694">
        <v>6</v>
      </c>
      <c r="B12" s="383" t="s">
        <v>1316</v>
      </c>
      <c r="C12" s="384" t="s">
        <v>668</v>
      </c>
      <c r="D12" s="314"/>
      <c r="E12" s="727">
        <v>85000</v>
      </c>
      <c r="F12" s="314"/>
    </row>
    <row r="13" spans="1:6" ht="45.75" customHeight="1" thickBot="1">
      <c r="A13" s="694">
        <v>7</v>
      </c>
      <c r="B13" s="383" t="s">
        <v>670</v>
      </c>
      <c r="C13" s="384" t="s">
        <v>668</v>
      </c>
      <c r="D13" s="313">
        <v>45000</v>
      </c>
      <c r="E13" s="726"/>
      <c r="F13" s="314"/>
    </row>
    <row r="14" spans="1:6" ht="30.75" customHeight="1" thickBot="1">
      <c r="A14" s="694">
        <v>8</v>
      </c>
      <c r="B14" s="383" t="s">
        <v>655</v>
      </c>
      <c r="C14" s="384" t="s">
        <v>653</v>
      </c>
      <c r="D14" s="313">
        <v>30000</v>
      </c>
      <c r="E14" s="726"/>
      <c r="F14" s="314"/>
    </row>
    <row r="15" spans="1:6" ht="45.75" customHeight="1" thickBot="1">
      <c r="A15" s="694">
        <v>9</v>
      </c>
      <c r="B15" s="383" t="s">
        <v>48</v>
      </c>
      <c r="C15" s="384" t="s">
        <v>653</v>
      </c>
      <c r="D15" s="314"/>
      <c r="E15" s="727">
        <v>140000</v>
      </c>
      <c r="F15" s="314"/>
    </row>
    <row r="16" spans="1:6" ht="45.75" customHeight="1" thickBot="1">
      <c r="A16" s="694">
        <v>10</v>
      </c>
      <c r="B16" s="383" t="s">
        <v>52</v>
      </c>
      <c r="C16" s="384" t="s">
        <v>653</v>
      </c>
      <c r="D16" s="314"/>
      <c r="E16" s="727">
        <v>65000</v>
      </c>
      <c r="F16" s="314"/>
    </row>
    <row r="17" spans="1:6" ht="30.75" customHeight="1" thickBot="1">
      <c r="A17" s="694">
        <v>11</v>
      </c>
      <c r="B17" s="383" t="s">
        <v>46</v>
      </c>
      <c r="C17" s="384" t="s">
        <v>653</v>
      </c>
      <c r="D17" s="314"/>
      <c r="E17" s="727">
        <v>140000</v>
      </c>
      <c r="F17" s="314"/>
    </row>
    <row r="18" spans="1:6" ht="45.75" customHeight="1" thickBot="1">
      <c r="A18" s="694">
        <v>12</v>
      </c>
      <c r="B18" s="383" t="s">
        <v>689</v>
      </c>
      <c r="C18" s="384" t="s">
        <v>653</v>
      </c>
      <c r="D18" s="313">
        <v>110000</v>
      </c>
      <c r="E18" s="728"/>
      <c r="F18" s="314"/>
    </row>
    <row r="19" spans="1:6" ht="45.75" customHeight="1" thickBot="1">
      <c r="A19" s="694">
        <v>13</v>
      </c>
      <c r="B19" s="383" t="s">
        <v>56</v>
      </c>
      <c r="C19" s="384" t="s">
        <v>653</v>
      </c>
      <c r="D19" s="314"/>
      <c r="E19" s="727">
        <v>190000</v>
      </c>
      <c r="F19" s="314"/>
    </row>
    <row r="20" spans="1:6" ht="45.75" customHeight="1" thickBot="1">
      <c r="A20" s="694">
        <v>14</v>
      </c>
      <c r="B20" s="383" t="s">
        <v>50</v>
      </c>
      <c r="C20" s="384" t="s">
        <v>653</v>
      </c>
      <c r="D20" s="314"/>
      <c r="E20" s="727">
        <v>95000</v>
      </c>
      <c r="F20" s="314"/>
    </row>
    <row r="21" spans="1:6" ht="45.75" customHeight="1" thickBot="1">
      <c r="A21" s="694">
        <v>15</v>
      </c>
      <c r="B21" s="383" t="s">
        <v>65</v>
      </c>
      <c r="C21" s="384" t="s">
        <v>646</v>
      </c>
      <c r="D21" s="314"/>
      <c r="E21" s="727">
        <v>30000</v>
      </c>
      <c r="F21" s="314"/>
    </row>
    <row r="22" spans="1:6" ht="45.75" customHeight="1" thickBot="1">
      <c r="A22" s="694">
        <v>16</v>
      </c>
      <c r="B22" s="383" t="s">
        <v>1314</v>
      </c>
      <c r="C22" s="384" t="s">
        <v>646</v>
      </c>
      <c r="D22" s="314"/>
      <c r="E22" s="727">
        <v>65000</v>
      </c>
      <c r="F22" s="314"/>
    </row>
    <row r="23" spans="1:6" ht="45.75" customHeight="1" thickBot="1">
      <c r="A23" s="694">
        <v>17</v>
      </c>
      <c r="B23" s="383" t="s">
        <v>683</v>
      </c>
      <c r="C23" s="384" t="s">
        <v>646</v>
      </c>
      <c r="D23" s="313">
        <v>30000</v>
      </c>
      <c r="E23" s="726"/>
      <c r="F23" s="314"/>
    </row>
    <row r="24" spans="1:6" ht="45.75" customHeight="1" thickBot="1">
      <c r="A24" s="694">
        <v>18</v>
      </c>
      <c r="B24" s="383" t="s">
        <v>168</v>
      </c>
      <c r="C24" s="384" t="s">
        <v>646</v>
      </c>
      <c r="D24" s="314"/>
      <c r="E24" s="727">
        <v>75000</v>
      </c>
      <c r="F24" s="314"/>
    </row>
    <row r="25" spans="1:6" ht="30.75" customHeight="1" thickBot="1">
      <c r="A25" s="694">
        <v>19</v>
      </c>
      <c r="B25" s="383" t="s">
        <v>72</v>
      </c>
      <c r="C25" s="384" t="s">
        <v>674</v>
      </c>
      <c r="D25" s="314"/>
      <c r="E25" s="727">
        <v>310000</v>
      </c>
      <c r="F25" s="314"/>
    </row>
    <row r="26" spans="1:6" ht="45.75" customHeight="1" thickBot="1">
      <c r="A26" s="694">
        <v>20</v>
      </c>
      <c r="B26" s="383" t="s">
        <v>150</v>
      </c>
      <c r="C26" s="384" t="s">
        <v>674</v>
      </c>
      <c r="D26" s="314"/>
      <c r="E26" s="727">
        <v>250000</v>
      </c>
      <c r="F26" s="314"/>
    </row>
    <row r="27" spans="1:6" ht="45.75" customHeight="1" thickBot="1">
      <c r="A27" s="694">
        <v>21</v>
      </c>
      <c r="B27" s="383" t="s">
        <v>182</v>
      </c>
      <c r="C27" s="384" t="s">
        <v>674</v>
      </c>
      <c r="D27" s="314"/>
      <c r="E27" s="727">
        <v>105000</v>
      </c>
      <c r="F27" s="314"/>
    </row>
    <row r="28" spans="1:6" ht="30.75" customHeight="1" thickBot="1">
      <c r="A28" s="694">
        <v>22</v>
      </c>
      <c r="B28" s="383" t="s">
        <v>149</v>
      </c>
      <c r="C28" s="384" t="s">
        <v>674</v>
      </c>
      <c r="D28" s="314"/>
      <c r="E28" s="727">
        <v>180000</v>
      </c>
      <c r="F28" s="314"/>
    </row>
    <row r="29" spans="1:6" ht="30.75" customHeight="1" thickBot="1">
      <c r="A29" s="694">
        <v>23</v>
      </c>
      <c r="B29" s="383" t="s">
        <v>741</v>
      </c>
      <c r="C29" s="384" t="s">
        <v>674</v>
      </c>
      <c r="D29" s="313">
        <v>45000</v>
      </c>
      <c r="E29" s="726"/>
      <c r="F29" s="314"/>
    </row>
    <row r="30" spans="1:6" ht="45.75" customHeight="1" thickBot="1">
      <c r="A30" s="694">
        <v>24</v>
      </c>
      <c r="B30" s="383" t="s">
        <v>675</v>
      </c>
      <c r="C30" s="384" t="s">
        <v>674</v>
      </c>
      <c r="D30" s="313">
        <v>45000</v>
      </c>
      <c r="E30" s="726"/>
      <c r="F30" s="314"/>
    </row>
    <row r="31" spans="1:6" ht="30.75" customHeight="1" thickBot="1">
      <c r="A31" s="694">
        <v>25</v>
      </c>
      <c r="B31" s="383" t="s">
        <v>742</v>
      </c>
      <c r="C31" s="384" t="s">
        <v>674</v>
      </c>
      <c r="D31" s="313">
        <v>265000</v>
      </c>
      <c r="E31" s="728"/>
      <c r="F31" s="314"/>
    </row>
    <row r="32" spans="1:6" ht="45.75" customHeight="1" thickBot="1">
      <c r="A32" s="694">
        <v>26</v>
      </c>
      <c r="B32" s="383" t="s">
        <v>81</v>
      </c>
      <c r="C32" s="384" t="s">
        <v>649</v>
      </c>
      <c r="D32" s="314"/>
      <c r="E32" s="727">
        <v>60000</v>
      </c>
      <c r="F32" s="314"/>
    </row>
    <row r="33" spans="1:6" ht="45.75" customHeight="1" thickBot="1">
      <c r="A33" s="309">
        <v>27</v>
      </c>
      <c r="B33" s="383" t="s">
        <v>684</v>
      </c>
      <c r="C33" s="384" t="s">
        <v>649</v>
      </c>
      <c r="D33" s="313">
        <v>120000</v>
      </c>
      <c r="E33" s="728"/>
      <c r="F33" s="314"/>
    </row>
    <row r="34" spans="1:6" ht="45.75" customHeight="1" thickBot="1">
      <c r="A34" s="309">
        <v>28</v>
      </c>
      <c r="B34" s="383" t="s">
        <v>687</v>
      </c>
      <c r="C34" s="384" t="s">
        <v>649</v>
      </c>
      <c r="D34" s="313">
        <v>60000</v>
      </c>
      <c r="E34" s="728"/>
      <c r="F34" s="314"/>
    </row>
    <row r="35" spans="1:6" ht="45.75" customHeight="1" thickBot="1">
      <c r="A35" s="309">
        <v>29</v>
      </c>
      <c r="B35" s="383" t="s">
        <v>721</v>
      </c>
      <c r="C35" s="384" t="s">
        <v>649</v>
      </c>
      <c r="D35" s="314"/>
      <c r="E35" s="727">
        <v>60000</v>
      </c>
      <c r="F35" s="314"/>
    </row>
    <row r="36" spans="1:6" ht="45.75" customHeight="1" thickBot="1">
      <c r="A36" s="309">
        <v>30</v>
      </c>
      <c r="B36" s="383" t="s">
        <v>205</v>
      </c>
      <c r="C36" s="384" t="s">
        <v>649</v>
      </c>
      <c r="D36" s="314"/>
      <c r="E36" s="727">
        <v>30000</v>
      </c>
      <c r="F36" s="314"/>
    </row>
    <row r="37" spans="1:6" ht="45.75" customHeight="1" thickBot="1">
      <c r="A37" s="309">
        <v>31</v>
      </c>
      <c r="B37" s="383" t="s">
        <v>686</v>
      </c>
      <c r="C37" s="384" t="s">
        <v>649</v>
      </c>
      <c r="D37" s="313">
        <v>105000</v>
      </c>
      <c r="E37" s="725"/>
      <c r="F37" s="314"/>
    </row>
    <row r="38" spans="1:6" ht="45.75" customHeight="1" thickBot="1">
      <c r="A38" s="309">
        <v>32</v>
      </c>
      <c r="B38" s="383" t="s">
        <v>685</v>
      </c>
      <c r="C38" s="384" t="s">
        <v>649</v>
      </c>
      <c r="D38" s="313">
        <v>300000</v>
      </c>
      <c r="E38" s="725"/>
      <c r="F38" s="314"/>
    </row>
    <row r="39" spans="1:6" ht="45.75" customHeight="1" thickBot="1">
      <c r="A39" s="309">
        <v>33</v>
      </c>
      <c r="B39" s="383" t="s">
        <v>638</v>
      </c>
      <c r="C39" s="384" t="s">
        <v>649</v>
      </c>
      <c r="D39" s="313">
        <v>95000</v>
      </c>
      <c r="E39" s="726"/>
      <c r="F39" s="314"/>
    </row>
    <row r="40" spans="1:6" ht="30.75" customHeight="1" thickBot="1">
      <c r="A40" s="309">
        <v>34</v>
      </c>
      <c r="B40" s="383" t="s">
        <v>187</v>
      </c>
      <c r="C40" s="384" t="s">
        <v>649</v>
      </c>
      <c r="D40" s="314"/>
      <c r="E40" s="727">
        <v>227500</v>
      </c>
      <c r="F40" s="314"/>
    </row>
    <row r="41" spans="1:6" ht="30.75" customHeight="1" thickBot="1">
      <c r="A41" s="309">
        <v>35</v>
      </c>
      <c r="B41" s="383" t="s">
        <v>152</v>
      </c>
      <c r="C41" s="384" t="s">
        <v>649</v>
      </c>
      <c r="D41" s="314"/>
      <c r="E41" s="727">
        <v>357500</v>
      </c>
      <c r="F41" s="314"/>
    </row>
    <row r="42" spans="1:6" ht="60.75" customHeight="1" thickBot="1">
      <c r="A42" s="309">
        <v>36</v>
      </c>
      <c r="B42" s="383" t="s">
        <v>89</v>
      </c>
      <c r="C42" s="384" t="s">
        <v>650</v>
      </c>
      <c r="D42" s="314"/>
      <c r="E42" s="727">
        <v>15000</v>
      </c>
      <c r="F42" s="314"/>
    </row>
    <row r="43" spans="1:6" ht="30.75" customHeight="1" thickBot="1">
      <c r="A43" s="309">
        <v>37</v>
      </c>
      <c r="B43" s="383" t="s">
        <v>91</v>
      </c>
      <c r="C43" s="384" t="s">
        <v>650</v>
      </c>
      <c r="D43" s="314"/>
      <c r="E43" s="727">
        <v>100000</v>
      </c>
      <c r="F43" s="314"/>
    </row>
    <row r="44" spans="1:6" ht="45.75" customHeight="1" thickBot="1">
      <c r="A44" s="309">
        <v>38</v>
      </c>
      <c r="B44" s="383" t="s">
        <v>83</v>
      </c>
      <c r="C44" s="384" t="s">
        <v>650</v>
      </c>
      <c r="D44" s="314"/>
      <c r="E44" s="727">
        <v>15000</v>
      </c>
      <c r="F44" s="314"/>
    </row>
    <row r="45" spans="1:6" ht="30.75" customHeight="1" thickBot="1">
      <c r="A45" s="309">
        <v>39</v>
      </c>
      <c r="B45" s="383" t="s">
        <v>688</v>
      </c>
      <c r="C45" s="384" t="s">
        <v>650</v>
      </c>
      <c r="D45" s="313">
        <v>105000</v>
      </c>
      <c r="E45" s="1061"/>
      <c r="F45" s="314"/>
    </row>
    <row r="46" spans="1:6" ht="30.75" customHeight="1" thickBot="1">
      <c r="A46" s="309">
        <v>40</v>
      </c>
      <c r="B46" s="383" t="s">
        <v>651</v>
      </c>
      <c r="C46" s="384" t="s">
        <v>650</v>
      </c>
      <c r="D46" s="313">
        <v>180000</v>
      </c>
      <c r="E46" s="728"/>
      <c r="F46" s="314"/>
    </row>
    <row r="47" spans="1:6" ht="45.75" customHeight="1" thickBot="1">
      <c r="A47" s="309">
        <v>41</v>
      </c>
      <c r="B47" s="383" t="s">
        <v>727</v>
      </c>
      <c r="C47" s="384" t="s">
        <v>650</v>
      </c>
      <c r="D47" s="313">
        <v>37500</v>
      </c>
      <c r="E47" s="725"/>
      <c r="F47" s="314"/>
    </row>
    <row r="48" spans="1:6" ht="30.75" customHeight="1" thickBot="1">
      <c r="A48" s="309">
        <v>42</v>
      </c>
      <c r="B48" s="383" t="s">
        <v>1401</v>
      </c>
      <c r="C48" s="384" t="s">
        <v>650</v>
      </c>
      <c r="D48" s="313">
        <v>90000</v>
      </c>
      <c r="E48" s="725"/>
      <c r="F48" s="314"/>
    </row>
    <row r="49" spans="1:6" ht="45.75" customHeight="1" thickBot="1">
      <c r="A49" s="309">
        <v>43</v>
      </c>
      <c r="B49" s="383" t="s">
        <v>94</v>
      </c>
      <c r="C49" s="384" t="s">
        <v>642</v>
      </c>
      <c r="D49" s="314"/>
      <c r="E49" s="1062">
        <v>85000</v>
      </c>
      <c r="F49" s="314"/>
    </row>
    <row r="50" spans="1:6" ht="45.75" customHeight="1" thickBot="1">
      <c r="A50" s="309">
        <v>44</v>
      </c>
      <c r="B50" s="383" t="s">
        <v>682</v>
      </c>
      <c r="C50" s="384" t="s">
        <v>642</v>
      </c>
      <c r="D50" s="313">
        <v>110000</v>
      </c>
      <c r="E50" s="725"/>
      <c r="F50" s="314"/>
    </row>
    <row r="51" spans="1:6" ht="45.75" customHeight="1" thickBot="1">
      <c r="A51" s="309">
        <v>45</v>
      </c>
      <c r="B51" s="383" t="s">
        <v>207</v>
      </c>
      <c r="C51" s="384" t="s">
        <v>642</v>
      </c>
      <c r="D51" s="314"/>
      <c r="E51" s="1062">
        <v>80000</v>
      </c>
      <c r="F51" s="314"/>
    </row>
    <row r="52" spans="1:6" ht="45.75" customHeight="1" thickBot="1">
      <c r="A52" s="309">
        <v>46</v>
      </c>
      <c r="B52" s="383" t="s">
        <v>728</v>
      </c>
      <c r="C52" s="384" t="s">
        <v>642</v>
      </c>
      <c r="D52" s="313">
        <v>25000</v>
      </c>
      <c r="E52" s="725"/>
      <c r="F52" s="314"/>
    </row>
    <row r="53" spans="1:6" ht="45.75" customHeight="1" thickBot="1">
      <c r="A53" s="309">
        <v>47</v>
      </c>
      <c r="B53" s="383" t="s">
        <v>715</v>
      </c>
      <c r="C53" s="384" t="s">
        <v>642</v>
      </c>
      <c r="D53" s="313">
        <v>60000</v>
      </c>
      <c r="E53" s="725"/>
      <c r="F53" s="314"/>
    </row>
    <row r="54" spans="1:6" ht="30.75" customHeight="1" thickBot="1">
      <c r="A54" s="309">
        <v>48</v>
      </c>
      <c r="B54" s="383" t="s">
        <v>98</v>
      </c>
      <c r="C54" s="384" t="s">
        <v>636</v>
      </c>
      <c r="D54" s="314"/>
      <c r="E54" s="727">
        <v>35000</v>
      </c>
      <c r="F54" s="314"/>
    </row>
    <row r="55" spans="1:6" ht="45.75" customHeight="1" thickBot="1">
      <c r="A55" s="309">
        <v>49</v>
      </c>
      <c r="B55" s="383" t="s">
        <v>210</v>
      </c>
      <c r="C55" s="384" t="s">
        <v>636</v>
      </c>
      <c r="D55" s="314"/>
      <c r="E55" s="727">
        <v>35000</v>
      </c>
      <c r="F55" s="314"/>
    </row>
    <row r="56" spans="1:6" ht="45.75" customHeight="1" thickBot="1">
      <c r="A56" s="309">
        <v>50</v>
      </c>
      <c r="B56" s="383" t="s">
        <v>96</v>
      </c>
      <c r="C56" s="384" t="s">
        <v>636</v>
      </c>
      <c r="D56" s="314"/>
      <c r="E56" s="727">
        <v>45000</v>
      </c>
      <c r="F56" s="314"/>
    </row>
    <row r="57" spans="1:6" ht="45.75" customHeight="1" thickBot="1">
      <c r="A57" s="309">
        <v>51</v>
      </c>
      <c r="B57" s="383" t="s">
        <v>641</v>
      </c>
      <c r="C57" s="384" t="s">
        <v>636</v>
      </c>
      <c r="D57" s="313">
        <v>82500</v>
      </c>
      <c r="E57" s="725"/>
      <c r="F57" s="314"/>
    </row>
    <row r="58" spans="1:6" ht="45.75" customHeight="1" thickBot="1">
      <c r="A58" s="309">
        <v>52</v>
      </c>
      <c r="B58" s="383" t="s">
        <v>106</v>
      </c>
      <c r="C58" s="384" t="s">
        <v>636</v>
      </c>
      <c r="D58" s="314"/>
      <c r="E58" s="727">
        <v>35000</v>
      </c>
      <c r="F58" s="314"/>
    </row>
    <row r="59" spans="1:6" ht="60.75" customHeight="1" thickBot="1">
      <c r="A59" s="309">
        <v>53</v>
      </c>
      <c r="B59" s="383" t="s">
        <v>154</v>
      </c>
      <c r="C59" s="384" t="s">
        <v>636</v>
      </c>
      <c r="D59" s="314"/>
      <c r="E59" s="727">
        <v>102500</v>
      </c>
      <c r="F59" s="314"/>
    </row>
    <row r="60" spans="1:6" ht="45.75" customHeight="1" thickBot="1">
      <c r="A60" s="309">
        <v>54</v>
      </c>
      <c r="B60" s="383" t="s">
        <v>660</v>
      </c>
      <c r="C60" s="384" t="s">
        <v>746</v>
      </c>
      <c r="D60" s="313">
        <v>50000</v>
      </c>
      <c r="E60" s="725"/>
      <c r="F60" s="314"/>
    </row>
    <row r="61" spans="1:6" ht="30.75" customHeight="1" thickBot="1">
      <c r="A61" s="309">
        <v>55</v>
      </c>
      <c r="B61" s="383" t="s">
        <v>750</v>
      </c>
      <c r="C61" s="384" t="s">
        <v>746</v>
      </c>
      <c r="D61" s="314"/>
      <c r="E61" s="727">
        <v>50000</v>
      </c>
      <c r="F61" s="314"/>
    </row>
    <row r="62" spans="1:6" ht="30.75" customHeight="1" thickBot="1">
      <c r="A62" s="309">
        <v>56</v>
      </c>
      <c r="B62" s="383" t="s">
        <v>144</v>
      </c>
      <c r="C62" s="384" t="s">
        <v>1224</v>
      </c>
      <c r="D62" s="314"/>
      <c r="E62" s="727">
        <v>45000</v>
      </c>
      <c r="F62" s="314"/>
    </row>
    <row r="63" spans="1:6" ht="15.75" thickBot="1">
      <c r="A63" s="309">
        <v>57</v>
      </c>
      <c r="B63" s="383" t="s">
        <v>1236</v>
      </c>
      <c r="C63" s="384" t="s">
        <v>1224</v>
      </c>
      <c r="D63" s="313">
        <v>62500</v>
      </c>
      <c r="E63" s="725"/>
      <c r="F63" s="314"/>
    </row>
    <row r="64" spans="1:6" ht="15.75" thickBot="1">
      <c r="A64" s="700" t="s">
        <v>758</v>
      </c>
      <c r="B64" s="701"/>
      <c r="C64" s="318"/>
      <c r="D64" s="695">
        <v>2052500</v>
      </c>
      <c r="E64" s="1063">
        <v>3362500</v>
      </c>
      <c r="F64" s="696"/>
    </row>
    <row r="65" spans="1:6" ht="15.75" customHeight="1" thickBot="1">
      <c r="A65" s="700" t="s">
        <v>864</v>
      </c>
      <c r="B65" s="701"/>
      <c r="C65" s="318"/>
      <c r="D65" s="702">
        <v>5415000</v>
      </c>
      <c r="E65" s="703"/>
      <c r="F65" s="697"/>
    </row>
    <row r="66" spans="1:6">
      <c r="A66" s="284"/>
    </row>
    <row r="67" spans="1:6" ht="16.5">
      <c r="A67" s="246"/>
      <c r="B67" s="248"/>
    </row>
    <row r="68" spans="1:6" ht="15.75">
      <c r="A68" s="205" t="s">
        <v>1649</v>
      </c>
    </row>
    <row r="69" spans="1:6" ht="15.75">
      <c r="A69" s="205"/>
    </row>
    <row r="70" spans="1:6">
      <c r="A70" s="686" t="s">
        <v>1650</v>
      </c>
    </row>
    <row r="71" spans="1:6" ht="15.75">
      <c r="A71" s="232" t="s">
        <v>1719</v>
      </c>
    </row>
    <row r="72" spans="1:6" ht="16.5" thickBot="1">
      <c r="A72" s="232"/>
    </row>
    <row r="73" spans="1:6" ht="43.5" thickBot="1">
      <c r="A73" s="1004" t="s">
        <v>0</v>
      </c>
      <c r="B73" s="1005" t="s">
        <v>121</v>
      </c>
      <c r="C73" s="1005" t="s">
        <v>632</v>
      </c>
      <c r="D73" s="1005" t="s">
        <v>894</v>
      </c>
      <c r="E73" s="1005" t="s">
        <v>699</v>
      </c>
    </row>
    <row r="74" spans="1:6" ht="60.75" customHeight="1" thickBot="1">
      <c r="A74" s="694">
        <v>1</v>
      </c>
      <c r="B74" s="383" t="s">
        <v>1172</v>
      </c>
      <c r="C74" s="384" t="s">
        <v>1171</v>
      </c>
      <c r="D74" s="313">
        <v>10000</v>
      </c>
      <c r="E74" s="724"/>
    </row>
    <row r="75" spans="1:6" ht="45.75" thickBot="1">
      <c r="A75" s="694">
        <v>2</v>
      </c>
      <c r="B75" s="383" t="s">
        <v>840</v>
      </c>
      <c r="C75" s="384" t="s">
        <v>1171</v>
      </c>
      <c r="D75" s="313">
        <v>10000</v>
      </c>
      <c r="E75" s="724"/>
    </row>
    <row r="76" spans="1:6" ht="45.75" thickBot="1">
      <c r="A76" s="694">
        <v>3</v>
      </c>
      <c r="B76" s="383" t="s">
        <v>1177</v>
      </c>
      <c r="C76" s="384" t="s">
        <v>1171</v>
      </c>
      <c r="D76" s="313">
        <v>10000</v>
      </c>
      <c r="E76" s="724"/>
    </row>
    <row r="77" spans="1:6" ht="45.75" thickBot="1">
      <c r="A77" s="694">
        <v>4</v>
      </c>
      <c r="B77" s="383" t="s">
        <v>1229</v>
      </c>
      <c r="C77" s="384" t="s">
        <v>1171</v>
      </c>
      <c r="D77" s="313">
        <v>20000</v>
      </c>
      <c r="E77" s="724"/>
    </row>
    <row r="78" spans="1:6" ht="45.75" thickBot="1">
      <c r="A78" s="694">
        <v>5</v>
      </c>
      <c r="B78" s="383" t="s">
        <v>1644</v>
      </c>
      <c r="C78" s="384" t="s">
        <v>1171</v>
      </c>
      <c r="D78" s="313">
        <v>10000</v>
      </c>
      <c r="E78" s="724"/>
    </row>
    <row r="79" spans="1:6" ht="30.75" thickBot="1">
      <c r="A79" s="694">
        <v>6</v>
      </c>
      <c r="B79" s="383" t="s">
        <v>1645</v>
      </c>
      <c r="C79" s="384" t="s">
        <v>1179</v>
      </c>
      <c r="D79" s="313">
        <v>20000</v>
      </c>
      <c r="E79" s="724"/>
    </row>
    <row r="80" spans="1:6" ht="45.75" customHeight="1" thickBot="1">
      <c r="A80" s="694">
        <v>7</v>
      </c>
      <c r="B80" s="446" t="s">
        <v>850</v>
      </c>
      <c r="C80" s="384" t="s">
        <v>1179</v>
      </c>
      <c r="D80" s="313">
        <v>10000</v>
      </c>
      <c r="E80" s="724"/>
    </row>
    <row r="81" spans="1:5" ht="45.75" customHeight="1" thickBot="1">
      <c r="A81" s="694">
        <v>8</v>
      </c>
      <c r="B81" s="383" t="s">
        <v>1185</v>
      </c>
      <c r="C81" s="384" t="s">
        <v>1182</v>
      </c>
      <c r="D81" s="313">
        <v>20000</v>
      </c>
      <c r="E81" s="724"/>
    </row>
    <row r="82" spans="1:5" ht="45.75" customHeight="1" thickBot="1">
      <c r="A82" s="694">
        <v>9</v>
      </c>
      <c r="B82" s="383" t="s">
        <v>1186</v>
      </c>
      <c r="C82" s="384" t="s">
        <v>1182</v>
      </c>
      <c r="D82" s="313">
        <v>10000</v>
      </c>
      <c r="E82" s="724"/>
    </row>
    <row r="83" spans="1:5" ht="45.75" customHeight="1" thickBot="1">
      <c r="A83" s="694">
        <v>10</v>
      </c>
      <c r="B83" s="383" t="s">
        <v>1191</v>
      </c>
      <c r="C83" s="384" t="s">
        <v>1182</v>
      </c>
      <c r="D83" s="313">
        <v>10000</v>
      </c>
      <c r="E83" s="724"/>
    </row>
    <row r="84" spans="1:5" ht="30.75" thickBot="1">
      <c r="A84" s="694">
        <v>11</v>
      </c>
      <c r="B84" s="383" t="s">
        <v>1194</v>
      </c>
      <c r="C84" s="384" t="s">
        <v>1182</v>
      </c>
      <c r="D84" s="313">
        <v>10000</v>
      </c>
      <c r="E84" s="724"/>
    </row>
    <row r="85" spans="1:5" ht="45.75" customHeight="1" thickBot="1">
      <c r="A85" s="694">
        <v>12</v>
      </c>
      <c r="B85" s="383" t="s">
        <v>1195</v>
      </c>
      <c r="C85" s="384" t="s">
        <v>1182</v>
      </c>
      <c r="D85" s="313">
        <v>10000</v>
      </c>
      <c r="E85" s="724"/>
    </row>
    <row r="86" spans="1:5" ht="45.75" customHeight="1" thickBot="1">
      <c r="A86" s="694">
        <v>13</v>
      </c>
      <c r="B86" s="383" t="s">
        <v>860</v>
      </c>
      <c r="C86" s="384" t="s">
        <v>1182</v>
      </c>
      <c r="D86" s="313">
        <v>10000</v>
      </c>
      <c r="E86" s="724"/>
    </row>
    <row r="87" spans="1:5" ht="45.75" customHeight="1" thickBot="1">
      <c r="A87" s="694">
        <v>14</v>
      </c>
      <c r="B87" s="383" t="s">
        <v>1415</v>
      </c>
      <c r="C87" s="384" t="s">
        <v>1182</v>
      </c>
      <c r="D87" s="313">
        <v>10000</v>
      </c>
      <c r="E87" s="724"/>
    </row>
    <row r="88" spans="1:5" ht="36.75" customHeight="1" thickBot="1">
      <c r="A88" s="694">
        <v>15</v>
      </c>
      <c r="B88" s="1060" t="s">
        <v>855</v>
      </c>
      <c r="C88" s="384" t="s">
        <v>1182</v>
      </c>
      <c r="D88" s="313">
        <v>12000</v>
      </c>
      <c r="E88" s="724"/>
    </row>
    <row r="89" spans="1:5" ht="30.75" thickBot="1">
      <c r="A89" s="694">
        <v>16</v>
      </c>
      <c r="B89" s="383" t="s">
        <v>863</v>
      </c>
      <c r="C89" s="384" t="s">
        <v>1198</v>
      </c>
      <c r="D89" s="313">
        <v>20000</v>
      </c>
      <c r="E89" s="724"/>
    </row>
    <row r="90" spans="1:5" ht="45.75" customHeight="1" thickBot="1">
      <c r="A90" s="694">
        <v>17</v>
      </c>
      <c r="B90" s="383" t="s">
        <v>1202</v>
      </c>
      <c r="C90" s="384" t="s">
        <v>1198</v>
      </c>
      <c r="D90" s="313">
        <v>30000</v>
      </c>
      <c r="E90" s="724"/>
    </row>
    <row r="91" spans="1:5" ht="30.75" thickBot="1">
      <c r="A91" s="694">
        <v>18</v>
      </c>
      <c r="B91" s="383" t="s">
        <v>1205</v>
      </c>
      <c r="C91" s="384" t="s">
        <v>1198</v>
      </c>
      <c r="D91" s="313">
        <v>10000</v>
      </c>
      <c r="E91" s="724"/>
    </row>
    <row r="92" spans="1:5" ht="30.75" thickBot="1">
      <c r="A92" s="694">
        <v>19</v>
      </c>
      <c r="B92" s="383" t="s">
        <v>1206</v>
      </c>
      <c r="C92" s="384" t="s">
        <v>1198</v>
      </c>
      <c r="D92" s="313">
        <v>20000</v>
      </c>
      <c r="E92" s="724"/>
    </row>
    <row r="93" spans="1:5" ht="15.75" thickBot="1">
      <c r="A93" s="700" t="s">
        <v>758</v>
      </c>
      <c r="B93" s="701"/>
      <c r="C93" s="318"/>
      <c r="D93" s="695">
        <v>262000</v>
      </c>
      <c r="E93" s="1036"/>
    </row>
    <row r="94" spans="1:5">
      <c r="A94" s="284"/>
    </row>
    <row r="95" spans="1:5" ht="16.5">
      <c r="A95" s="246"/>
      <c r="B95" s="248"/>
    </row>
    <row r="96" spans="1:5" ht="15.75">
      <c r="A96" s="205" t="s">
        <v>696</v>
      </c>
    </row>
    <row r="97" spans="1:6" ht="15.75">
      <c r="A97" s="205"/>
    </row>
    <row r="98" spans="1:6">
      <c r="A98" s="686" t="s">
        <v>1720</v>
      </c>
    </row>
    <row r="99" spans="1:6" ht="16.5" thickBot="1">
      <c r="A99" s="232" t="s">
        <v>1719</v>
      </c>
    </row>
    <row r="100" spans="1:6" ht="28.5" customHeight="1" thickBot="1">
      <c r="A100" s="939" t="s">
        <v>0</v>
      </c>
      <c r="B100" s="939" t="s">
        <v>121</v>
      </c>
      <c r="C100" s="939" t="s">
        <v>632</v>
      </c>
      <c r="D100" s="941" t="s">
        <v>894</v>
      </c>
      <c r="E100" s="942"/>
      <c r="F100" s="939" t="s">
        <v>699</v>
      </c>
    </row>
    <row r="101" spans="1:6" ht="15.75" thickBot="1">
      <c r="A101" s="943"/>
      <c r="B101" s="943"/>
      <c r="C101" s="943"/>
      <c r="D101" s="940" t="s">
        <v>828</v>
      </c>
      <c r="E101" s="940" t="s">
        <v>829</v>
      </c>
      <c r="F101" s="943"/>
    </row>
    <row r="102" spans="1:6" ht="17.25" thickBot="1">
      <c r="A102" s="694">
        <v>1</v>
      </c>
      <c r="B102" s="929" t="s">
        <v>755</v>
      </c>
      <c r="C102" s="407" t="s">
        <v>642</v>
      </c>
      <c r="D102" s="930">
        <v>12000</v>
      </c>
      <c r="E102" s="726"/>
      <c r="F102" s="314"/>
    </row>
    <row r="103" spans="1:6" ht="50.25" customHeight="1" thickBot="1">
      <c r="A103" s="694">
        <v>2</v>
      </c>
      <c r="B103" s="929" t="s">
        <v>207</v>
      </c>
      <c r="C103" s="407" t="s">
        <v>642</v>
      </c>
      <c r="D103" s="312"/>
      <c r="E103" s="1064">
        <v>42000</v>
      </c>
      <c r="F103" s="314"/>
    </row>
    <row r="104" spans="1:6" ht="66.75" customHeight="1" thickBot="1">
      <c r="A104" s="694">
        <v>3</v>
      </c>
      <c r="B104" s="929" t="s">
        <v>681</v>
      </c>
      <c r="C104" s="407" t="s">
        <v>642</v>
      </c>
      <c r="D104" s="312"/>
      <c r="E104" s="1064">
        <v>3000</v>
      </c>
      <c r="F104" s="314"/>
    </row>
    <row r="105" spans="1:6" ht="50.25" customHeight="1" thickBot="1">
      <c r="A105" s="694">
        <v>4</v>
      </c>
      <c r="B105" s="929" t="s">
        <v>98</v>
      </c>
      <c r="C105" s="407" t="s">
        <v>636</v>
      </c>
      <c r="D105" s="312"/>
      <c r="E105" s="1064">
        <v>3000</v>
      </c>
      <c r="F105" s="314"/>
    </row>
    <row r="106" spans="1:6" ht="50.25" customHeight="1" thickBot="1">
      <c r="A106" s="694">
        <v>5</v>
      </c>
      <c r="B106" s="929" t="s">
        <v>640</v>
      </c>
      <c r="C106" s="407" t="s">
        <v>636</v>
      </c>
      <c r="D106" s="930">
        <v>9000</v>
      </c>
      <c r="E106" s="726"/>
      <c r="F106" s="314"/>
    </row>
    <row r="107" spans="1:6" ht="50.25" customHeight="1" thickBot="1">
      <c r="A107" s="694">
        <v>6</v>
      </c>
      <c r="B107" s="929" t="s">
        <v>639</v>
      </c>
      <c r="C107" s="407" t="s">
        <v>636</v>
      </c>
      <c r="D107" s="312"/>
      <c r="E107" s="1064">
        <v>3000</v>
      </c>
      <c r="F107" s="314"/>
    </row>
    <row r="108" spans="1:6" ht="66.75" customHeight="1" thickBot="1">
      <c r="A108" s="694">
        <v>7</v>
      </c>
      <c r="B108" s="929" t="s">
        <v>1314</v>
      </c>
      <c r="C108" s="407" t="s">
        <v>646</v>
      </c>
      <c r="D108" s="312"/>
      <c r="E108" s="1064">
        <v>3000</v>
      </c>
      <c r="F108" s="314"/>
    </row>
    <row r="109" spans="1:6" ht="50.25" customHeight="1" thickBot="1">
      <c r="A109" s="694">
        <v>8</v>
      </c>
      <c r="B109" s="929" t="s">
        <v>685</v>
      </c>
      <c r="C109" s="407" t="s">
        <v>649</v>
      </c>
      <c r="D109" s="930">
        <v>15000</v>
      </c>
      <c r="E109" s="726"/>
      <c r="F109" s="314"/>
    </row>
    <row r="110" spans="1:6" ht="50.25" customHeight="1" thickBot="1">
      <c r="A110" s="694">
        <v>9</v>
      </c>
      <c r="B110" s="929" t="s">
        <v>721</v>
      </c>
      <c r="C110" s="407" t="s">
        <v>649</v>
      </c>
      <c r="D110" s="312"/>
      <c r="E110" s="1064">
        <v>6000</v>
      </c>
      <c r="F110" s="314"/>
    </row>
    <row r="111" spans="1:6" ht="50.25" customHeight="1" thickBot="1">
      <c r="A111" s="694">
        <v>10</v>
      </c>
      <c r="B111" s="929" t="s">
        <v>81</v>
      </c>
      <c r="C111" s="407" t="s">
        <v>649</v>
      </c>
      <c r="D111" s="312"/>
      <c r="E111" s="1064">
        <v>3000</v>
      </c>
      <c r="F111" s="314"/>
    </row>
    <row r="112" spans="1:6" ht="50.25" customHeight="1" thickBot="1">
      <c r="A112" s="694">
        <v>11</v>
      </c>
      <c r="B112" s="929" t="s">
        <v>686</v>
      </c>
      <c r="C112" s="407" t="s">
        <v>649</v>
      </c>
      <c r="D112" s="930">
        <v>3000</v>
      </c>
      <c r="E112" s="726"/>
      <c r="F112" s="314"/>
    </row>
    <row r="113" spans="1:6" ht="50.25" customHeight="1" thickBot="1">
      <c r="A113" s="694">
        <v>12</v>
      </c>
      <c r="B113" s="929" t="s">
        <v>684</v>
      </c>
      <c r="C113" s="407" t="s">
        <v>649</v>
      </c>
      <c r="D113" s="930">
        <v>3000</v>
      </c>
      <c r="E113" s="728"/>
      <c r="F113" s="314"/>
    </row>
    <row r="114" spans="1:6" ht="33.75" customHeight="1" thickBot="1">
      <c r="A114" s="694">
        <v>13</v>
      </c>
      <c r="B114" s="929" t="s">
        <v>645</v>
      </c>
      <c r="C114" s="407" t="s">
        <v>650</v>
      </c>
      <c r="D114" s="930">
        <v>9000</v>
      </c>
      <c r="E114" s="726"/>
      <c r="F114" s="314"/>
    </row>
    <row r="115" spans="1:6" ht="50.25" customHeight="1" thickBot="1">
      <c r="A115" s="694">
        <v>14</v>
      </c>
      <c r="B115" s="929" t="s">
        <v>727</v>
      </c>
      <c r="C115" s="407" t="s">
        <v>650</v>
      </c>
      <c r="D115" s="930">
        <v>3000</v>
      </c>
      <c r="E115" s="726"/>
      <c r="F115" s="314"/>
    </row>
    <row r="116" spans="1:6" ht="33.75" customHeight="1" thickBot="1">
      <c r="A116" s="694">
        <v>15</v>
      </c>
      <c r="B116" s="929" t="s">
        <v>651</v>
      </c>
      <c r="C116" s="407" t="s">
        <v>650</v>
      </c>
      <c r="D116" s="930">
        <v>6000</v>
      </c>
      <c r="E116" s="726"/>
      <c r="F116" s="314"/>
    </row>
    <row r="117" spans="1:6" ht="50.25" customHeight="1" thickBot="1">
      <c r="A117" s="694">
        <v>16</v>
      </c>
      <c r="B117" s="929" t="s">
        <v>146</v>
      </c>
      <c r="C117" s="407" t="s">
        <v>653</v>
      </c>
      <c r="D117" s="930">
        <v>3000</v>
      </c>
      <c r="E117" s="726"/>
      <c r="F117" s="314"/>
    </row>
    <row r="118" spans="1:6" ht="50.25" customHeight="1" thickBot="1">
      <c r="A118" s="694">
        <v>17</v>
      </c>
      <c r="B118" s="929" t="s">
        <v>48</v>
      </c>
      <c r="C118" s="407" t="s">
        <v>653</v>
      </c>
      <c r="D118" s="312"/>
      <c r="E118" s="1064">
        <v>3000</v>
      </c>
      <c r="F118" s="314"/>
    </row>
    <row r="119" spans="1:6" ht="50.25" customHeight="1" thickBot="1">
      <c r="A119" s="694">
        <v>18</v>
      </c>
      <c r="B119" s="929" t="s">
        <v>689</v>
      </c>
      <c r="C119" s="407" t="s">
        <v>653</v>
      </c>
      <c r="D119" s="930">
        <v>12000</v>
      </c>
      <c r="E119" s="726"/>
      <c r="F119" s="314"/>
    </row>
    <row r="120" spans="1:6" ht="66.75" customHeight="1" thickBot="1">
      <c r="A120" s="694">
        <v>19</v>
      </c>
      <c r="B120" s="929" t="s">
        <v>50</v>
      </c>
      <c r="C120" s="407" t="s">
        <v>653</v>
      </c>
      <c r="D120" s="312"/>
      <c r="E120" s="1064">
        <v>3000</v>
      </c>
      <c r="F120" s="314"/>
    </row>
    <row r="121" spans="1:6" ht="50.25" customHeight="1" thickBot="1">
      <c r="A121" s="694">
        <v>20</v>
      </c>
      <c r="B121" s="929" t="s">
        <v>730</v>
      </c>
      <c r="C121" s="407" t="s">
        <v>653</v>
      </c>
      <c r="D121" s="930">
        <v>3000</v>
      </c>
      <c r="E121" s="726"/>
      <c r="F121" s="314"/>
    </row>
    <row r="122" spans="1:6" ht="50.25" customHeight="1" thickBot="1">
      <c r="A122" s="694">
        <v>21</v>
      </c>
      <c r="B122" s="929" t="s">
        <v>147</v>
      </c>
      <c r="C122" s="407" t="s">
        <v>653</v>
      </c>
      <c r="D122" s="312"/>
      <c r="E122" s="1064">
        <v>3000</v>
      </c>
      <c r="F122" s="314"/>
    </row>
    <row r="123" spans="1:6" ht="66.75" customHeight="1" thickBot="1">
      <c r="A123" s="694">
        <v>22</v>
      </c>
      <c r="B123" s="929" t="s">
        <v>138</v>
      </c>
      <c r="C123" s="407" t="s">
        <v>653</v>
      </c>
      <c r="D123" s="312"/>
      <c r="E123" s="1064">
        <v>3000</v>
      </c>
      <c r="F123" s="314"/>
    </row>
    <row r="124" spans="1:6" ht="50.25" customHeight="1" thickBot="1">
      <c r="A124" s="694">
        <v>23</v>
      </c>
      <c r="B124" s="929" t="s">
        <v>671</v>
      </c>
      <c r="C124" s="407" t="s">
        <v>668</v>
      </c>
      <c r="D124" s="930">
        <v>15000</v>
      </c>
      <c r="E124" s="726"/>
      <c r="F124" s="314"/>
    </row>
    <row r="125" spans="1:6" ht="50.25" customHeight="1" thickBot="1">
      <c r="A125" s="694">
        <v>24</v>
      </c>
      <c r="B125" s="929" t="s">
        <v>1316</v>
      </c>
      <c r="C125" s="407" t="s">
        <v>668</v>
      </c>
      <c r="D125" s="312"/>
      <c r="E125" s="1064">
        <v>3000</v>
      </c>
      <c r="F125" s="314"/>
    </row>
    <row r="126" spans="1:6" ht="50.25" customHeight="1" thickBot="1">
      <c r="A126" s="694">
        <v>25</v>
      </c>
      <c r="B126" s="929" t="s">
        <v>693</v>
      </c>
      <c r="C126" s="407" t="s">
        <v>668</v>
      </c>
      <c r="D126" s="930">
        <v>9000</v>
      </c>
      <c r="E126" s="728"/>
      <c r="F126" s="314"/>
    </row>
    <row r="127" spans="1:6" ht="66.75" customHeight="1" thickBot="1">
      <c r="A127" s="694">
        <v>26</v>
      </c>
      <c r="B127" s="929" t="s">
        <v>25</v>
      </c>
      <c r="C127" s="407" t="s">
        <v>668</v>
      </c>
      <c r="D127" s="312"/>
      <c r="E127" s="1064">
        <v>3000</v>
      </c>
      <c r="F127" s="314"/>
    </row>
    <row r="128" spans="1:6" ht="50.25" customHeight="1" thickBot="1">
      <c r="A128" s="309">
        <v>27</v>
      </c>
      <c r="B128" s="929" t="s">
        <v>670</v>
      </c>
      <c r="C128" s="407" t="s">
        <v>668</v>
      </c>
      <c r="D128" s="930">
        <v>36000</v>
      </c>
      <c r="E128" s="728"/>
      <c r="F128" s="314"/>
    </row>
    <row r="129" spans="1:6" ht="50.25" customHeight="1" thickBot="1">
      <c r="A129" s="309">
        <v>28</v>
      </c>
      <c r="B129" s="929" t="s">
        <v>672</v>
      </c>
      <c r="C129" s="407" t="s">
        <v>668</v>
      </c>
      <c r="D129" s="930">
        <v>6000</v>
      </c>
      <c r="E129" s="728"/>
      <c r="F129" s="314"/>
    </row>
    <row r="130" spans="1:6" ht="66.75" customHeight="1" thickBot="1">
      <c r="A130" s="309">
        <v>29</v>
      </c>
      <c r="B130" s="929" t="s">
        <v>262</v>
      </c>
      <c r="C130" s="407" t="s">
        <v>668</v>
      </c>
      <c r="D130" s="312"/>
      <c r="E130" s="1064">
        <v>3000</v>
      </c>
      <c r="F130" s="314"/>
    </row>
    <row r="131" spans="1:6" ht="50.25" customHeight="1" thickBot="1">
      <c r="A131" s="309">
        <v>30</v>
      </c>
      <c r="B131" s="929" t="s">
        <v>732</v>
      </c>
      <c r="C131" s="407" t="s">
        <v>668</v>
      </c>
      <c r="D131" s="930">
        <v>3000</v>
      </c>
      <c r="E131" s="726"/>
      <c r="F131" s="314"/>
    </row>
    <row r="132" spans="1:6" ht="66.75" customHeight="1" thickBot="1">
      <c r="A132" s="309">
        <v>31</v>
      </c>
      <c r="B132" s="929" t="s">
        <v>273</v>
      </c>
      <c r="C132" s="407" t="s">
        <v>668</v>
      </c>
      <c r="D132" s="312"/>
      <c r="E132" s="1065">
        <v>180000</v>
      </c>
      <c r="F132" s="314"/>
    </row>
    <row r="133" spans="1:6" ht="50.25" customHeight="1" thickBot="1">
      <c r="A133" s="309">
        <v>32</v>
      </c>
      <c r="B133" s="929" t="s">
        <v>669</v>
      </c>
      <c r="C133" s="407" t="s">
        <v>668</v>
      </c>
      <c r="D133" s="930">
        <v>160000</v>
      </c>
      <c r="E133" s="725"/>
      <c r="F133" s="314"/>
    </row>
    <row r="134" spans="1:6" ht="33.75" customHeight="1" thickBot="1">
      <c r="A134" s="309">
        <v>33</v>
      </c>
      <c r="B134" s="929" t="s">
        <v>149</v>
      </c>
      <c r="C134" s="407" t="s">
        <v>674</v>
      </c>
      <c r="D134" s="312"/>
      <c r="E134" s="1064">
        <v>6000</v>
      </c>
      <c r="F134" s="314"/>
    </row>
    <row r="135" spans="1:6" ht="50.25" customHeight="1" thickBot="1">
      <c r="A135" s="309">
        <v>34</v>
      </c>
      <c r="B135" s="929" t="s">
        <v>182</v>
      </c>
      <c r="C135" s="407" t="s">
        <v>674</v>
      </c>
      <c r="D135" s="312"/>
      <c r="E135" s="1064">
        <v>3000</v>
      </c>
      <c r="F135" s="314"/>
    </row>
    <row r="136" spans="1:6" ht="66.75" customHeight="1" thickBot="1">
      <c r="A136" s="309">
        <v>35</v>
      </c>
      <c r="B136" s="929" t="s">
        <v>1473</v>
      </c>
      <c r="C136" s="407" t="s">
        <v>674</v>
      </c>
      <c r="D136" s="312"/>
      <c r="E136" s="1064">
        <v>6000</v>
      </c>
      <c r="F136" s="314"/>
    </row>
    <row r="137" spans="1:6" ht="17.25" thickBot="1">
      <c r="A137" s="309">
        <v>36</v>
      </c>
      <c r="B137" s="929" t="s">
        <v>150</v>
      </c>
      <c r="C137" s="407" t="s">
        <v>674</v>
      </c>
      <c r="D137" s="312"/>
      <c r="E137" s="1064">
        <v>9000</v>
      </c>
      <c r="F137" s="314"/>
    </row>
    <row r="138" spans="1:6" ht="15.75" thickBot="1">
      <c r="A138" s="700" t="s">
        <v>758</v>
      </c>
      <c r="B138" s="701"/>
      <c r="C138" s="318"/>
      <c r="D138" s="695">
        <v>307000</v>
      </c>
      <c r="E138" s="1063">
        <v>288000</v>
      </c>
      <c r="F138" s="696"/>
    </row>
    <row r="139" spans="1:6" ht="15.75" customHeight="1" thickBot="1">
      <c r="A139" s="700" t="s">
        <v>864</v>
      </c>
      <c r="B139" s="701"/>
      <c r="C139" s="318"/>
      <c r="D139" s="702">
        <v>595000</v>
      </c>
      <c r="E139" s="703"/>
      <c r="F139" s="697"/>
    </row>
    <row r="140" spans="1:6">
      <c r="A140" s="284"/>
    </row>
    <row r="141" spans="1:6">
      <c r="A141" s="244"/>
    </row>
    <row r="142" spans="1:6">
      <c r="A142" s="244"/>
    </row>
    <row r="143" spans="1:6" ht="16.5">
      <c r="A143" s="246"/>
      <c r="B143" s="248"/>
    </row>
    <row r="144" spans="1:6" ht="15.75">
      <c r="A144" s="205" t="s">
        <v>704</v>
      </c>
    </row>
    <row r="145" spans="1:4" ht="15.75">
      <c r="A145" s="205"/>
    </row>
    <row r="146" spans="1:4" ht="15.75">
      <c r="A146" s="205" t="s">
        <v>1717</v>
      </c>
    </row>
    <row r="147" spans="1:4" ht="15.75">
      <c r="A147" s="232" t="s">
        <v>1721</v>
      </c>
    </row>
    <row r="148" spans="1:4" ht="15.75" thickBot="1">
      <c r="A148" s="987"/>
    </row>
    <row r="149" spans="1:4" ht="48" thickBot="1">
      <c r="A149" s="252" t="s">
        <v>0</v>
      </c>
      <c r="B149" s="253" t="s">
        <v>632</v>
      </c>
      <c r="C149" s="988" t="s">
        <v>894</v>
      </c>
      <c r="D149" s="989" t="s">
        <v>634</v>
      </c>
    </row>
    <row r="150" spans="1:4" ht="63.75" customHeight="1" thickBot="1">
      <c r="A150" s="273">
        <v>1</v>
      </c>
      <c r="B150" s="256" t="s">
        <v>836</v>
      </c>
      <c r="C150" s="1034" t="s">
        <v>889</v>
      </c>
      <c r="D150" s="413"/>
    </row>
    <row r="151" spans="1:4" ht="32.25" thickBot="1">
      <c r="A151" s="273">
        <v>2</v>
      </c>
      <c r="B151" s="256" t="s">
        <v>708</v>
      </c>
      <c r="C151" s="1034" t="s">
        <v>889</v>
      </c>
      <c r="D151" s="413"/>
    </row>
    <row r="152" spans="1:4" ht="32.25" thickBot="1">
      <c r="A152" s="288" t="s">
        <v>758</v>
      </c>
      <c r="B152" s="289"/>
      <c r="C152" s="283" t="s">
        <v>710</v>
      </c>
      <c r="D152" s="418"/>
    </row>
    <row r="153" spans="1:4">
      <c r="A153" s="244"/>
    </row>
    <row r="154" spans="1:4">
      <c r="A154" s="244"/>
    </row>
    <row r="155" spans="1:4">
      <c r="A155" s="244"/>
    </row>
    <row r="156" spans="1:4">
      <c r="A156" s="244"/>
    </row>
    <row r="157" spans="1:4">
      <c r="A157" s="244"/>
    </row>
    <row r="158" spans="1:4">
      <c r="A158" s="244"/>
    </row>
    <row r="159" spans="1:4">
      <c r="A159" s="244"/>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4"/>
  <sheetViews>
    <sheetView workbookViewId="0">
      <selection activeCell="G67" sqref="G1:G1048576"/>
    </sheetView>
  </sheetViews>
  <sheetFormatPr defaultRowHeight="15"/>
  <cols>
    <col min="2" max="2" width="36.140625" customWidth="1"/>
    <col min="8" max="8" width="11.5703125" style="561" bestFit="1" customWidth="1"/>
  </cols>
  <sheetData>
    <row r="1" spans="1:8" ht="15.75">
      <c r="A1" s="205" t="s">
        <v>868</v>
      </c>
    </row>
    <row r="2" spans="1:8">
      <c r="A2" s="686" t="s">
        <v>1218</v>
      </c>
    </row>
    <row r="3" spans="1:8" ht="16.5" thickBot="1">
      <c r="A3" s="232" t="s">
        <v>1722</v>
      </c>
    </row>
    <row r="4" spans="1:8" ht="28.5" customHeight="1" thickBot="1">
      <c r="A4" s="939" t="s">
        <v>0</v>
      </c>
      <c r="B4" s="939" t="s">
        <v>121</v>
      </c>
      <c r="C4" s="939" t="s">
        <v>632</v>
      </c>
      <c r="D4" s="941" t="s">
        <v>894</v>
      </c>
      <c r="E4" s="942"/>
      <c r="F4" s="1570" t="s">
        <v>699</v>
      </c>
    </row>
    <row r="5" spans="1:8" ht="15.75" thickBot="1">
      <c r="A5" s="943"/>
      <c r="B5" s="943"/>
      <c r="C5" s="943"/>
      <c r="D5" s="940" t="s">
        <v>828</v>
      </c>
      <c r="E5" s="940" t="s">
        <v>829</v>
      </c>
      <c r="F5" s="1571"/>
    </row>
    <row r="6" spans="1:8" ht="15.75" thickBot="1">
      <c r="A6" s="694">
        <v>1</v>
      </c>
      <c r="B6" s="383" t="s">
        <v>682</v>
      </c>
      <c r="C6" s="384" t="s">
        <v>642</v>
      </c>
      <c r="D6" s="314">
        <v>80</v>
      </c>
      <c r="E6" s="314"/>
      <c r="F6" s="314"/>
      <c r="G6">
        <v>1000</v>
      </c>
      <c r="H6" s="561">
        <f>E6*G6</f>
        <v>0</v>
      </c>
    </row>
    <row r="7" spans="1:8" ht="30.75" customHeight="1" thickBot="1">
      <c r="A7" s="694">
        <v>2</v>
      </c>
      <c r="B7" s="383" t="s">
        <v>153</v>
      </c>
      <c r="C7" s="384" t="s">
        <v>642</v>
      </c>
      <c r="D7" s="312"/>
      <c r="E7" s="314">
        <v>50</v>
      </c>
      <c r="F7" s="314"/>
      <c r="G7">
        <v>1000</v>
      </c>
      <c r="H7" s="561">
        <f t="shared" ref="H7:H70" si="0">E7*G7</f>
        <v>50000</v>
      </c>
    </row>
    <row r="8" spans="1:8" ht="45.75" customHeight="1" thickBot="1">
      <c r="A8" s="694">
        <v>3</v>
      </c>
      <c r="B8" s="383" t="s">
        <v>207</v>
      </c>
      <c r="C8" s="384" t="s">
        <v>642</v>
      </c>
      <c r="D8" s="312"/>
      <c r="E8" s="314">
        <v>60</v>
      </c>
      <c r="F8" s="314"/>
      <c r="G8">
        <v>1000</v>
      </c>
      <c r="H8" s="561">
        <f t="shared" si="0"/>
        <v>60000</v>
      </c>
    </row>
    <row r="9" spans="1:8" ht="60.75" customHeight="1" thickBot="1">
      <c r="A9" s="694">
        <v>4</v>
      </c>
      <c r="B9" s="383" t="s">
        <v>681</v>
      </c>
      <c r="C9" s="384" t="s">
        <v>642</v>
      </c>
      <c r="D9" s="312"/>
      <c r="E9" s="314">
        <v>20</v>
      </c>
      <c r="F9" s="314"/>
      <c r="G9">
        <v>1000</v>
      </c>
      <c r="H9" s="561">
        <f t="shared" si="0"/>
        <v>20000</v>
      </c>
    </row>
    <row r="10" spans="1:8" ht="60.75" customHeight="1" thickBot="1">
      <c r="A10" s="694">
        <v>5</v>
      </c>
      <c r="B10" s="383" t="s">
        <v>1651</v>
      </c>
      <c r="C10" s="384" t="s">
        <v>642</v>
      </c>
      <c r="D10" s="312"/>
      <c r="E10" s="314">
        <v>90</v>
      </c>
      <c r="F10" s="314"/>
      <c r="G10">
        <v>1000</v>
      </c>
      <c r="H10" s="561">
        <f t="shared" si="0"/>
        <v>90000</v>
      </c>
    </row>
    <row r="11" spans="1:8" ht="45.75" customHeight="1" thickBot="1">
      <c r="A11" s="694">
        <v>6</v>
      </c>
      <c r="B11" s="383" t="s">
        <v>635</v>
      </c>
      <c r="C11" s="384" t="s">
        <v>717</v>
      </c>
      <c r="D11" s="314">
        <v>60</v>
      </c>
      <c r="E11" s="385"/>
      <c r="F11" s="314"/>
      <c r="G11">
        <v>1000</v>
      </c>
      <c r="H11" s="561">
        <f t="shared" si="0"/>
        <v>0</v>
      </c>
    </row>
    <row r="12" spans="1:8" ht="45.75" customHeight="1" thickBot="1">
      <c r="A12" s="694">
        <v>7</v>
      </c>
      <c r="B12" s="383" t="s">
        <v>641</v>
      </c>
      <c r="C12" s="384" t="s">
        <v>717</v>
      </c>
      <c r="D12" s="314">
        <v>150</v>
      </c>
      <c r="E12" s="312"/>
      <c r="F12" s="314"/>
      <c r="G12">
        <v>1000</v>
      </c>
      <c r="H12" s="561">
        <f t="shared" si="0"/>
        <v>0</v>
      </c>
    </row>
    <row r="13" spans="1:8" ht="45.75" customHeight="1" thickBot="1">
      <c r="A13" s="694">
        <v>8</v>
      </c>
      <c r="B13" s="383" t="s">
        <v>640</v>
      </c>
      <c r="C13" s="384" t="s">
        <v>717</v>
      </c>
      <c r="D13" s="314">
        <v>30</v>
      </c>
      <c r="E13" s="312"/>
      <c r="F13" s="314"/>
      <c r="G13">
        <v>1000</v>
      </c>
      <c r="H13" s="561">
        <f t="shared" si="0"/>
        <v>0</v>
      </c>
    </row>
    <row r="14" spans="1:8" ht="30.75" customHeight="1" thickBot="1">
      <c r="A14" s="694">
        <v>9</v>
      </c>
      <c r="B14" s="383" t="s">
        <v>744</v>
      </c>
      <c r="C14" s="384" t="s">
        <v>717</v>
      </c>
      <c r="D14" s="314">
        <v>30</v>
      </c>
      <c r="E14" s="312"/>
      <c r="F14" s="314"/>
      <c r="G14">
        <v>1000</v>
      </c>
      <c r="H14" s="561">
        <f t="shared" si="0"/>
        <v>0</v>
      </c>
    </row>
    <row r="15" spans="1:8" ht="45.75" customHeight="1" thickBot="1">
      <c r="A15" s="694">
        <v>10</v>
      </c>
      <c r="B15" s="383" t="s">
        <v>96</v>
      </c>
      <c r="C15" s="384" t="s">
        <v>717</v>
      </c>
      <c r="D15" s="312"/>
      <c r="E15" s="314">
        <v>160</v>
      </c>
      <c r="F15" s="314"/>
      <c r="G15">
        <v>1000</v>
      </c>
      <c r="H15" s="561">
        <f t="shared" si="0"/>
        <v>160000</v>
      </c>
    </row>
    <row r="16" spans="1:8" ht="60.75" customHeight="1" thickBot="1">
      <c r="A16" s="694">
        <v>11</v>
      </c>
      <c r="B16" s="383" t="s">
        <v>154</v>
      </c>
      <c r="C16" s="384" t="s">
        <v>717</v>
      </c>
      <c r="D16" s="312"/>
      <c r="E16" s="314">
        <v>30</v>
      </c>
      <c r="F16" s="314"/>
      <c r="G16">
        <v>1000</v>
      </c>
      <c r="H16" s="561">
        <f t="shared" si="0"/>
        <v>30000</v>
      </c>
    </row>
    <row r="17" spans="1:8" ht="45.75" customHeight="1" thickBot="1">
      <c r="A17" s="694">
        <v>12</v>
      </c>
      <c r="B17" s="383" t="s">
        <v>210</v>
      </c>
      <c r="C17" s="384" t="s">
        <v>717</v>
      </c>
      <c r="D17" s="312"/>
      <c r="E17" s="314">
        <v>170</v>
      </c>
      <c r="F17" s="314"/>
      <c r="G17">
        <v>1000</v>
      </c>
      <c r="H17" s="561">
        <f t="shared" si="0"/>
        <v>170000</v>
      </c>
    </row>
    <row r="18" spans="1:8" ht="45.75" customHeight="1" thickBot="1">
      <c r="A18" s="694">
        <v>13</v>
      </c>
      <c r="B18" s="383" t="s">
        <v>687</v>
      </c>
      <c r="C18" s="384" t="s">
        <v>649</v>
      </c>
      <c r="D18" s="314">
        <v>90</v>
      </c>
      <c r="E18" s="385"/>
      <c r="F18" s="314"/>
      <c r="G18">
        <v>1000</v>
      </c>
      <c r="H18" s="561">
        <f t="shared" si="0"/>
        <v>0</v>
      </c>
    </row>
    <row r="19" spans="1:8" ht="45.75" customHeight="1" thickBot="1">
      <c r="A19" s="694">
        <v>14</v>
      </c>
      <c r="B19" s="383" t="s">
        <v>685</v>
      </c>
      <c r="C19" s="384" t="s">
        <v>649</v>
      </c>
      <c r="D19" s="314">
        <v>350</v>
      </c>
      <c r="E19" s="385"/>
      <c r="F19" s="314"/>
      <c r="G19">
        <v>1000</v>
      </c>
      <c r="H19" s="561">
        <f t="shared" si="0"/>
        <v>0</v>
      </c>
    </row>
    <row r="20" spans="1:8" ht="45.75" customHeight="1" thickBot="1">
      <c r="A20" s="694">
        <v>15</v>
      </c>
      <c r="B20" s="383" t="s">
        <v>686</v>
      </c>
      <c r="C20" s="384" t="s">
        <v>649</v>
      </c>
      <c r="D20" s="314">
        <v>120</v>
      </c>
      <c r="E20" s="312"/>
      <c r="F20" s="314"/>
      <c r="G20">
        <v>1000</v>
      </c>
      <c r="H20" s="561">
        <f t="shared" si="0"/>
        <v>0</v>
      </c>
    </row>
    <row r="21" spans="1:8" ht="45.75" customHeight="1" thickBot="1">
      <c r="A21" s="694">
        <v>16</v>
      </c>
      <c r="B21" s="383" t="s">
        <v>684</v>
      </c>
      <c r="C21" s="384" t="s">
        <v>649</v>
      </c>
      <c r="D21" s="314">
        <v>170</v>
      </c>
      <c r="E21" s="312"/>
      <c r="F21" s="314"/>
      <c r="G21">
        <v>1000</v>
      </c>
      <c r="H21" s="561">
        <f t="shared" si="0"/>
        <v>0</v>
      </c>
    </row>
    <row r="22" spans="1:8" ht="45.75" customHeight="1" thickBot="1">
      <c r="A22" s="694">
        <v>17</v>
      </c>
      <c r="B22" s="383" t="s">
        <v>205</v>
      </c>
      <c r="C22" s="384" t="s">
        <v>649</v>
      </c>
      <c r="D22" s="312"/>
      <c r="E22" s="314">
        <v>110</v>
      </c>
      <c r="F22" s="314"/>
      <c r="G22">
        <v>1000</v>
      </c>
      <c r="H22" s="561">
        <f t="shared" si="0"/>
        <v>110000</v>
      </c>
    </row>
    <row r="23" spans="1:8" ht="45.75" customHeight="1" thickBot="1">
      <c r="A23" s="694">
        <v>18</v>
      </c>
      <c r="B23" s="383" t="s">
        <v>721</v>
      </c>
      <c r="C23" s="384" t="s">
        <v>649</v>
      </c>
      <c r="D23" s="312"/>
      <c r="E23" s="314">
        <v>90</v>
      </c>
      <c r="F23" s="314"/>
      <c r="G23">
        <v>1000</v>
      </c>
      <c r="H23" s="561">
        <f t="shared" si="0"/>
        <v>90000</v>
      </c>
    </row>
    <row r="24" spans="1:8" ht="30.75" customHeight="1" thickBot="1">
      <c r="A24" s="694">
        <v>19</v>
      </c>
      <c r="B24" s="383" t="s">
        <v>723</v>
      </c>
      <c r="C24" s="384" t="s">
        <v>646</v>
      </c>
      <c r="D24" s="314">
        <v>230</v>
      </c>
      <c r="E24" s="385"/>
      <c r="F24" s="314"/>
      <c r="G24">
        <v>1000</v>
      </c>
      <c r="H24" s="561">
        <f t="shared" si="0"/>
        <v>0</v>
      </c>
    </row>
    <row r="25" spans="1:8" ht="45.75" customHeight="1" thickBot="1">
      <c r="A25" s="694">
        <v>20</v>
      </c>
      <c r="B25" s="383" t="s">
        <v>722</v>
      </c>
      <c r="C25" s="384" t="s">
        <v>646</v>
      </c>
      <c r="D25" s="314">
        <v>60</v>
      </c>
      <c r="E25" s="385"/>
      <c r="F25" s="314"/>
      <c r="G25">
        <v>1000</v>
      </c>
      <c r="H25" s="561">
        <f t="shared" si="0"/>
        <v>0</v>
      </c>
    </row>
    <row r="26" spans="1:8" ht="45.75" customHeight="1" thickBot="1">
      <c r="A26" s="694">
        <v>21</v>
      </c>
      <c r="B26" s="383" t="s">
        <v>683</v>
      </c>
      <c r="C26" s="384" t="s">
        <v>646</v>
      </c>
      <c r="D26" s="314">
        <v>90</v>
      </c>
      <c r="E26" s="385"/>
      <c r="F26" s="314"/>
      <c r="G26">
        <v>1000</v>
      </c>
      <c r="H26" s="561">
        <f t="shared" si="0"/>
        <v>0</v>
      </c>
    </row>
    <row r="27" spans="1:8" ht="45.75" customHeight="1" thickBot="1">
      <c r="A27" s="694">
        <v>22</v>
      </c>
      <c r="B27" s="383" t="s">
        <v>647</v>
      </c>
      <c r="C27" s="384" t="s">
        <v>646</v>
      </c>
      <c r="D27" s="314">
        <v>90</v>
      </c>
      <c r="E27" s="385"/>
      <c r="F27" s="314"/>
      <c r="G27">
        <v>1000</v>
      </c>
      <c r="H27" s="561">
        <f t="shared" si="0"/>
        <v>0</v>
      </c>
    </row>
    <row r="28" spans="1:8" ht="45.75" customHeight="1" thickBot="1">
      <c r="A28" s="694">
        <v>23</v>
      </c>
      <c r="B28" s="383" t="s">
        <v>168</v>
      </c>
      <c r="C28" s="384" t="s">
        <v>646</v>
      </c>
      <c r="D28" s="312"/>
      <c r="E28" s="314">
        <v>90</v>
      </c>
      <c r="F28" s="314"/>
      <c r="G28">
        <v>1000</v>
      </c>
      <c r="H28" s="561">
        <f t="shared" si="0"/>
        <v>90000</v>
      </c>
    </row>
    <row r="29" spans="1:8" ht="45.75" customHeight="1" thickBot="1">
      <c r="A29" s="694">
        <v>24</v>
      </c>
      <c r="B29" s="383" t="s">
        <v>148</v>
      </c>
      <c r="C29" s="384" t="s">
        <v>646</v>
      </c>
      <c r="D29" s="312"/>
      <c r="E29" s="314">
        <v>120</v>
      </c>
      <c r="F29" s="314"/>
      <c r="G29">
        <v>1000</v>
      </c>
      <c r="H29" s="561">
        <f t="shared" si="0"/>
        <v>120000</v>
      </c>
    </row>
    <row r="30" spans="1:8" ht="60.75" customHeight="1" thickBot="1">
      <c r="A30" s="694">
        <v>25</v>
      </c>
      <c r="B30" s="383" t="s">
        <v>289</v>
      </c>
      <c r="C30" s="384" t="s">
        <v>646</v>
      </c>
      <c r="D30" s="312"/>
      <c r="E30" s="314">
        <v>50</v>
      </c>
      <c r="F30" s="314"/>
      <c r="G30">
        <v>1000</v>
      </c>
      <c r="H30" s="561">
        <f t="shared" si="0"/>
        <v>50000</v>
      </c>
    </row>
    <row r="31" spans="1:8" ht="30.75" customHeight="1" thickBot="1">
      <c r="A31" s="694">
        <v>26</v>
      </c>
      <c r="B31" s="383" t="s">
        <v>1401</v>
      </c>
      <c r="C31" s="384" t="s">
        <v>650</v>
      </c>
      <c r="D31" s="314">
        <v>140</v>
      </c>
      <c r="E31" s="385"/>
      <c r="F31" s="314"/>
      <c r="G31">
        <v>1000</v>
      </c>
      <c r="H31" s="561">
        <f t="shared" si="0"/>
        <v>0</v>
      </c>
    </row>
    <row r="32" spans="1:8" ht="30.75" customHeight="1" thickBot="1">
      <c r="A32" s="309">
        <v>27</v>
      </c>
      <c r="B32" s="383" t="s">
        <v>651</v>
      </c>
      <c r="C32" s="384" t="s">
        <v>650</v>
      </c>
      <c r="D32" s="314">
        <v>170</v>
      </c>
      <c r="E32" s="385"/>
      <c r="F32" s="314"/>
      <c r="G32">
        <v>1000</v>
      </c>
      <c r="H32" s="561">
        <f t="shared" si="0"/>
        <v>0</v>
      </c>
    </row>
    <row r="33" spans="1:8" ht="30.75" customHeight="1" thickBot="1">
      <c r="A33" s="309">
        <v>28</v>
      </c>
      <c r="B33" s="383" t="s">
        <v>688</v>
      </c>
      <c r="C33" s="384" t="s">
        <v>650</v>
      </c>
      <c r="D33" s="314">
        <v>160</v>
      </c>
      <c r="E33" s="385"/>
      <c r="F33" s="314"/>
      <c r="G33">
        <v>1000</v>
      </c>
      <c r="H33" s="561">
        <f t="shared" si="0"/>
        <v>0</v>
      </c>
    </row>
    <row r="34" spans="1:8" ht="45.75" customHeight="1" thickBot="1">
      <c r="A34" s="309">
        <v>29</v>
      </c>
      <c r="B34" s="383" t="s">
        <v>727</v>
      </c>
      <c r="C34" s="384" t="s">
        <v>650</v>
      </c>
      <c r="D34" s="314">
        <v>30</v>
      </c>
      <c r="E34" s="312"/>
      <c r="F34" s="314"/>
      <c r="G34">
        <v>1000</v>
      </c>
      <c r="H34" s="561">
        <f t="shared" si="0"/>
        <v>0</v>
      </c>
    </row>
    <row r="35" spans="1:8" ht="45.75" customHeight="1" thickBot="1">
      <c r="A35" s="309">
        <v>30</v>
      </c>
      <c r="B35" s="383" t="s">
        <v>269</v>
      </c>
      <c r="C35" s="384" t="s">
        <v>650</v>
      </c>
      <c r="D35" s="314">
        <v>220</v>
      </c>
      <c r="E35" s="312"/>
      <c r="F35" s="314"/>
      <c r="G35">
        <v>1000</v>
      </c>
      <c r="H35" s="561">
        <f t="shared" si="0"/>
        <v>0</v>
      </c>
    </row>
    <row r="36" spans="1:8" ht="30.75" customHeight="1" thickBot="1">
      <c r="A36" s="309">
        <v>31</v>
      </c>
      <c r="B36" s="383" t="s">
        <v>91</v>
      </c>
      <c r="C36" s="384" t="s">
        <v>650</v>
      </c>
      <c r="D36" s="312"/>
      <c r="E36" s="314">
        <v>90</v>
      </c>
      <c r="F36" s="314"/>
      <c r="G36">
        <v>1000</v>
      </c>
      <c r="H36" s="561">
        <f t="shared" si="0"/>
        <v>90000</v>
      </c>
    </row>
    <row r="37" spans="1:8" ht="60.75" customHeight="1" thickBot="1">
      <c r="A37" s="309">
        <v>32</v>
      </c>
      <c r="B37" s="383" t="s">
        <v>83</v>
      </c>
      <c r="C37" s="384" t="s">
        <v>650</v>
      </c>
      <c r="D37" s="312"/>
      <c r="E37" s="314">
        <v>90</v>
      </c>
      <c r="F37" s="314"/>
      <c r="G37">
        <v>1000</v>
      </c>
      <c r="H37" s="561">
        <f t="shared" si="0"/>
        <v>90000</v>
      </c>
    </row>
    <row r="38" spans="1:8" ht="30.75" customHeight="1" thickBot="1">
      <c r="A38" s="309">
        <v>33</v>
      </c>
      <c r="B38" s="383" t="s">
        <v>655</v>
      </c>
      <c r="C38" s="384" t="s">
        <v>653</v>
      </c>
      <c r="D38" s="314">
        <v>30</v>
      </c>
      <c r="E38" s="314"/>
      <c r="F38" s="314"/>
      <c r="G38">
        <v>1000</v>
      </c>
      <c r="H38" s="561">
        <f t="shared" si="0"/>
        <v>0</v>
      </c>
    </row>
    <row r="39" spans="1:8" ht="45.75" customHeight="1" thickBot="1">
      <c r="A39" s="309">
        <v>34</v>
      </c>
      <c r="B39" s="383" t="s">
        <v>656</v>
      </c>
      <c r="C39" s="384" t="s">
        <v>653</v>
      </c>
      <c r="D39" s="314">
        <v>60</v>
      </c>
      <c r="E39" s="314"/>
      <c r="F39" s="314"/>
      <c r="G39">
        <v>1000</v>
      </c>
      <c r="H39" s="561">
        <f t="shared" si="0"/>
        <v>0</v>
      </c>
    </row>
    <row r="40" spans="1:8" ht="45.75" customHeight="1" thickBot="1">
      <c r="A40" s="309">
        <v>35</v>
      </c>
      <c r="B40" s="383" t="s">
        <v>730</v>
      </c>
      <c r="C40" s="384" t="s">
        <v>653</v>
      </c>
      <c r="D40" s="314">
        <v>90</v>
      </c>
      <c r="E40" s="385"/>
      <c r="F40" s="314"/>
      <c r="G40">
        <v>1000</v>
      </c>
      <c r="H40" s="561">
        <f t="shared" si="0"/>
        <v>0</v>
      </c>
    </row>
    <row r="41" spans="1:8" ht="30.75" customHeight="1" thickBot="1">
      <c r="A41" s="309">
        <v>36</v>
      </c>
      <c r="B41" s="383" t="s">
        <v>659</v>
      </c>
      <c r="C41" s="384" t="s">
        <v>653</v>
      </c>
      <c r="D41" s="314">
        <v>30</v>
      </c>
      <c r="E41" s="385"/>
      <c r="F41" s="314"/>
      <c r="G41">
        <v>1000</v>
      </c>
      <c r="H41" s="561">
        <f t="shared" si="0"/>
        <v>0</v>
      </c>
    </row>
    <row r="42" spans="1:8" ht="30.75" customHeight="1" thickBot="1">
      <c r="A42" s="309">
        <v>37</v>
      </c>
      <c r="B42" s="383" t="s">
        <v>146</v>
      </c>
      <c r="C42" s="384" t="s">
        <v>653</v>
      </c>
      <c r="D42" s="314">
        <v>90</v>
      </c>
      <c r="E42" s="385"/>
      <c r="F42" s="314"/>
      <c r="G42">
        <v>1000</v>
      </c>
      <c r="H42" s="561">
        <f t="shared" si="0"/>
        <v>0</v>
      </c>
    </row>
    <row r="43" spans="1:8" ht="45.75" customHeight="1" thickBot="1">
      <c r="A43" s="309">
        <v>38</v>
      </c>
      <c r="B43" s="383" t="s">
        <v>60</v>
      </c>
      <c r="C43" s="384" t="s">
        <v>653</v>
      </c>
      <c r="D43" s="312"/>
      <c r="E43" s="314">
        <v>90</v>
      </c>
      <c r="F43" s="314"/>
      <c r="G43">
        <v>1000</v>
      </c>
      <c r="H43" s="561">
        <f t="shared" si="0"/>
        <v>90000</v>
      </c>
    </row>
    <row r="44" spans="1:8" ht="45.75" customHeight="1" thickBot="1">
      <c r="A44" s="309">
        <v>39</v>
      </c>
      <c r="B44" s="383" t="s">
        <v>690</v>
      </c>
      <c r="C44" s="384" t="s">
        <v>653</v>
      </c>
      <c r="D44" s="312"/>
      <c r="E44" s="314">
        <v>150</v>
      </c>
      <c r="F44" s="314"/>
      <c r="G44">
        <v>1000</v>
      </c>
      <c r="H44" s="561">
        <f t="shared" si="0"/>
        <v>150000</v>
      </c>
    </row>
    <row r="45" spans="1:8" ht="45.75" customHeight="1" thickBot="1">
      <c r="A45" s="309">
        <v>40</v>
      </c>
      <c r="B45" s="383" t="s">
        <v>52</v>
      </c>
      <c r="C45" s="384" t="s">
        <v>653</v>
      </c>
      <c r="D45" s="312"/>
      <c r="E45" s="314">
        <v>30</v>
      </c>
      <c r="F45" s="314"/>
      <c r="G45">
        <v>1000</v>
      </c>
      <c r="H45" s="561">
        <f t="shared" si="0"/>
        <v>30000</v>
      </c>
    </row>
    <row r="46" spans="1:8" ht="30.75" customHeight="1" thickBot="1">
      <c r="A46" s="309">
        <v>41</v>
      </c>
      <c r="B46" s="383" t="s">
        <v>151</v>
      </c>
      <c r="C46" s="384" t="s">
        <v>653</v>
      </c>
      <c r="D46" s="312"/>
      <c r="E46" s="314">
        <v>80</v>
      </c>
      <c r="F46" s="314"/>
      <c r="G46">
        <v>1000</v>
      </c>
      <c r="H46" s="561">
        <f t="shared" si="0"/>
        <v>80000</v>
      </c>
    </row>
    <row r="47" spans="1:8" ht="45.75" customHeight="1" thickBot="1">
      <c r="A47" s="309">
        <v>42</v>
      </c>
      <c r="B47" s="383" t="s">
        <v>215</v>
      </c>
      <c r="C47" s="384" t="s">
        <v>653</v>
      </c>
      <c r="D47" s="312"/>
      <c r="E47" s="314">
        <v>40</v>
      </c>
      <c r="F47" s="314"/>
      <c r="G47">
        <v>1000</v>
      </c>
      <c r="H47" s="561">
        <f t="shared" si="0"/>
        <v>40000</v>
      </c>
    </row>
    <row r="48" spans="1:8" ht="45.75" customHeight="1" thickBot="1">
      <c r="A48" s="309">
        <v>43</v>
      </c>
      <c r="B48" s="383" t="s">
        <v>1488</v>
      </c>
      <c r="C48" s="384" t="s">
        <v>653</v>
      </c>
      <c r="D48" s="312"/>
      <c r="E48" s="314">
        <v>30</v>
      </c>
      <c r="F48" s="314"/>
      <c r="G48">
        <v>1000</v>
      </c>
      <c r="H48" s="561">
        <f t="shared" si="0"/>
        <v>30000</v>
      </c>
    </row>
    <row r="49" spans="1:8" ht="45.75" customHeight="1" thickBot="1">
      <c r="A49" s="309">
        <v>44</v>
      </c>
      <c r="B49" s="383" t="s">
        <v>743</v>
      </c>
      <c r="C49" s="384" t="s">
        <v>653</v>
      </c>
      <c r="D49" s="314">
        <v>240</v>
      </c>
      <c r="E49" s="312"/>
      <c r="F49" s="314"/>
      <c r="G49">
        <v>1000</v>
      </c>
      <c r="H49" s="561">
        <f t="shared" si="0"/>
        <v>0</v>
      </c>
    </row>
    <row r="50" spans="1:8" ht="45.75" customHeight="1" thickBot="1">
      <c r="A50" s="309">
        <v>45</v>
      </c>
      <c r="B50" s="383" t="s">
        <v>1466</v>
      </c>
      <c r="C50" s="384" t="s">
        <v>653</v>
      </c>
      <c r="D50" s="312"/>
      <c r="E50" s="314">
        <v>30</v>
      </c>
      <c r="F50" s="314"/>
      <c r="G50">
        <v>1000</v>
      </c>
      <c r="H50" s="561">
        <f t="shared" si="0"/>
        <v>30000</v>
      </c>
    </row>
    <row r="51" spans="1:8" ht="45.75" customHeight="1" thickBot="1">
      <c r="A51" s="309">
        <v>46</v>
      </c>
      <c r="B51" s="383" t="s">
        <v>757</v>
      </c>
      <c r="C51" s="384" t="s">
        <v>668</v>
      </c>
      <c r="D51" s="314">
        <v>30</v>
      </c>
      <c r="E51" s="312"/>
      <c r="F51" s="314"/>
      <c r="G51">
        <v>1000</v>
      </c>
      <c r="H51" s="561">
        <f t="shared" si="0"/>
        <v>0</v>
      </c>
    </row>
    <row r="52" spans="1:8" ht="45.75" customHeight="1" thickBot="1">
      <c r="A52" s="309">
        <v>47</v>
      </c>
      <c r="B52" s="383" t="s">
        <v>670</v>
      </c>
      <c r="C52" s="384" t="s">
        <v>668</v>
      </c>
      <c r="D52" s="314">
        <v>230</v>
      </c>
      <c r="E52" s="312"/>
      <c r="F52" s="314"/>
      <c r="G52">
        <v>1000</v>
      </c>
      <c r="H52" s="561">
        <f t="shared" si="0"/>
        <v>0</v>
      </c>
    </row>
    <row r="53" spans="1:8" ht="30.75" customHeight="1" thickBot="1">
      <c r="A53" s="309">
        <v>48</v>
      </c>
      <c r="B53" s="383" t="s">
        <v>693</v>
      </c>
      <c r="C53" s="384" t="s">
        <v>668</v>
      </c>
      <c r="D53" s="314">
        <v>60</v>
      </c>
      <c r="E53" s="312"/>
      <c r="F53" s="314"/>
      <c r="G53">
        <v>1000</v>
      </c>
      <c r="H53" s="561">
        <f t="shared" si="0"/>
        <v>0</v>
      </c>
    </row>
    <row r="54" spans="1:8" ht="30.75" customHeight="1" thickBot="1">
      <c r="A54" s="309">
        <v>49</v>
      </c>
      <c r="B54" s="383" t="s">
        <v>671</v>
      </c>
      <c r="C54" s="384" t="s">
        <v>668</v>
      </c>
      <c r="D54" s="314">
        <v>60</v>
      </c>
      <c r="E54" s="312"/>
      <c r="F54" s="314"/>
      <c r="G54">
        <v>1000</v>
      </c>
      <c r="H54" s="561">
        <f t="shared" si="0"/>
        <v>0</v>
      </c>
    </row>
    <row r="55" spans="1:8" ht="45.75" customHeight="1" thickBot="1">
      <c r="A55" s="309">
        <v>50</v>
      </c>
      <c r="B55" s="383" t="s">
        <v>732</v>
      </c>
      <c r="C55" s="384" t="s">
        <v>668</v>
      </c>
      <c r="D55" s="314">
        <v>220</v>
      </c>
      <c r="E55" s="312"/>
      <c r="F55" s="314"/>
      <c r="G55">
        <v>1000</v>
      </c>
      <c r="H55" s="561">
        <f t="shared" si="0"/>
        <v>0</v>
      </c>
    </row>
    <row r="56" spans="1:8" ht="60.75" customHeight="1" thickBot="1">
      <c r="A56" s="309">
        <v>51</v>
      </c>
      <c r="B56" s="383" t="s">
        <v>692</v>
      </c>
      <c r="C56" s="384" t="s">
        <v>668</v>
      </c>
      <c r="D56" s="314">
        <v>230</v>
      </c>
      <c r="E56" s="312"/>
      <c r="F56" s="314"/>
      <c r="G56">
        <v>1000</v>
      </c>
      <c r="H56" s="561">
        <f t="shared" si="0"/>
        <v>0</v>
      </c>
    </row>
    <row r="57" spans="1:8" ht="30.75" customHeight="1" thickBot="1">
      <c r="A57" s="309">
        <v>52</v>
      </c>
      <c r="B57" s="383" t="s">
        <v>29</v>
      </c>
      <c r="C57" s="384" t="s">
        <v>668</v>
      </c>
      <c r="D57" s="312"/>
      <c r="E57" s="314">
        <v>30</v>
      </c>
      <c r="F57" s="314"/>
      <c r="G57">
        <v>1000</v>
      </c>
      <c r="H57" s="561">
        <f t="shared" si="0"/>
        <v>30000</v>
      </c>
    </row>
    <row r="58" spans="1:8" ht="45.75" customHeight="1" thickBot="1">
      <c r="A58" s="309">
        <v>53</v>
      </c>
      <c r="B58" s="383" t="s">
        <v>295</v>
      </c>
      <c r="C58" s="384" t="s">
        <v>668</v>
      </c>
      <c r="D58" s="312"/>
      <c r="E58" s="314">
        <v>60</v>
      </c>
      <c r="F58" s="314"/>
      <c r="G58">
        <v>1000</v>
      </c>
      <c r="H58" s="561">
        <f t="shared" si="0"/>
        <v>60000</v>
      </c>
    </row>
    <row r="59" spans="1:8" ht="30.75" customHeight="1" thickBot="1">
      <c r="A59" s="309">
        <v>54</v>
      </c>
      <c r="B59" s="383" t="s">
        <v>1316</v>
      </c>
      <c r="C59" s="384" t="s">
        <v>668</v>
      </c>
      <c r="D59" s="312"/>
      <c r="E59" s="314">
        <v>30</v>
      </c>
      <c r="F59" s="314"/>
      <c r="G59">
        <v>1000</v>
      </c>
      <c r="H59" s="561">
        <f t="shared" si="0"/>
        <v>30000</v>
      </c>
    </row>
    <row r="60" spans="1:8" ht="30.75" customHeight="1" thickBot="1">
      <c r="A60" s="309">
        <v>55</v>
      </c>
      <c r="B60" s="383" t="s">
        <v>149</v>
      </c>
      <c r="C60" s="384" t="s">
        <v>674</v>
      </c>
      <c r="D60" s="312"/>
      <c r="E60" s="314">
        <v>140</v>
      </c>
      <c r="F60" s="314"/>
      <c r="G60">
        <v>1000</v>
      </c>
      <c r="H60" s="561">
        <f t="shared" si="0"/>
        <v>140000</v>
      </c>
    </row>
    <row r="61" spans="1:8" ht="17.25" thickBot="1">
      <c r="A61" s="309">
        <v>56</v>
      </c>
      <c r="B61" s="383" t="s">
        <v>1473</v>
      </c>
      <c r="C61" s="384" t="s">
        <v>674</v>
      </c>
      <c r="D61" s="312"/>
      <c r="E61" s="314">
        <v>30</v>
      </c>
      <c r="F61" s="314"/>
      <c r="G61">
        <v>1000</v>
      </c>
      <c r="H61" s="561">
        <f t="shared" si="0"/>
        <v>30000</v>
      </c>
    </row>
    <row r="62" spans="1:8" ht="29.25" thickBot="1">
      <c r="A62" s="700" t="s">
        <v>758</v>
      </c>
      <c r="B62" s="701"/>
      <c r="C62" s="318"/>
      <c r="D62" s="696" t="s">
        <v>1723</v>
      </c>
      <c r="E62" s="696" t="s">
        <v>1724</v>
      </c>
      <c r="F62" s="696"/>
      <c r="G62">
        <v>1000</v>
      </c>
    </row>
    <row r="63" spans="1:8" ht="15.75" customHeight="1" thickBot="1">
      <c r="A63" s="700" t="s">
        <v>864</v>
      </c>
      <c r="B63" s="701"/>
      <c r="C63" s="318"/>
      <c r="D63" s="700" t="s">
        <v>1725</v>
      </c>
      <c r="E63" s="701"/>
      <c r="F63" s="697"/>
      <c r="G63">
        <v>1000</v>
      </c>
      <c r="H63" s="561">
        <f t="shared" si="0"/>
        <v>0</v>
      </c>
    </row>
    <row r="64" spans="1:8">
      <c r="A64" s="284"/>
      <c r="G64">
        <v>1000</v>
      </c>
      <c r="H64" s="561">
        <f t="shared" si="0"/>
        <v>0</v>
      </c>
    </row>
    <row r="65" spans="1:8">
      <c r="A65" s="284"/>
      <c r="G65">
        <v>1000</v>
      </c>
      <c r="H65" s="561">
        <f t="shared" si="0"/>
        <v>0</v>
      </c>
    </row>
    <row r="66" spans="1:8" ht="15.75">
      <c r="A66" s="205" t="s">
        <v>678</v>
      </c>
      <c r="G66">
        <v>1000</v>
      </c>
      <c r="H66" s="561">
        <f t="shared" si="0"/>
        <v>0</v>
      </c>
    </row>
    <row r="67" spans="1:8" ht="15.75">
      <c r="A67" s="205"/>
      <c r="G67">
        <v>1000</v>
      </c>
      <c r="H67" s="561">
        <f t="shared" si="0"/>
        <v>0</v>
      </c>
    </row>
    <row r="68" spans="1:8">
      <c r="A68" s="686" t="s">
        <v>1502</v>
      </c>
      <c r="G68">
        <v>1000</v>
      </c>
      <c r="H68" s="561">
        <f t="shared" si="0"/>
        <v>0</v>
      </c>
    </row>
    <row r="69" spans="1:8" ht="15.75">
      <c r="A69" s="232" t="s">
        <v>1722</v>
      </c>
      <c r="G69">
        <v>1000</v>
      </c>
      <c r="H69" s="561">
        <f t="shared" si="0"/>
        <v>0</v>
      </c>
    </row>
    <row r="70" spans="1:8" ht="16.5" thickBot="1">
      <c r="A70" s="232"/>
      <c r="G70">
        <v>1000</v>
      </c>
      <c r="H70" s="561">
        <f t="shared" si="0"/>
        <v>0</v>
      </c>
    </row>
    <row r="71" spans="1:8" ht="28.5" customHeight="1" thickBot="1">
      <c r="A71" s="939" t="s">
        <v>0</v>
      </c>
      <c r="B71" s="939" t="s">
        <v>121</v>
      </c>
      <c r="C71" s="939" t="s">
        <v>632</v>
      </c>
      <c r="D71" s="941" t="s">
        <v>894</v>
      </c>
      <c r="E71" s="942"/>
      <c r="F71" s="1570" t="s">
        <v>699</v>
      </c>
      <c r="G71">
        <v>1000</v>
      </c>
      <c r="H71" s="561">
        <f t="shared" ref="H71:H94" si="1">E71*G71</f>
        <v>0</v>
      </c>
    </row>
    <row r="72" spans="1:8" ht="15.75" thickBot="1">
      <c r="A72" s="943"/>
      <c r="B72" s="943"/>
      <c r="C72" s="943"/>
      <c r="D72" s="940" t="s">
        <v>828</v>
      </c>
      <c r="E72" s="940" t="s">
        <v>829</v>
      </c>
      <c r="F72" s="1571"/>
      <c r="G72">
        <v>1000</v>
      </c>
    </row>
    <row r="73" spans="1:8" ht="33.75" thickBot="1">
      <c r="A73" s="980">
        <v>1</v>
      </c>
      <c r="B73" s="383" t="s">
        <v>685</v>
      </c>
      <c r="C73" s="799" t="s">
        <v>649</v>
      </c>
      <c r="D73" s="314">
        <v>300</v>
      </c>
      <c r="E73" s="312"/>
      <c r="F73" s="799" t="s">
        <v>1503</v>
      </c>
      <c r="G73">
        <v>1000</v>
      </c>
      <c r="H73" s="561">
        <f t="shared" si="1"/>
        <v>0</v>
      </c>
    </row>
    <row r="74" spans="1:8" ht="60.75" customHeight="1" thickBot="1">
      <c r="A74" s="980">
        <v>2</v>
      </c>
      <c r="B74" s="383" t="s">
        <v>692</v>
      </c>
      <c r="C74" s="799" t="s">
        <v>668</v>
      </c>
      <c r="D74" s="314">
        <v>200</v>
      </c>
      <c r="E74" s="312"/>
      <c r="F74" s="799" t="s">
        <v>1504</v>
      </c>
      <c r="G74">
        <v>1000</v>
      </c>
      <c r="H74" s="561">
        <f t="shared" si="1"/>
        <v>0</v>
      </c>
    </row>
    <row r="75" spans="1:8" ht="45.75" customHeight="1" thickBot="1">
      <c r="A75" s="980">
        <v>3</v>
      </c>
      <c r="B75" s="383" t="s">
        <v>732</v>
      </c>
      <c r="C75" s="407" t="s">
        <v>668</v>
      </c>
      <c r="D75" s="314">
        <v>50</v>
      </c>
      <c r="E75" s="312"/>
      <c r="F75" s="799" t="s">
        <v>1505</v>
      </c>
      <c r="G75">
        <v>1000</v>
      </c>
      <c r="H75" s="561">
        <f t="shared" si="1"/>
        <v>0</v>
      </c>
    </row>
    <row r="76" spans="1:8" ht="17.25" thickBot="1">
      <c r="A76" s="980">
        <v>4</v>
      </c>
      <c r="B76" s="383" t="s">
        <v>743</v>
      </c>
      <c r="C76" s="407" t="s">
        <v>653</v>
      </c>
      <c r="D76" s="314">
        <v>50</v>
      </c>
      <c r="E76" s="312"/>
      <c r="F76" s="799" t="s">
        <v>1505</v>
      </c>
      <c r="G76">
        <v>1000</v>
      </c>
      <c r="H76" s="561">
        <f t="shared" si="1"/>
        <v>0</v>
      </c>
    </row>
    <row r="77" spans="1:8" ht="17.25" thickBot="1">
      <c r="A77" s="992" t="s">
        <v>758</v>
      </c>
      <c r="B77" s="993"/>
      <c r="C77" s="981"/>
      <c r="D77" s="982">
        <v>600000</v>
      </c>
      <c r="E77" s="389"/>
      <c r="F77" s="389"/>
      <c r="G77">
        <v>1000</v>
      </c>
      <c r="H77" s="561">
        <f t="shared" si="1"/>
        <v>0</v>
      </c>
    </row>
    <row r="78" spans="1:8" ht="17.25" customHeight="1" thickBot="1">
      <c r="A78" s="992" t="s">
        <v>864</v>
      </c>
      <c r="B78" s="993"/>
      <c r="C78" s="981"/>
      <c r="D78" s="994">
        <v>600000</v>
      </c>
      <c r="E78" s="995"/>
      <c r="F78" s="984"/>
      <c r="G78">
        <v>1000</v>
      </c>
      <c r="H78" s="561">
        <f t="shared" si="1"/>
        <v>0</v>
      </c>
    </row>
    <row r="79" spans="1:8">
      <c r="A79" s="244"/>
      <c r="G79">
        <v>1000</v>
      </c>
      <c r="H79" s="561">
        <f t="shared" si="1"/>
        <v>0</v>
      </c>
    </row>
    <row r="80" spans="1:8" ht="15.75">
      <c r="A80" s="205" t="s">
        <v>696</v>
      </c>
      <c r="G80">
        <v>1000</v>
      </c>
      <c r="H80" s="561">
        <f t="shared" si="1"/>
        <v>0</v>
      </c>
    </row>
    <row r="81" spans="1:8" ht="15.75">
      <c r="A81" s="205"/>
      <c r="G81">
        <v>1000</v>
      </c>
      <c r="H81" s="561">
        <f t="shared" si="1"/>
        <v>0</v>
      </c>
    </row>
    <row r="82" spans="1:8" ht="15.75">
      <c r="A82" s="205" t="s">
        <v>1717</v>
      </c>
      <c r="G82">
        <v>1000</v>
      </c>
      <c r="H82" s="561">
        <f t="shared" si="1"/>
        <v>0</v>
      </c>
    </row>
    <row r="83" spans="1:8" ht="15.75">
      <c r="A83" s="232" t="s">
        <v>1726</v>
      </c>
      <c r="G83">
        <v>1000</v>
      </c>
      <c r="H83" s="561">
        <f t="shared" si="1"/>
        <v>0</v>
      </c>
    </row>
    <row r="84" spans="1:8" ht="15.75" thickBot="1">
      <c r="A84" s="987"/>
      <c r="G84">
        <v>1000</v>
      </c>
      <c r="H84" s="561">
        <f t="shared" si="1"/>
        <v>0</v>
      </c>
    </row>
    <row r="85" spans="1:8" ht="48" thickBot="1">
      <c r="A85" s="252" t="s">
        <v>0</v>
      </c>
      <c r="B85" s="253" t="s">
        <v>632</v>
      </c>
      <c r="C85" s="988" t="s">
        <v>894</v>
      </c>
      <c r="D85" s="989" t="s">
        <v>634</v>
      </c>
      <c r="G85">
        <v>1000</v>
      </c>
      <c r="H85" s="561">
        <f t="shared" si="1"/>
        <v>0</v>
      </c>
    </row>
    <row r="86" spans="1:8" ht="79.5" customHeight="1" thickBot="1">
      <c r="A86" s="273">
        <v>1</v>
      </c>
      <c r="B86" s="256" t="s">
        <v>837</v>
      </c>
      <c r="C86" s="1069">
        <v>500</v>
      </c>
      <c r="D86" s="413"/>
      <c r="G86">
        <v>1000</v>
      </c>
      <c r="H86" s="561">
        <f t="shared" si="1"/>
        <v>0</v>
      </c>
    </row>
    <row r="87" spans="1:8" ht="79.5" customHeight="1" thickBot="1">
      <c r="A87" s="273">
        <v>2</v>
      </c>
      <c r="B87" s="256" t="s">
        <v>888</v>
      </c>
      <c r="C87" s="1069">
        <v>500</v>
      </c>
      <c r="D87" s="413"/>
      <c r="G87">
        <v>1000</v>
      </c>
      <c r="H87" s="561">
        <f t="shared" si="1"/>
        <v>0</v>
      </c>
    </row>
    <row r="88" spans="1:8" ht="17.25" thickBot="1">
      <c r="A88" s="273">
        <v>3</v>
      </c>
      <c r="B88" s="256" t="s">
        <v>708</v>
      </c>
      <c r="C88" s="1069">
        <v>500</v>
      </c>
      <c r="D88" s="413"/>
      <c r="G88">
        <v>1000</v>
      </c>
      <c r="H88" s="561">
        <f t="shared" si="1"/>
        <v>0</v>
      </c>
    </row>
    <row r="89" spans="1:8" ht="32.25" thickBot="1">
      <c r="A89" s="288" t="s">
        <v>758</v>
      </c>
      <c r="B89" s="289"/>
      <c r="C89" s="283" t="s">
        <v>889</v>
      </c>
      <c r="D89" s="418"/>
      <c r="G89">
        <v>1000</v>
      </c>
      <c r="H89" s="561">
        <f t="shared" si="1"/>
        <v>0</v>
      </c>
    </row>
    <row r="90" spans="1:8">
      <c r="A90" s="244"/>
      <c r="G90">
        <v>1000</v>
      </c>
      <c r="H90" s="561">
        <f t="shared" si="1"/>
        <v>0</v>
      </c>
    </row>
    <row r="91" spans="1:8">
      <c r="A91" s="284"/>
      <c r="G91">
        <v>1000</v>
      </c>
      <c r="H91" s="561">
        <f t="shared" si="1"/>
        <v>0</v>
      </c>
    </row>
    <row r="92" spans="1:8">
      <c r="G92">
        <v>1000</v>
      </c>
      <c r="H92" s="561">
        <f t="shared" si="1"/>
        <v>0</v>
      </c>
    </row>
    <row r="93" spans="1:8">
      <c r="G93">
        <v>1000</v>
      </c>
      <c r="H93" s="561">
        <f t="shared" si="1"/>
        <v>0</v>
      </c>
    </row>
    <row r="94" spans="1:8">
      <c r="G94">
        <v>1000</v>
      </c>
      <c r="H94" s="561">
        <f t="shared" si="1"/>
        <v>0</v>
      </c>
    </row>
  </sheetData>
  <mergeCells count="2">
    <mergeCell ref="F71:F72"/>
    <mergeCell ref="F4:F5"/>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01"/>
  <sheetViews>
    <sheetView topLeftCell="A115" workbookViewId="0">
      <selection activeCell="G67" sqref="G1:G1048576"/>
    </sheetView>
  </sheetViews>
  <sheetFormatPr defaultRowHeight="15"/>
  <cols>
    <col min="2" max="2" width="31.5703125" customWidth="1"/>
    <col min="5" max="5" width="12.7109375" customWidth="1"/>
    <col min="8" max="8" width="13.28515625" style="562" bestFit="1" customWidth="1"/>
    <col min="10" max="10" width="10.5703125" bestFit="1" customWidth="1"/>
  </cols>
  <sheetData>
    <row r="1" spans="1:10" ht="16.5">
      <c r="A1" s="123" t="s">
        <v>1737</v>
      </c>
    </row>
    <row r="2" spans="1:10" ht="16.5">
      <c r="A2" s="123" t="s">
        <v>1242</v>
      </c>
    </row>
    <row r="3" spans="1:10" ht="15.75">
      <c r="A3" s="365" t="s">
        <v>1738</v>
      </c>
    </row>
    <row r="4" spans="1:10" ht="15.75" thickBot="1">
      <c r="A4" s="1070"/>
    </row>
    <row r="5" spans="1:10" ht="33" customHeight="1" thickBot="1">
      <c r="A5" s="802" t="s">
        <v>0</v>
      </c>
      <c r="B5" s="802" t="s">
        <v>121</v>
      </c>
      <c r="C5" s="802" t="s">
        <v>632</v>
      </c>
      <c r="D5" s="818" t="s">
        <v>633</v>
      </c>
      <c r="E5" s="819"/>
      <c r="F5" s="802" t="s">
        <v>699</v>
      </c>
    </row>
    <row r="6" spans="1:10" ht="15.75" customHeight="1" thickBot="1">
      <c r="A6" s="820"/>
      <c r="B6" s="820"/>
      <c r="C6" s="820"/>
      <c r="D6" s="725" t="s">
        <v>739</v>
      </c>
      <c r="E6" s="725" t="s">
        <v>740</v>
      </c>
      <c r="F6" s="820"/>
    </row>
    <row r="7" spans="1:10" ht="15.75" thickBot="1">
      <c r="A7" s="369">
        <v>1</v>
      </c>
      <c r="B7" s="237" t="s">
        <v>39</v>
      </c>
      <c r="C7" s="236" t="s">
        <v>668</v>
      </c>
      <c r="D7" s="292"/>
      <c r="E7" s="1074">
        <v>285000</v>
      </c>
      <c r="F7" s="239"/>
      <c r="H7" s="562">
        <f>E7</f>
        <v>285000</v>
      </c>
    </row>
    <row r="8" spans="1:10" ht="30.75" customHeight="1" thickBot="1">
      <c r="A8" s="369">
        <v>2</v>
      </c>
      <c r="B8" s="237" t="s">
        <v>29</v>
      </c>
      <c r="C8" s="236" t="s">
        <v>668</v>
      </c>
      <c r="D8" s="292"/>
      <c r="E8" s="1074">
        <v>65000</v>
      </c>
      <c r="F8" s="239"/>
      <c r="H8" s="562">
        <f t="shared" ref="H8:H63" si="0">E8</f>
        <v>65000</v>
      </c>
    </row>
    <row r="9" spans="1:10" ht="45.75" customHeight="1" thickBot="1">
      <c r="A9" s="369">
        <v>3</v>
      </c>
      <c r="B9" s="237" t="s">
        <v>31</v>
      </c>
      <c r="C9" s="236" t="s">
        <v>668</v>
      </c>
      <c r="D9" s="292"/>
      <c r="E9" s="1074">
        <v>45000</v>
      </c>
      <c r="F9" s="239"/>
      <c r="H9" s="562">
        <f t="shared" si="0"/>
        <v>45000</v>
      </c>
      <c r="J9" s="66">
        <f>H7+H8+H9+H10+H11+H12+H13+H14+H18+H19+H20+H21+H25+H26+H27+H28+H29+H30+H33+H35+H36+H37+H40+H45+H46+H47+H48+H52+H55+H57</f>
        <v>1780000</v>
      </c>
    </row>
    <row r="10" spans="1:10" ht="30.75" customHeight="1" thickBot="1">
      <c r="A10" s="369">
        <v>4</v>
      </c>
      <c r="B10" s="237" t="s">
        <v>213</v>
      </c>
      <c r="C10" s="236" t="s">
        <v>668</v>
      </c>
      <c r="D10" s="292"/>
      <c r="E10" s="1074">
        <v>65000</v>
      </c>
      <c r="F10" s="239"/>
      <c r="H10" s="562">
        <f t="shared" si="0"/>
        <v>65000</v>
      </c>
    </row>
    <row r="11" spans="1:10" ht="60.75" customHeight="1" thickBot="1">
      <c r="A11" s="369">
        <v>5</v>
      </c>
      <c r="B11" s="237" t="s">
        <v>262</v>
      </c>
      <c r="C11" s="236" t="s">
        <v>668</v>
      </c>
      <c r="D11" s="292"/>
      <c r="E11" s="1074">
        <v>80000</v>
      </c>
      <c r="F11" s="239"/>
      <c r="H11" s="562">
        <f t="shared" si="0"/>
        <v>80000</v>
      </c>
    </row>
    <row r="12" spans="1:10" ht="45.75" customHeight="1" thickBot="1">
      <c r="A12" s="369">
        <v>6</v>
      </c>
      <c r="B12" s="237" t="s">
        <v>295</v>
      </c>
      <c r="C12" s="236" t="s">
        <v>668</v>
      </c>
      <c r="D12" s="292"/>
      <c r="E12" s="1074">
        <v>25000</v>
      </c>
      <c r="F12" s="239"/>
      <c r="H12" s="562">
        <f t="shared" si="0"/>
        <v>25000</v>
      </c>
    </row>
    <row r="13" spans="1:10" ht="60.75" customHeight="1" thickBot="1">
      <c r="A13" s="369">
        <v>7</v>
      </c>
      <c r="B13" s="237" t="s">
        <v>435</v>
      </c>
      <c r="C13" s="236" t="s">
        <v>668</v>
      </c>
      <c r="D13" s="292"/>
      <c r="E13" s="1074">
        <v>70000</v>
      </c>
      <c r="F13" s="239"/>
      <c r="H13" s="562">
        <f t="shared" si="0"/>
        <v>70000</v>
      </c>
    </row>
    <row r="14" spans="1:10" ht="30.75" customHeight="1" thickBot="1">
      <c r="A14" s="369">
        <v>8</v>
      </c>
      <c r="B14" s="237" t="s">
        <v>1316</v>
      </c>
      <c r="C14" s="236" t="s">
        <v>668</v>
      </c>
      <c r="D14" s="292"/>
      <c r="E14" s="1074">
        <v>55000</v>
      </c>
      <c r="F14" s="239"/>
      <c r="H14" s="562">
        <f t="shared" si="0"/>
        <v>55000</v>
      </c>
    </row>
    <row r="15" spans="1:10" ht="45.75" customHeight="1" thickBot="1">
      <c r="A15" s="369">
        <v>9</v>
      </c>
      <c r="B15" s="237" t="s">
        <v>670</v>
      </c>
      <c r="C15" s="236" t="s">
        <v>668</v>
      </c>
      <c r="D15" s="238">
        <v>30000</v>
      </c>
      <c r="E15" s="239"/>
      <c r="F15" s="239"/>
      <c r="H15" s="562">
        <f t="shared" si="0"/>
        <v>0</v>
      </c>
    </row>
    <row r="16" spans="1:10" ht="45.75" customHeight="1" thickBot="1">
      <c r="A16" s="369">
        <v>10</v>
      </c>
      <c r="B16" s="237" t="s">
        <v>672</v>
      </c>
      <c r="C16" s="236" t="s">
        <v>668</v>
      </c>
      <c r="D16" s="238">
        <v>75000</v>
      </c>
      <c r="E16" s="239"/>
      <c r="F16" s="239"/>
      <c r="H16" s="562">
        <f t="shared" si="0"/>
        <v>0</v>
      </c>
    </row>
    <row r="17" spans="1:8" ht="45.75" customHeight="1" thickBot="1">
      <c r="A17" s="369">
        <v>11</v>
      </c>
      <c r="B17" s="237" t="s">
        <v>669</v>
      </c>
      <c r="C17" s="236" t="s">
        <v>668</v>
      </c>
      <c r="D17" s="238">
        <v>57500</v>
      </c>
      <c r="E17" s="239"/>
      <c r="F17" s="239"/>
      <c r="H17" s="562">
        <f t="shared" si="0"/>
        <v>0</v>
      </c>
    </row>
    <row r="18" spans="1:8" ht="60.75" customHeight="1" thickBot="1">
      <c r="A18" s="369">
        <v>12</v>
      </c>
      <c r="B18" s="237" t="s">
        <v>273</v>
      </c>
      <c r="C18" s="236" t="s">
        <v>668</v>
      </c>
      <c r="D18" s="292"/>
      <c r="E18" s="1074">
        <v>5000</v>
      </c>
      <c r="F18" s="239"/>
      <c r="H18" s="562">
        <f t="shared" si="0"/>
        <v>5000</v>
      </c>
    </row>
    <row r="19" spans="1:8" ht="45.75" customHeight="1" thickBot="1">
      <c r="A19" s="369">
        <v>13</v>
      </c>
      <c r="B19" s="237" t="s">
        <v>215</v>
      </c>
      <c r="C19" s="236" t="s">
        <v>653</v>
      </c>
      <c r="D19" s="292"/>
      <c r="E19" s="1074">
        <v>10000</v>
      </c>
      <c r="F19" s="239"/>
      <c r="H19" s="562">
        <f t="shared" si="0"/>
        <v>10000</v>
      </c>
    </row>
    <row r="20" spans="1:8" ht="45.75" customHeight="1" thickBot="1">
      <c r="A20" s="369">
        <v>14</v>
      </c>
      <c r="B20" s="237" t="s">
        <v>48</v>
      </c>
      <c r="C20" s="236" t="s">
        <v>653</v>
      </c>
      <c r="D20" s="292"/>
      <c r="E20" s="1074">
        <v>60000</v>
      </c>
      <c r="F20" s="239"/>
      <c r="H20" s="562">
        <f t="shared" si="0"/>
        <v>60000</v>
      </c>
    </row>
    <row r="21" spans="1:8" ht="45.75" customHeight="1" thickBot="1">
      <c r="A21" s="369">
        <v>15</v>
      </c>
      <c r="B21" s="237" t="s">
        <v>138</v>
      </c>
      <c r="C21" s="236" t="s">
        <v>653</v>
      </c>
      <c r="D21" s="292"/>
      <c r="E21" s="1074">
        <v>140000</v>
      </c>
      <c r="F21" s="239"/>
      <c r="H21" s="562">
        <f t="shared" si="0"/>
        <v>140000</v>
      </c>
    </row>
    <row r="22" spans="1:8" ht="45.75" customHeight="1" thickBot="1">
      <c r="A22" s="369">
        <v>16</v>
      </c>
      <c r="B22" s="237" t="s">
        <v>656</v>
      </c>
      <c r="C22" s="236" t="s">
        <v>653</v>
      </c>
      <c r="D22" s="238">
        <v>15000</v>
      </c>
      <c r="E22" s="239"/>
      <c r="F22" s="239"/>
      <c r="H22" s="562">
        <f t="shared" si="0"/>
        <v>0</v>
      </c>
    </row>
    <row r="23" spans="1:8" ht="45.75" customHeight="1" thickBot="1">
      <c r="A23" s="369">
        <v>17</v>
      </c>
      <c r="B23" s="237" t="s">
        <v>689</v>
      </c>
      <c r="C23" s="236" t="s">
        <v>653</v>
      </c>
      <c r="D23" s="238">
        <v>25000</v>
      </c>
      <c r="E23" s="239"/>
      <c r="F23" s="239"/>
      <c r="H23" s="562">
        <f t="shared" si="0"/>
        <v>0</v>
      </c>
    </row>
    <row r="24" spans="1:8" ht="45.75" customHeight="1" thickBot="1">
      <c r="A24" s="369">
        <v>18</v>
      </c>
      <c r="B24" s="237" t="s">
        <v>730</v>
      </c>
      <c r="C24" s="236" t="s">
        <v>653</v>
      </c>
      <c r="D24" s="238">
        <v>10000</v>
      </c>
      <c r="E24" s="239"/>
      <c r="F24" s="239"/>
      <c r="H24" s="562">
        <f t="shared" si="0"/>
        <v>0</v>
      </c>
    </row>
    <row r="25" spans="1:8" ht="60.75" customHeight="1" thickBot="1">
      <c r="A25" s="369">
        <v>19</v>
      </c>
      <c r="B25" s="237" t="s">
        <v>56</v>
      </c>
      <c r="C25" s="236" t="s">
        <v>653</v>
      </c>
      <c r="D25" s="292"/>
      <c r="E25" s="1074">
        <v>10000</v>
      </c>
      <c r="F25" s="239"/>
      <c r="H25" s="562">
        <f t="shared" si="0"/>
        <v>10000</v>
      </c>
    </row>
    <row r="26" spans="1:8" ht="45.75" customHeight="1" thickBot="1">
      <c r="A26" s="369">
        <v>20</v>
      </c>
      <c r="B26" s="237" t="s">
        <v>50</v>
      </c>
      <c r="C26" s="236" t="s">
        <v>653</v>
      </c>
      <c r="D26" s="292"/>
      <c r="E26" s="1074">
        <v>5000</v>
      </c>
      <c r="F26" s="239"/>
      <c r="H26" s="562">
        <f t="shared" si="0"/>
        <v>5000</v>
      </c>
    </row>
    <row r="27" spans="1:8" ht="60.75" customHeight="1" thickBot="1">
      <c r="A27" s="369">
        <v>21</v>
      </c>
      <c r="B27" s="237" t="s">
        <v>289</v>
      </c>
      <c r="C27" s="236" t="s">
        <v>646</v>
      </c>
      <c r="D27" s="292"/>
      <c r="E27" s="1074">
        <v>60000</v>
      </c>
      <c r="F27" s="239"/>
      <c r="H27" s="562">
        <f t="shared" si="0"/>
        <v>60000</v>
      </c>
    </row>
    <row r="28" spans="1:8" ht="45.75" customHeight="1" thickBot="1">
      <c r="A28" s="369">
        <v>22</v>
      </c>
      <c r="B28" s="237" t="s">
        <v>168</v>
      </c>
      <c r="C28" s="236" t="s">
        <v>646</v>
      </c>
      <c r="D28" s="292"/>
      <c r="E28" s="1074">
        <v>25000</v>
      </c>
      <c r="F28" s="239"/>
      <c r="H28" s="562">
        <f t="shared" si="0"/>
        <v>25000</v>
      </c>
    </row>
    <row r="29" spans="1:8" ht="30.75" customHeight="1" thickBot="1">
      <c r="A29" s="369">
        <v>23</v>
      </c>
      <c r="B29" s="237" t="s">
        <v>72</v>
      </c>
      <c r="C29" s="236" t="s">
        <v>674</v>
      </c>
      <c r="D29" s="292"/>
      <c r="E29" s="1074">
        <v>120000</v>
      </c>
      <c r="F29" s="239"/>
      <c r="H29" s="562">
        <f t="shared" si="0"/>
        <v>120000</v>
      </c>
    </row>
    <row r="30" spans="1:8" ht="45.75" customHeight="1" thickBot="1">
      <c r="A30" s="369">
        <v>24</v>
      </c>
      <c r="B30" s="237" t="s">
        <v>1473</v>
      </c>
      <c r="C30" s="236" t="s">
        <v>674</v>
      </c>
      <c r="D30" s="292"/>
      <c r="E30" s="1074">
        <v>40000</v>
      </c>
      <c r="F30" s="239"/>
      <c r="H30" s="562">
        <f t="shared" si="0"/>
        <v>40000</v>
      </c>
    </row>
    <row r="31" spans="1:8" ht="45.75" customHeight="1" thickBot="1">
      <c r="A31" s="369">
        <v>25</v>
      </c>
      <c r="B31" s="237" t="s">
        <v>675</v>
      </c>
      <c r="C31" s="236" t="s">
        <v>674</v>
      </c>
      <c r="D31" s="238">
        <v>10000</v>
      </c>
      <c r="E31" s="239"/>
      <c r="F31" s="239"/>
      <c r="H31" s="562">
        <f t="shared" si="0"/>
        <v>0</v>
      </c>
    </row>
    <row r="32" spans="1:8" ht="30.75" customHeight="1" thickBot="1">
      <c r="A32" s="369">
        <v>26</v>
      </c>
      <c r="B32" s="237" t="s">
        <v>742</v>
      </c>
      <c r="C32" s="236" t="s">
        <v>674</v>
      </c>
      <c r="D32" s="238">
        <v>100000</v>
      </c>
      <c r="E32" s="239"/>
      <c r="F32" s="239"/>
      <c r="H32" s="562">
        <f t="shared" si="0"/>
        <v>0</v>
      </c>
    </row>
    <row r="33" spans="1:8" ht="45.75" customHeight="1" thickBot="1">
      <c r="A33" s="369">
        <v>27</v>
      </c>
      <c r="B33" s="237" t="s">
        <v>81</v>
      </c>
      <c r="C33" s="236" t="s">
        <v>649</v>
      </c>
      <c r="D33" s="292"/>
      <c r="E33" s="1074">
        <v>70000</v>
      </c>
      <c r="F33" s="239"/>
      <c r="H33" s="562">
        <f t="shared" si="0"/>
        <v>70000</v>
      </c>
    </row>
    <row r="34" spans="1:8" ht="45.75" customHeight="1" thickBot="1">
      <c r="A34" s="369">
        <v>28</v>
      </c>
      <c r="B34" s="237" t="s">
        <v>638</v>
      </c>
      <c r="C34" s="236" t="s">
        <v>649</v>
      </c>
      <c r="D34" s="238">
        <v>15000</v>
      </c>
      <c r="E34" s="239"/>
      <c r="F34" s="239"/>
      <c r="H34" s="562">
        <f t="shared" si="0"/>
        <v>0</v>
      </c>
    </row>
    <row r="35" spans="1:8" ht="30.75" customHeight="1" thickBot="1">
      <c r="A35" s="369">
        <v>29</v>
      </c>
      <c r="B35" s="237" t="s">
        <v>152</v>
      </c>
      <c r="C35" s="236" t="s">
        <v>649</v>
      </c>
      <c r="D35" s="292"/>
      <c r="E35" s="1074">
        <v>20000</v>
      </c>
      <c r="F35" s="239"/>
      <c r="H35" s="562">
        <f t="shared" si="0"/>
        <v>20000</v>
      </c>
    </row>
    <row r="36" spans="1:8" ht="30.75" customHeight="1" thickBot="1">
      <c r="A36" s="369">
        <v>30</v>
      </c>
      <c r="B36" s="237" t="s">
        <v>91</v>
      </c>
      <c r="C36" s="236" t="s">
        <v>650</v>
      </c>
      <c r="D36" s="292"/>
      <c r="E36" s="1074">
        <v>105000</v>
      </c>
      <c r="F36" s="239"/>
      <c r="H36" s="562">
        <f t="shared" si="0"/>
        <v>105000</v>
      </c>
    </row>
    <row r="37" spans="1:8" ht="60.75" customHeight="1" thickBot="1">
      <c r="A37" s="807">
        <v>31</v>
      </c>
      <c r="B37" s="804" t="s">
        <v>83</v>
      </c>
      <c r="C37" s="304" t="s">
        <v>650</v>
      </c>
      <c r="D37" s="805"/>
      <c r="E37" s="1075">
        <v>45000</v>
      </c>
      <c r="F37" s="239"/>
      <c r="H37" s="562">
        <f t="shared" si="0"/>
        <v>45000</v>
      </c>
    </row>
    <row r="38" spans="1:8" ht="45.75" customHeight="1" thickBot="1">
      <c r="A38" s="807">
        <v>32</v>
      </c>
      <c r="B38" s="804" t="s">
        <v>727</v>
      </c>
      <c r="C38" s="304" t="s">
        <v>650</v>
      </c>
      <c r="D38" s="307">
        <v>5000</v>
      </c>
      <c r="E38" s="308"/>
      <c r="F38" s="239"/>
      <c r="H38" s="562">
        <f t="shared" si="0"/>
        <v>0</v>
      </c>
    </row>
    <row r="39" spans="1:8" ht="30.75" customHeight="1" thickBot="1">
      <c r="A39" s="807">
        <v>33</v>
      </c>
      <c r="B39" s="804" t="s">
        <v>1401</v>
      </c>
      <c r="C39" s="304" t="s">
        <v>650</v>
      </c>
      <c r="D39" s="307">
        <v>40000</v>
      </c>
      <c r="E39" s="308"/>
      <c r="F39" s="239"/>
      <c r="H39" s="562">
        <f t="shared" si="0"/>
        <v>0</v>
      </c>
    </row>
    <row r="40" spans="1:8" ht="30.75" customHeight="1" thickBot="1">
      <c r="A40" s="807">
        <v>34</v>
      </c>
      <c r="B40" s="804" t="s">
        <v>644</v>
      </c>
      <c r="C40" s="304" t="s">
        <v>642</v>
      </c>
      <c r="D40" s="805"/>
      <c r="E40" s="1075">
        <v>70000</v>
      </c>
      <c r="F40" s="239"/>
      <c r="H40" s="562">
        <f t="shared" si="0"/>
        <v>70000</v>
      </c>
    </row>
    <row r="41" spans="1:8" ht="45.75" customHeight="1" thickBot="1">
      <c r="A41" s="807">
        <v>35</v>
      </c>
      <c r="B41" s="804" t="s">
        <v>728</v>
      </c>
      <c r="C41" s="304" t="s">
        <v>642</v>
      </c>
      <c r="D41" s="307">
        <v>10000</v>
      </c>
      <c r="E41" s="308"/>
      <c r="F41" s="239"/>
      <c r="H41" s="562">
        <f t="shared" si="0"/>
        <v>0</v>
      </c>
    </row>
    <row r="42" spans="1:8" ht="45.75" customHeight="1" thickBot="1">
      <c r="A42" s="807">
        <v>36</v>
      </c>
      <c r="B42" s="804" t="s">
        <v>715</v>
      </c>
      <c r="C42" s="304" t="s">
        <v>642</v>
      </c>
      <c r="D42" s="307">
        <v>25000</v>
      </c>
      <c r="E42" s="308"/>
      <c r="F42" s="239"/>
      <c r="H42" s="562">
        <f t="shared" si="0"/>
        <v>0</v>
      </c>
    </row>
    <row r="43" spans="1:8" ht="30.75" customHeight="1" thickBot="1">
      <c r="A43" s="807">
        <v>37</v>
      </c>
      <c r="B43" s="804" t="s">
        <v>870</v>
      </c>
      <c r="C43" s="304" t="s">
        <v>642</v>
      </c>
      <c r="D43" s="307">
        <v>80000</v>
      </c>
      <c r="E43" s="308"/>
      <c r="F43" s="239"/>
      <c r="H43" s="562">
        <f t="shared" si="0"/>
        <v>0</v>
      </c>
    </row>
    <row r="44" spans="1:8" ht="45.75" customHeight="1" thickBot="1">
      <c r="A44" s="807">
        <v>38</v>
      </c>
      <c r="B44" s="804" t="s">
        <v>637</v>
      </c>
      <c r="C44" s="304" t="s">
        <v>636</v>
      </c>
      <c r="D44" s="307">
        <v>40000</v>
      </c>
      <c r="E44" s="308"/>
      <c r="F44" s="239"/>
      <c r="H44" s="562">
        <f t="shared" si="0"/>
        <v>0</v>
      </c>
    </row>
    <row r="45" spans="1:8" ht="30.75" customHeight="1" thickBot="1">
      <c r="A45" s="807">
        <v>39</v>
      </c>
      <c r="B45" s="804" t="s">
        <v>98</v>
      </c>
      <c r="C45" s="304" t="s">
        <v>636</v>
      </c>
      <c r="D45" s="805"/>
      <c r="E45" s="1075">
        <v>100000</v>
      </c>
      <c r="F45" s="239"/>
      <c r="H45" s="562">
        <f t="shared" si="0"/>
        <v>100000</v>
      </c>
    </row>
    <row r="46" spans="1:8" ht="45.75" customHeight="1" thickBot="1">
      <c r="A46" s="807">
        <v>40</v>
      </c>
      <c r="B46" s="804" t="s">
        <v>210</v>
      </c>
      <c r="C46" s="304" t="s">
        <v>636</v>
      </c>
      <c r="D46" s="805"/>
      <c r="E46" s="1075">
        <v>72500</v>
      </c>
      <c r="F46" s="239"/>
      <c r="H46" s="562">
        <f t="shared" si="0"/>
        <v>72500</v>
      </c>
    </row>
    <row r="47" spans="1:8" ht="45.75" customHeight="1" thickBot="1">
      <c r="A47" s="807">
        <v>41</v>
      </c>
      <c r="B47" s="804" t="s">
        <v>106</v>
      </c>
      <c r="C47" s="304" t="s">
        <v>636</v>
      </c>
      <c r="D47" s="805"/>
      <c r="E47" s="1075">
        <v>30000</v>
      </c>
      <c r="F47" s="239"/>
      <c r="H47" s="562">
        <f t="shared" si="0"/>
        <v>30000</v>
      </c>
    </row>
    <row r="48" spans="1:8" ht="60.75" customHeight="1" thickBot="1">
      <c r="A48" s="807">
        <v>42</v>
      </c>
      <c r="B48" s="804" t="s">
        <v>154</v>
      </c>
      <c r="C48" s="304" t="s">
        <v>636</v>
      </c>
      <c r="D48" s="805"/>
      <c r="E48" s="1075">
        <v>12500</v>
      </c>
      <c r="F48" s="239"/>
      <c r="H48" s="562">
        <f t="shared" si="0"/>
        <v>12500</v>
      </c>
    </row>
    <row r="49" spans="1:8" ht="30.75" customHeight="1" thickBot="1">
      <c r="A49" s="807">
        <v>43</v>
      </c>
      <c r="B49" s="804" t="s">
        <v>744</v>
      </c>
      <c r="C49" s="304" t="s">
        <v>636</v>
      </c>
      <c r="D49" s="307">
        <v>45000</v>
      </c>
      <c r="E49" s="308"/>
      <c r="F49" s="239"/>
      <c r="H49" s="562">
        <f t="shared" si="0"/>
        <v>0</v>
      </c>
    </row>
    <row r="50" spans="1:8" ht="60.75" customHeight="1" thickBot="1">
      <c r="A50" s="807">
        <v>44</v>
      </c>
      <c r="B50" s="804" t="s">
        <v>747</v>
      </c>
      <c r="C50" s="304" t="s">
        <v>746</v>
      </c>
      <c r="D50" s="307">
        <v>75000</v>
      </c>
      <c r="E50" s="308"/>
      <c r="F50" s="239"/>
      <c r="H50" s="562">
        <f t="shared" si="0"/>
        <v>0</v>
      </c>
    </row>
    <row r="51" spans="1:8" ht="45.75" customHeight="1" thickBot="1">
      <c r="A51" s="807">
        <v>45</v>
      </c>
      <c r="B51" s="804" t="s">
        <v>660</v>
      </c>
      <c r="C51" s="304" t="s">
        <v>746</v>
      </c>
      <c r="D51" s="307">
        <v>40000</v>
      </c>
      <c r="E51" s="308"/>
      <c r="F51" s="239"/>
      <c r="H51" s="562">
        <f t="shared" si="0"/>
        <v>0</v>
      </c>
    </row>
    <row r="52" spans="1:8" ht="30.75" customHeight="1" thickBot="1">
      <c r="A52" s="807">
        <v>46</v>
      </c>
      <c r="B52" s="804" t="s">
        <v>143</v>
      </c>
      <c r="C52" s="304" t="s">
        <v>746</v>
      </c>
      <c r="D52" s="805"/>
      <c r="E52" s="1075">
        <v>15000</v>
      </c>
      <c r="F52" s="239"/>
      <c r="H52" s="562">
        <f t="shared" si="0"/>
        <v>15000</v>
      </c>
    </row>
    <row r="53" spans="1:8" ht="60.75" hidden="1" customHeight="1" thickBot="1">
      <c r="A53" s="1118">
        <v>47</v>
      </c>
      <c r="B53" s="1119" t="s">
        <v>664</v>
      </c>
      <c r="C53" s="1118" t="s">
        <v>746</v>
      </c>
      <c r="D53" s="1120"/>
      <c r="E53" s="1121">
        <v>15000</v>
      </c>
      <c r="F53" s="347"/>
      <c r="G53" s="342"/>
      <c r="H53" s="92">
        <f t="shared" si="0"/>
        <v>15000</v>
      </c>
    </row>
    <row r="54" spans="1:8" ht="45.75" hidden="1" customHeight="1" thickBot="1">
      <c r="A54" s="1118">
        <v>48</v>
      </c>
      <c r="B54" s="1119" t="s">
        <v>665</v>
      </c>
      <c r="C54" s="1118" t="s">
        <v>746</v>
      </c>
      <c r="D54" s="1120"/>
      <c r="E54" s="1121">
        <v>40000</v>
      </c>
      <c r="F54" s="347"/>
      <c r="G54" s="342"/>
      <c r="H54" s="92">
        <f t="shared" si="0"/>
        <v>40000</v>
      </c>
    </row>
    <row r="55" spans="1:8" ht="30.75" customHeight="1" thickBot="1">
      <c r="A55" s="807">
        <v>49</v>
      </c>
      <c r="B55" s="804" t="s">
        <v>144</v>
      </c>
      <c r="C55" s="304" t="s">
        <v>1224</v>
      </c>
      <c r="D55" s="805"/>
      <c r="E55" s="1075">
        <v>35000</v>
      </c>
      <c r="F55" s="239"/>
      <c r="H55" s="562">
        <f t="shared" si="0"/>
        <v>35000</v>
      </c>
    </row>
    <row r="56" spans="1:8" ht="60.75" customHeight="1" thickBot="1">
      <c r="A56" s="807">
        <v>50</v>
      </c>
      <c r="B56" s="804" t="s">
        <v>1236</v>
      </c>
      <c r="C56" s="304" t="s">
        <v>1224</v>
      </c>
      <c r="D56" s="307">
        <v>127500</v>
      </c>
      <c r="E56" s="308"/>
      <c r="F56" s="239"/>
      <c r="H56" s="562">
        <f t="shared" si="0"/>
        <v>0</v>
      </c>
    </row>
    <row r="57" spans="1:8" ht="15.75" thickBot="1">
      <c r="A57" s="807">
        <v>51</v>
      </c>
      <c r="B57" s="804" t="s">
        <v>216</v>
      </c>
      <c r="C57" s="304" t="s">
        <v>774</v>
      </c>
      <c r="D57" s="805"/>
      <c r="E57" s="1075">
        <v>40000</v>
      </c>
      <c r="F57" s="239"/>
      <c r="H57" s="562">
        <f t="shared" si="0"/>
        <v>40000</v>
      </c>
    </row>
    <row r="58" spans="1:8" ht="15.75" thickBot="1">
      <c r="A58" s="700" t="s">
        <v>676</v>
      </c>
      <c r="B58" s="701"/>
      <c r="C58" s="318"/>
      <c r="D58" s="695">
        <v>825000</v>
      </c>
      <c r="E58" s="1076">
        <v>1835000</v>
      </c>
      <c r="F58" s="808"/>
      <c r="H58" s="562">
        <f t="shared" si="0"/>
        <v>1835000</v>
      </c>
    </row>
    <row r="59" spans="1:8" ht="15.75" customHeight="1" thickBot="1">
      <c r="A59" s="825" t="s">
        <v>753</v>
      </c>
      <c r="B59" s="826"/>
      <c r="C59" s="241"/>
      <c r="D59" s="1089">
        <v>2660000</v>
      </c>
      <c r="E59" s="1090"/>
      <c r="F59" s="808"/>
      <c r="H59" s="562">
        <f t="shared" si="0"/>
        <v>0</v>
      </c>
    </row>
    <row r="60" spans="1:8" ht="15.75">
      <c r="A60" s="365" t="s">
        <v>1739</v>
      </c>
      <c r="H60" s="562">
        <f t="shared" si="0"/>
        <v>0</v>
      </c>
    </row>
    <row r="61" spans="1:8" ht="16.5">
      <c r="A61" s="246"/>
      <c r="B61" s="248"/>
      <c r="H61" s="562">
        <f t="shared" si="0"/>
        <v>0</v>
      </c>
    </row>
    <row r="62" spans="1:8" ht="16.5">
      <c r="A62" s="123"/>
      <c r="H62" s="562">
        <f t="shared" si="0"/>
        <v>0</v>
      </c>
    </row>
    <row r="63" spans="1:8" ht="16.5">
      <c r="A63" s="123" t="s">
        <v>1740</v>
      </c>
      <c r="H63" s="562">
        <f t="shared" si="0"/>
        <v>0</v>
      </c>
    </row>
    <row r="64" spans="1:8" ht="15.75">
      <c r="A64" s="365" t="s">
        <v>1738</v>
      </c>
    </row>
    <row r="65" spans="1:6" ht="15.75" thickBot="1">
      <c r="A65" s="1077"/>
    </row>
    <row r="66" spans="1:6" ht="66.75" thickBot="1">
      <c r="A66" s="1078" t="s">
        <v>0</v>
      </c>
      <c r="B66" s="1079" t="s">
        <v>121</v>
      </c>
      <c r="C66" s="1080" t="s">
        <v>632</v>
      </c>
      <c r="D66" s="1081" t="s">
        <v>633</v>
      </c>
      <c r="E66" s="819" t="s">
        <v>699</v>
      </c>
    </row>
    <row r="67" spans="1:6" ht="26.25" thickBot="1">
      <c r="A67" s="268">
        <v>1</v>
      </c>
      <c r="B67" s="1082" t="s">
        <v>1741</v>
      </c>
      <c r="C67" s="1083" t="s">
        <v>1179</v>
      </c>
      <c r="D67" s="710">
        <v>60</v>
      </c>
      <c r="E67" s="386"/>
      <c r="F67">
        <v>1000</v>
      </c>
    </row>
    <row r="68" spans="1:6" ht="26.25" thickBot="1">
      <c r="A68" s="273">
        <v>2</v>
      </c>
      <c r="B68" s="948" t="s">
        <v>768</v>
      </c>
      <c r="C68" s="925" t="s">
        <v>1179</v>
      </c>
      <c r="D68" s="949">
        <v>60</v>
      </c>
      <c r="E68" s="258"/>
    </row>
    <row r="69" spans="1:6" ht="39" customHeight="1" thickBot="1">
      <c r="A69" s="273">
        <v>3</v>
      </c>
      <c r="B69" s="948" t="s">
        <v>850</v>
      </c>
      <c r="C69" s="925" t="s">
        <v>1179</v>
      </c>
      <c r="D69" s="949">
        <v>90</v>
      </c>
      <c r="E69" s="258"/>
    </row>
    <row r="70" spans="1:6" ht="26.25" thickBot="1">
      <c r="A70" s="273">
        <v>4</v>
      </c>
      <c r="B70" s="948" t="s">
        <v>849</v>
      </c>
      <c r="C70" s="925" t="s">
        <v>1179</v>
      </c>
      <c r="D70" s="949">
        <v>90</v>
      </c>
      <c r="E70" s="258"/>
    </row>
    <row r="71" spans="1:6" ht="26.25" thickBot="1">
      <c r="A71" s="273">
        <v>5</v>
      </c>
      <c r="B71" s="948" t="s">
        <v>1516</v>
      </c>
      <c r="C71" s="925" t="s">
        <v>1182</v>
      </c>
      <c r="D71" s="949">
        <v>60</v>
      </c>
      <c r="E71" s="258"/>
    </row>
    <row r="72" spans="1:6" ht="39" customHeight="1" thickBot="1">
      <c r="A72" s="273">
        <v>6</v>
      </c>
      <c r="B72" s="948" t="s">
        <v>1415</v>
      </c>
      <c r="C72" s="925" t="s">
        <v>1182</v>
      </c>
      <c r="D72" s="949">
        <v>210</v>
      </c>
      <c r="E72" s="258"/>
    </row>
    <row r="73" spans="1:6" ht="26.25" thickBot="1">
      <c r="A73" s="273">
        <v>7</v>
      </c>
      <c r="B73" s="948" t="s">
        <v>854</v>
      </c>
      <c r="C73" s="925" t="s">
        <v>1182</v>
      </c>
      <c r="D73" s="949">
        <v>60</v>
      </c>
      <c r="E73" s="258"/>
    </row>
    <row r="74" spans="1:6" ht="39" customHeight="1" thickBot="1">
      <c r="A74" s="273">
        <v>8</v>
      </c>
      <c r="B74" s="948" t="s">
        <v>1742</v>
      </c>
      <c r="C74" s="925" t="s">
        <v>1182</v>
      </c>
      <c r="D74" s="949">
        <v>90</v>
      </c>
      <c r="E74" s="258"/>
    </row>
    <row r="75" spans="1:6" ht="26.25" thickBot="1">
      <c r="A75" s="273">
        <v>9</v>
      </c>
      <c r="B75" s="948" t="s">
        <v>857</v>
      </c>
      <c r="C75" s="925" t="s">
        <v>1182</v>
      </c>
      <c r="D75" s="949">
        <v>420</v>
      </c>
      <c r="E75" s="258"/>
    </row>
    <row r="76" spans="1:6" ht="26.25" thickBot="1">
      <c r="A76" s="273">
        <v>10</v>
      </c>
      <c r="B76" s="948" t="s">
        <v>1185</v>
      </c>
      <c r="C76" s="925" t="s">
        <v>1182</v>
      </c>
      <c r="D76" s="949">
        <v>120</v>
      </c>
      <c r="E76" s="258"/>
    </row>
    <row r="77" spans="1:6" ht="39" customHeight="1" thickBot="1">
      <c r="A77" s="273">
        <v>11</v>
      </c>
      <c r="B77" s="948" t="s">
        <v>1646</v>
      </c>
      <c r="C77" s="925" t="s">
        <v>1182</v>
      </c>
      <c r="D77" s="949">
        <v>60</v>
      </c>
      <c r="E77" s="258"/>
    </row>
    <row r="78" spans="1:6" ht="26.25" thickBot="1">
      <c r="A78" s="273">
        <v>12</v>
      </c>
      <c r="B78" s="948" t="s">
        <v>1192</v>
      </c>
      <c r="C78" s="925" t="s">
        <v>1182</v>
      </c>
      <c r="D78" s="949">
        <v>120</v>
      </c>
      <c r="E78" s="258"/>
    </row>
    <row r="79" spans="1:6" ht="26.25" thickBot="1">
      <c r="A79" s="273">
        <v>13</v>
      </c>
      <c r="B79" s="948" t="s">
        <v>1231</v>
      </c>
      <c r="C79" s="925" t="s">
        <v>1182</v>
      </c>
      <c r="D79" s="949">
        <v>360</v>
      </c>
      <c r="E79" s="258"/>
    </row>
    <row r="80" spans="1:6" ht="39" customHeight="1" thickBot="1">
      <c r="A80" s="273">
        <v>14</v>
      </c>
      <c r="B80" s="948" t="s">
        <v>1187</v>
      </c>
      <c r="C80" s="925" t="s">
        <v>1182</v>
      </c>
      <c r="D80" s="949">
        <v>150</v>
      </c>
      <c r="E80" s="258"/>
    </row>
    <row r="81" spans="1:5" ht="39" customHeight="1" thickBot="1">
      <c r="A81" s="273">
        <v>15</v>
      </c>
      <c r="B81" s="948" t="s">
        <v>855</v>
      </c>
      <c r="C81" s="925" t="s">
        <v>1182</v>
      </c>
      <c r="D81" s="949">
        <v>66</v>
      </c>
      <c r="E81" s="258"/>
    </row>
    <row r="82" spans="1:5" ht="39" customHeight="1" thickBot="1">
      <c r="A82" s="273">
        <v>16</v>
      </c>
      <c r="B82" s="948" t="s">
        <v>1509</v>
      </c>
      <c r="C82" s="925" t="s">
        <v>1182</v>
      </c>
      <c r="D82" s="949">
        <v>90</v>
      </c>
      <c r="E82" s="258"/>
    </row>
    <row r="83" spans="1:5" ht="39" customHeight="1" thickBot="1">
      <c r="A83" s="273">
        <v>17</v>
      </c>
      <c r="B83" s="948" t="s">
        <v>840</v>
      </c>
      <c r="C83" s="925" t="s">
        <v>1171</v>
      </c>
      <c r="D83" s="949">
        <v>90</v>
      </c>
      <c r="E83" s="258"/>
    </row>
    <row r="84" spans="1:5" ht="26.25" thickBot="1">
      <c r="A84" s="273">
        <v>18</v>
      </c>
      <c r="B84" s="948" t="s">
        <v>772</v>
      </c>
      <c r="C84" s="925" t="s">
        <v>1171</v>
      </c>
      <c r="D84" s="949">
        <v>90</v>
      </c>
      <c r="E84" s="258"/>
    </row>
    <row r="85" spans="1:5" ht="26.25" thickBot="1">
      <c r="A85" s="273">
        <v>19</v>
      </c>
      <c r="B85" s="948" t="s">
        <v>1177</v>
      </c>
      <c r="C85" s="925" t="s">
        <v>1171</v>
      </c>
      <c r="D85" s="949">
        <v>60</v>
      </c>
      <c r="E85" s="258"/>
    </row>
    <row r="86" spans="1:5" ht="26.25" thickBot="1">
      <c r="A86" s="273">
        <v>20</v>
      </c>
      <c r="B86" s="948" t="s">
        <v>842</v>
      </c>
      <c r="C86" s="925" t="s">
        <v>1171</v>
      </c>
      <c r="D86" s="949">
        <v>50</v>
      </c>
      <c r="E86" s="258"/>
    </row>
    <row r="87" spans="1:5" ht="26.25" thickBot="1">
      <c r="A87" s="273">
        <v>21</v>
      </c>
      <c r="B87" s="948" t="s">
        <v>1410</v>
      </c>
      <c r="C87" s="925" t="s">
        <v>1171</v>
      </c>
      <c r="D87" s="949">
        <v>90</v>
      </c>
      <c r="E87" s="258"/>
    </row>
    <row r="88" spans="1:5" ht="26.25" thickBot="1">
      <c r="A88" s="273">
        <v>22</v>
      </c>
      <c r="B88" s="948" t="s">
        <v>1561</v>
      </c>
      <c r="C88" s="925" t="s">
        <v>1171</v>
      </c>
      <c r="D88" s="949">
        <v>60</v>
      </c>
      <c r="E88" s="258"/>
    </row>
    <row r="89" spans="1:5" ht="26.25" thickBot="1">
      <c r="A89" s="273">
        <v>23</v>
      </c>
      <c r="B89" s="948" t="s">
        <v>1208</v>
      </c>
      <c r="C89" s="925" t="s">
        <v>1198</v>
      </c>
      <c r="D89" s="949">
        <v>120</v>
      </c>
      <c r="E89" s="258"/>
    </row>
    <row r="90" spans="1:5" ht="26.25" thickBot="1">
      <c r="A90" s="273">
        <v>24</v>
      </c>
      <c r="B90" s="948" t="s">
        <v>1205</v>
      </c>
      <c r="C90" s="925" t="s">
        <v>1198</v>
      </c>
      <c r="D90" s="949">
        <v>60</v>
      </c>
      <c r="E90" s="258"/>
    </row>
    <row r="91" spans="1:5" ht="39" customHeight="1" thickBot="1">
      <c r="A91" s="273">
        <v>25</v>
      </c>
      <c r="B91" s="948" t="s">
        <v>1552</v>
      </c>
      <c r="C91" s="925" t="s">
        <v>1171</v>
      </c>
      <c r="D91" s="1084">
        <v>10000</v>
      </c>
      <c r="E91" s="258"/>
    </row>
    <row r="92" spans="1:5" ht="39" customHeight="1" thickBot="1">
      <c r="A92" s="273">
        <v>26</v>
      </c>
      <c r="B92" s="948" t="s">
        <v>1197</v>
      </c>
      <c r="C92" s="925" t="s">
        <v>1198</v>
      </c>
      <c r="D92" s="1084">
        <v>10000</v>
      </c>
      <c r="E92" s="258"/>
    </row>
    <row r="93" spans="1:5" ht="39" customHeight="1" thickBot="1">
      <c r="A93" s="273">
        <v>27</v>
      </c>
      <c r="B93" s="948" t="s">
        <v>1199</v>
      </c>
      <c r="C93" s="925" t="s">
        <v>1198</v>
      </c>
      <c r="D93" s="1084">
        <v>45000</v>
      </c>
      <c r="E93" s="258"/>
    </row>
    <row r="94" spans="1:5" ht="26.25" thickBot="1">
      <c r="A94" s="273">
        <v>28</v>
      </c>
      <c r="B94" s="948" t="s">
        <v>879</v>
      </c>
      <c r="C94" s="925" t="s">
        <v>1198</v>
      </c>
      <c r="D94" s="1084">
        <v>10000</v>
      </c>
      <c r="E94" s="258"/>
    </row>
    <row r="95" spans="1:5" ht="17.25" thickBot="1">
      <c r="A95" s="288" t="s">
        <v>676</v>
      </c>
      <c r="B95" s="289"/>
      <c r="C95" s="368"/>
      <c r="D95" s="1085">
        <v>2801000</v>
      </c>
      <c r="E95" s="372"/>
    </row>
    <row r="96" spans="1:5" ht="15.75">
      <c r="A96" s="365" t="s">
        <v>1743</v>
      </c>
    </row>
    <row r="97" spans="1:8" ht="16.5">
      <c r="A97" s="611"/>
    </row>
    <row r="98" spans="1:8" ht="16.5">
      <c r="A98" s="246"/>
      <c r="B98" s="248"/>
    </row>
    <row r="99" spans="1:8">
      <c r="A99" s="249"/>
    </row>
    <row r="100" spans="1:8" ht="16.5">
      <c r="A100" s="123" t="s">
        <v>1744</v>
      </c>
    </row>
    <row r="101" spans="1:8" ht="16.5" thickBot="1">
      <c r="A101" s="1086" t="s">
        <v>1745</v>
      </c>
    </row>
    <row r="102" spans="1:8" ht="33" customHeight="1" thickBot="1">
      <c r="A102" s="802" t="s">
        <v>0</v>
      </c>
      <c r="B102" s="802" t="s">
        <v>121</v>
      </c>
      <c r="C102" s="802" t="s">
        <v>632</v>
      </c>
      <c r="D102" s="818" t="s">
        <v>633</v>
      </c>
      <c r="E102" s="819"/>
      <c r="F102" s="802" t="s">
        <v>699</v>
      </c>
    </row>
    <row r="103" spans="1:8" ht="15.75" customHeight="1" thickBot="1">
      <c r="A103" s="820"/>
      <c r="B103" s="820"/>
      <c r="C103" s="820"/>
      <c r="D103" s="725" t="s">
        <v>739</v>
      </c>
      <c r="E103" s="725" t="s">
        <v>740</v>
      </c>
      <c r="F103" s="820"/>
    </row>
    <row r="104" spans="1:8" ht="16.5" thickBot="1">
      <c r="A104" s="273">
        <v>1</v>
      </c>
      <c r="B104" s="948" t="s">
        <v>94</v>
      </c>
      <c r="C104" s="925" t="s">
        <v>642</v>
      </c>
      <c r="D104" s="949"/>
      <c r="E104" s="950">
        <v>60</v>
      </c>
      <c r="F104" s="258"/>
      <c r="G104">
        <v>1000</v>
      </c>
      <c r="H104" s="562">
        <f>E104*G104</f>
        <v>60000</v>
      </c>
    </row>
    <row r="105" spans="1:8" ht="39" customHeight="1" thickBot="1">
      <c r="A105" s="273">
        <v>2</v>
      </c>
      <c r="B105" s="948" t="s">
        <v>207</v>
      </c>
      <c r="C105" s="925" t="s">
        <v>642</v>
      </c>
      <c r="D105" s="949"/>
      <c r="E105" s="950">
        <v>60</v>
      </c>
      <c r="F105" s="258"/>
      <c r="G105">
        <v>1000</v>
      </c>
      <c r="H105" s="562">
        <f t="shared" ref="H105:H133" si="1">E105*G105</f>
        <v>60000</v>
      </c>
    </row>
    <row r="106" spans="1:8" ht="39" customHeight="1" thickBot="1">
      <c r="A106" s="1114">
        <v>3</v>
      </c>
      <c r="B106" s="1115" t="s">
        <v>681</v>
      </c>
      <c r="C106" s="1116" t="s">
        <v>642</v>
      </c>
      <c r="D106" s="1117"/>
      <c r="E106" s="345">
        <v>180</v>
      </c>
      <c r="F106" s="351"/>
      <c r="G106" s="342">
        <v>1000</v>
      </c>
      <c r="H106" s="92">
        <f t="shared" si="1"/>
        <v>180000</v>
      </c>
    </row>
    <row r="107" spans="1:8" ht="26.25" customHeight="1" thickBot="1">
      <c r="A107" s="1114">
        <v>4</v>
      </c>
      <c r="B107" s="1115" t="s">
        <v>639</v>
      </c>
      <c r="C107" s="1116" t="s">
        <v>717</v>
      </c>
      <c r="D107" s="1117"/>
      <c r="E107" s="345">
        <v>30</v>
      </c>
      <c r="F107" s="351"/>
      <c r="G107" s="342">
        <v>1000</v>
      </c>
      <c r="H107" s="92">
        <f t="shared" si="1"/>
        <v>30000</v>
      </c>
    </row>
    <row r="108" spans="1:8" ht="39" customHeight="1" thickBot="1">
      <c r="A108" s="273">
        <v>5</v>
      </c>
      <c r="B108" s="948" t="s">
        <v>210</v>
      </c>
      <c r="C108" s="925" t="s">
        <v>717</v>
      </c>
      <c r="D108" s="949"/>
      <c r="E108" s="950">
        <v>270</v>
      </c>
      <c r="F108" s="258"/>
      <c r="G108">
        <v>1000</v>
      </c>
      <c r="H108" s="562">
        <f t="shared" si="1"/>
        <v>270000</v>
      </c>
    </row>
    <row r="109" spans="1:8" ht="39" customHeight="1" thickBot="1">
      <c r="A109" s="273">
        <v>6</v>
      </c>
      <c r="B109" s="948" t="s">
        <v>154</v>
      </c>
      <c r="C109" s="925" t="s">
        <v>717</v>
      </c>
      <c r="D109" s="949"/>
      <c r="E109" s="950">
        <v>60</v>
      </c>
      <c r="F109" s="258"/>
      <c r="G109">
        <v>1000</v>
      </c>
      <c r="H109" s="562">
        <f t="shared" si="1"/>
        <v>60000</v>
      </c>
    </row>
    <row r="110" spans="1:8" ht="26.25" customHeight="1" thickBot="1">
      <c r="A110" s="273">
        <v>7</v>
      </c>
      <c r="B110" s="948" t="s">
        <v>641</v>
      </c>
      <c r="C110" s="925" t="s">
        <v>717</v>
      </c>
      <c r="D110" s="949">
        <v>210</v>
      </c>
      <c r="E110" s="372"/>
      <c r="F110" s="258"/>
      <c r="G110">
        <v>1000</v>
      </c>
      <c r="H110" s="562">
        <f t="shared" si="1"/>
        <v>0</v>
      </c>
    </row>
    <row r="111" spans="1:8" ht="39" customHeight="1" thickBot="1">
      <c r="A111" s="273">
        <v>8</v>
      </c>
      <c r="B111" s="948" t="s">
        <v>96</v>
      </c>
      <c r="C111" s="925" t="s">
        <v>717</v>
      </c>
      <c r="D111" s="949"/>
      <c r="E111" s="950">
        <v>60</v>
      </c>
      <c r="F111" s="258"/>
      <c r="G111">
        <v>1000</v>
      </c>
      <c r="H111" s="562">
        <f t="shared" si="1"/>
        <v>60000</v>
      </c>
    </row>
    <row r="112" spans="1:8" ht="26.25" customHeight="1" thickBot="1">
      <c r="A112" s="1114">
        <v>9</v>
      </c>
      <c r="B112" s="1115" t="s">
        <v>721</v>
      </c>
      <c r="C112" s="1116" t="s">
        <v>649</v>
      </c>
      <c r="D112" s="1117"/>
      <c r="E112" s="345">
        <v>60</v>
      </c>
      <c r="F112" s="351"/>
      <c r="G112" s="342">
        <v>1000</v>
      </c>
      <c r="H112" s="92">
        <f t="shared" si="1"/>
        <v>60000</v>
      </c>
    </row>
    <row r="113" spans="1:8" ht="26.25" customHeight="1" thickBot="1">
      <c r="A113" s="273">
        <v>10</v>
      </c>
      <c r="B113" s="948" t="s">
        <v>205</v>
      </c>
      <c r="C113" s="925" t="s">
        <v>649</v>
      </c>
      <c r="D113" s="949"/>
      <c r="E113" s="950">
        <v>30</v>
      </c>
      <c r="F113" s="258"/>
      <c r="G113">
        <v>1000</v>
      </c>
      <c r="H113" s="562">
        <f t="shared" si="1"/>
        <v>30000</v>
      </c>
    </row>
    <row r="114" spans="1:8" ht="39" customHeight="1" thickBot="1">
      <c r="A114" s="273">
        <v>11</v>
      </c>
      <c r="B114" s="948" t="s">
        <v>685</v>
      </c>
      <c r="C114" s="925" t="s">
        <v>649</v>
      </c>
      <c r="D114" s="949">
        <v>90</v>
      </c>
      <c r="E114" s="372"/>
      <c r="F114" s="258"/>
      <c r="G114">
        <v>1000</v>
      </c>
      <c r="H114" s="562">
        <f t="shared" si="1"/>
        <v>0</v>
      </c>
    </row>
    <row r="115" spans="1:8" ht="39" customHeight="1" thickBot="1">
      <c r="A115" s="273">
        <v>12</v>
      </c>
      <c r="B115" s="948" t="s">
        <v>687</v>
      </c>
      <c r="C115" s="925" t="s">
        <v>649</v>
      </c>
      <c r="D115" s="949">
        <v>60</v>
      </c>
      <c r="E115" s="372"/>
      <c r="F115" s="258"/>
      <c r="G115">
        <v>1000</v>
      </c>
      <c r="H115" s="562">
        <f t="shared" si="1"/>
        <v>0</v>
      </c>
    </row>
    <row r="116" spans="1:8" ht="39" customHeight="1" thickBot="1">
      <c r="A116" s="273">
        <v>13</v>
      </c>
      <c r="B116" s="948" t="s">
        <v>81</v>
      </c>
      <c r="C116" s="925" t="s">
        <v>649</v>
      </c>
      <c r="D116" s="949"/>
      <c r="E116" s="950">
        <v>60</v>
      </c>
      <c r="F116" s="258"/>
      <c r="G116">
        <v>1000</v>
      </c>
      <c r="H116" s="562">
        <f t="shared" si="1"/>
        <v>60000</v>
      </c>
    </row>
    <row r="117" spans="1:8" ht="39" customHeight="1" thickBot="1">
      <c r="A117" s="273">
        <v>14</v>
      </c>
      <c r="B117" s="948" t="s">
        <v>684</v>
      </c>
      <c r="C117" s="925" t="s">
        <v>649</v>
      </c>
      <c r="D117" s="949">
        <v>60</v>
      </c>
      <c r="E117" s="372"/>
      <c r="F117" s="258"/>
      <c r="G117">
        <v>1000</v>
      </c>
      <c r="H117" s="562">
        <f t="shared" si="1"/>
        <v>0</v>
      </c>
    </row>
    <row r="118" spans="1:8" ht="26.25" customHeight="1" thickBot="1">
      <c r="A118" s="273">
        <v>15</v>
      </c>
      <c r="B118" s="948" t="s">
        <v>683</v>
      </c>
      <c r="C118" s="925" t="s">
        <v>646</v>
      </c>
      <c r="D118" s="949">
        <v>90</v>
      </c>
      <c r="E118" s="372"/>
      <c r="F118" s="258"/>
      <c r="G118">
        <v>1000</v>
      </c>
      <c r="H118" s="562">
        <f t="shared" si="1"/>
        <v>0</v>
      </c>
    </row>
    <row r="119" spans="1:8" ht="26.25" customHeight="1" thickBot="1">
      <c r="A119" s="273">
        <v>16</v>
      </c>
      <c r="B119" s="948" t="s">
        <v>723</v>
      </c>
      <c r="C119" s="925" t="s">
        <v>646</v>
      </c>
      <c r="D119" s="949">
        <v>180</v>
      </c>
      <c r="E119" s="372"/>
      <c r="F119" s="258"/>
      <c r="G119">
        <v>1000</v>
      </c>
      <c r="H119" s="562">
        <f t="shared" si="1"/>
        <v>0</v>
      </c>
    </row>
    <row r="120" spans="1:8" ht="26.25" customHeight="1" thickBot="1">
      <c r="A120" s="273">
        <v>17</v>
      </c>
      <c r="B120" s="948" t="s">
        <v>148</v>
      </c>
      <c r="C120" s="925" t="s">
        <v>646</v>
      </c>
      <c r="D120" s="949"/>
      <c r="E120" s="950">
        <v>60</v>
      </c>
      <c r="F120" s="258"/>
      <c r="G120">
        <v>1000</v>
      </c>
      <c r="H120" s="562">
        <f t="shared" si="1"/>
        <v>60000</v>
      </c>
    </row>
    <row r="121" spans="1:8" ht="39" customHeight="1" thickBot="1">
      <c r="A121" s="273">
        <v>18</v>
      </c>
      <c r="B121" s="948" t="s">
        <v>722</v>
      </c>
      <c r="C121" s="925" t="s">
        <v>646</v>
      </c>
      <c r="D121" s="949">
        <v>120</v>
      </c>
      <c r="E121" s="372"/>
      <c r="F121" s="258"/>
      <c r="G121">
        <v>1000</v>
      </c>
      <c r="H121" s="562">
        <f t="shared" si="1"/>
        <v>0</v>
      </c>
    </row>
    <row r="122" spans="1:8" ht="51.75" customHeight="1" thickBot="1">
      <c r="A122" s="273">
        <v>19</v>
      </c>
      <c r="B122" s="948" t="s">
        <v>289</v>
      </c>
      <c r="C122" s="925" t="s">
        <v>646</v>
      </c>
      <c r="D122" s="949"/>
      <c r="E122" s="950">
        <v>390</v>
      </c>
      <c r="F122" s="258"/>
      <c r="G122">
        <v>1000</v>
      </c>
      <c r="H122" s="562">
        <f t="shared" si="1"/>
        <v>390000</v>
      </c>
    </row>
    <row r="123" spans="1:8" ht="26.25" customHeight="1" thickBot="1">
      <c r="A123" s="273">
        <v>20</v>
      </c>
      <c r="B123" s="948" t="s">
        <v>688</v>
      </c>
      <c r="C123" s="925" t="s">
        <v>650</v>
      </c>
      <c r="D123" s="949">
        <v>60</v>
      </c>
      <c r="E123" s="372"/>
      <c r="F123" s="258"/>
      <c r="G123">
        <v>1000</v>
      </c>
      <c r="H123" s="562">
        <f t="shared" si="1"/>
        <v>0</v>
      </c>
    </row>
    <row r="124" spans="1:8" ht="26.25" customHeight="1" thickBot="1">
      <c r="A124" s="273">
        <v>21</v>
      </c>
      <c r="B124" s="948" t="s">
        <v>91</v>
      </c>
      <c r="C124" s="925" t="s">
        <v>650</v>
      </c>
      <c r="D124" s="949"/>
      <c r="E124" s="950">
        <v>60</v>
      </c>
      <c r="F124" s="258"/>
      <c r="G124">
        <v>1000</v>
      </c>
      <c r="H124" s="562">
        <f t="shared" si="1"/>
        <v>60000</v>
      </c>
    </row>
    <row r="125" spans="1:8" ht="26.25" customHeight="1" thickBot="1">
      <c r="A125" s="273">
        <v>22</v>
      </c>
      <c r="B125" s="948" t="s">
        <v>727</v>
      </c>
      <c r="C125" s="925" t="s">
        <v>650</v>
      </c>
      <c r="D125" s="949">
        <v>90</v>
      </c>
      <c r="E125" s="372"/>
      <c r="F125" s="258"/>
      <c r="G125">
        <v>1000</v>
      </c>
      <c r="H125" s="562">
        <f t="shared" si="1"/>
        <v>0</v>
      </c>
    </row>
    <row r="126" spans="1:8" ht="26.25" customHeight="1" thickBot="1">
      <c r="A126" s="273">
        <v>23</v>
      </c>
      <c r="B126" s="948" t="s">
        <v>46</v>
      </c>
      <c r="C126" s="925" t="s">
        <v>653</v>
      </c>
      <c r="D126" s="949"/>
      <c r="E126" s="950">
        <v>90</v>
      </c>
      <c r="F126" s="258"/>
      <c r="G126">
        <v>1000</v>
      </c>
      <c r="H126" s="562">
        <f t="shared" si="1"/>
        <v>90000</v>
      </c>
    </row>
    <row r="127" spans="1:8" ht="39" customHeight="1" thickBot="1">
      <c r="A127" s="273">
        <v>24</v>
      </c>
      <c r="B127" s="948" t="s">
        <v>689</v>
      </c>
      <c r="C127" s="925" t="s">
        <v>653</v>
      </c>
      <c r="D127" s="949">
        <v>150</v>
      </c>
      <c r="E127" s="372"/>
      <c r="F127" s="258"/>
      <c r="G127">
        <v>1000</v>
      </c>
      <c r="H127" s="562">
        <f t="shared" si="1"/>
        <v>0</v>
      </c>
    </row>
    <row r="128" spans="1:8" ht="39" customHeight="1" thickBot="1">
      <c r="A128" s="273">
        <v>25</v>
      </c>
      <c r="B128" s="948" t="s">
        <v>690</v>
      </c>
      <c r="C128" s="925" t="s">
        <v>653</v>
      </c>
      <c r="D128" s="949" t="s">
        <v>1239</v>
      </c>
      <c r="E128" s="950">
        <v>90</v>
      </c>
      <c r="F128" s="258"/>
      <c r="G128">
        <v>1000</v>
      </c>
      <c r="H128" s="562">
        <f t="shared" si="1"/>
        <v>90000</v>
      </c>
    </row>
    <row r="129" spans="1:8" ht="26.25" customHeight="1" thickBot="1">
      <c r="A129" s="273">
        <v>26</v>
      </c>
      <c r="B129" s="948" t="s">
        <v>655</v>
      </c>
      <c r="C129" s="925" t="s">
        <v>653</v>
      </c>
      <c r="D129" s="949">
        <v>60</v>
      </c>
      <c r="E129" s="372"/>
      <c r="F129" s="258"/>
      <c r="G129">
        <v>1000</v>
      </c>
      <c r="H129" s="562">
        <f t="shared" si="1"/>
        <v>0</v>
      </c>
    </row>
    <row r="130" spans="1:8" ht="26.25" customHeight="1" thickBot="1">
      <c r="A130" s="273">
        <v>27</v>
      </c>
      <c r="B130" s="948" t="s">
        <v>693</v>
      </c>
      <c r="C130" s="925" t="s">
        <v>668</v>
      </c>
      <c r="D130" s="949">
        <v>270</v>
      </c>
      <c r="E130" s="372"/>
      <c r="F130" s="258"/>
      <c r="G130">
        <v>1000</v>
      </c>
      <c r="H130" s="562">
        <f t="shared" si="1"/>
        <v>0</v>
      </c>
    </row>
    <row r="131" spans="1:8" ht="39" customHeight="1" thickBot="1">
      <c r="A131" s="273">
        <v>28</v>
      </c>
      <c r="B131" s="948" t="s">
        <v>672</v>
      </c>
      <c r="C131" s="925" t="s">
        <v>668</v>
      </c>
      <c r="D131" s="949">
        <v>60</v>
      </c>
      <c r="E131" s="372"/>
      <c r="F131" s="258"/>
      <c r="G131">
        <v>1000</v>
      </c>
      <c r="H131" s="562">
        <f t="shared" si="1"/>
        <v>0</v>
      </c>
    </row>
    <row r="132" spans="1:8" ht="39" customHeight="1" thickBot="1">
      <c r="A132" s="273">
        <v>29</v>
      </c>
      <c r="B132" s="948" t="s">
        <v>150</v>
      </c>
      <c r="C132" s="925" t="s">
        <v>674</v>
      </c>
      <c r="D132" s="949"/>
      <c r="E132" s="950">
        <v>150</v>
      </c>
      <c r="F132" s="258"/>
      <c r="G132">
        <v>1000</v>
      </c>
      <c r="H132" s="562">
        <f t="shared" si="1"/>
        <v>150000</v>
      </c>
    </row>
    <row r="133" spans="1:8" ht="16.5" thickBot="1">
      <c r="A133" s="273">
        <v>30</v>
      </c>
      <c r="B133" s="948" t="s">
        <v>1473</v>
      </c>
      <c r="C133" s="925" t="s">
        <v>674</v>
      </c>
      <c r="D133" s="949"/>
      <c r="E133" s="950">
        <v>60</v>
      </c>
      <c r="F133" s="258"/>
      <c r="G133">
        <v>1000</v>
      </c>
      <c r="H133" s="562">
        <f t="shared" si="1"/>
        <v>60000</v>
      </c>
    </row>
    <row r="134" spans="1:8" ht="16.5" thickBot="1">
      <c r="A134" s="1091" t="s">
        <v>676</v>
      </c>
      <c r="B134" s="1092"/>
      <c r="C134" s="712"/>
      <c r="D134" s="714" t="s">
        <v>889</v>
      </c>
      <c r="E134" s="1087" t="s">
        <v>1746</v>
      </c>
      <c r="F134" s="806"/>
    </row>
    <row r="135" spans="1:8" ht="16.5" thickBot="1">
      <c r="A135" s="961" t="s">
        <v>753</v>
      </c>
      <c r="B135" s="962"/>
      <c r="C135" s="958"/>
      <c r="D135" s="1093" t="s">
        <v>1747</v>
      </c>
      <c r="E135" s="1094"/>
      <c r="F135" s="806"/>
    </row>
    <row r="136" spans="1:8">
      <c r="A136" s="1088"/>
    </row>
    <row r="137" spans="1:8" ht="15.75">
      <c r="A137" s="365" t="s">
        <v>1748</v>
      </c>
    </row>
    <row r="138" spans="1:8" ht="15.75">
      <c r="A138" s="1073"/>
    </row>
    <row r="139" spans="1:8" ht="16.5">
      <c r="A139" s="246"/>
      <c r="B139" s="248"/>
    </row>
    <row r="140" spans="1:8" ht="15.75">
      <c r="A140" s="205" t="s">
        <v>1749</v>
      </c>
    </row>
    <row r="141" spans="1:8">
      <c r="A141" s="686" t="s">
        <v>1750</v>
      </c>
    </row>
    <row r="142" spans="1:8" ht="16.5" thickBot="1">
      <c r="A142" s="232" t="s">
        <v>1751</v>
      </c>
    </row>
    <row r="143" spans="1:8" ht="28.5" customHeight="1" thickBot="1">
      <c r="A143" s="939" t="s">
        <v>0</v>
      </c>
      <c r="B143" s="939" t="s">
        <v>121</v>
      </c>
      <c r="C143" s="939" t="s">
        <v>632</v>
      </c>
      <c r="D143" s="941" t="s">
        <v>894</v>
      </c>
      <c r="E143" s="942"/>
      <c r="F143" s="939" t="s">
        <v>699</v>
      </c>
    </row>
    <row r="144" spans="1:8" ht="15.75" thickBot="1">
      <c r="A144" s="943"/>
      <c r="B144" s="943"/>
      <c r="C144" s="943"/>
      <c r="D144" s="940" t="s">
        <v>828</v>
      </c>
      <c r="E144" s="940" t="s">
        <v>829</v>
      </c>
      <c r="F144" s="943"/>
    </row>
    <row r="145" spans="1:8" s="342" customFormat="1" ht="15.75" thickBot="1">
      <c r="A145" s="1108">
        <v>1</v>
      </c>
      <c r="B145" s="1109" t="s">
        <v>639</v>
      </c>
      <c r="C145" s="1110" t="s">
        <v>636</v>
      </c>
      <c r="D145" s="1111"/>
      <c r="E145" s="1112">
        <v>3000</v>
      </c>
      <c r="F145" s="1113"/>
      <c r="H145" s="92">
        <f>E145</f>
        <v>3000</v>
      </c>
    </row>
    <row r="146" spans="1:8" ht="39" customHeight="1" thickBot="1">
      <c r="A146" s="694">
        <v>2</v>
      </c>
      <c r="B146" s="707" t="s">
        <v>210</v>
      </c>
      <c r="C146" s="708" t="s">
        <v>636</v>
      </c>
      <c r="D146" s="710"/>
      <c r="E146" s="709">
        <v>18000</v>
      </c>
      <c r="F146" s="314"/>
      <c r="H146" s="562">
        <f t="shared" ref="H146:H201" si="2">E146</f>
        <v>18000</v>
      </c>
    </row>
    <row r="147" spans="1:8" ht="26.25" customHeight="1" thickBot="1">
      <c r="A147" s="694">
        <v>3</v>
      </c>
      <c r="B147" s="707" t="s">
        <v>98</v>
      </c>
      <c r="C147" s="708" t="s">
        <v>636</v>
      </c>
      <c r="D147" s="710"/>
      <c r="E147" s="709">
        <v>6000</v>
      </c>
      <c r="F147" s="314"/>
      <c r="H147" s="562">
        <f t="shared" si="2"/>
        <v>6000</v>
      </c>
    </row>
    <row r="148" spans="1:8" ht="26.25" customHeight="1" thickBot="1">
      <c r="A148" s="694">
        <v>4</v>
      </c>
      <c r="B148" s="707" t="s">
        <v>744</v>
      </c>
      <c r="C148" s="708" t="s">
        <v>636</v>
      </c>
      <c r="D148" s="709">
        <v>23000</v>
      </c>
      <c r="E148" s="312"/>
      <c r="F148" s="314"/>
      <c r="H148" s="562">
        <f t="shared" si="2"/>
        <v>0</v>
      </c>
    </row>
    <row r="149" spans="1:8" ht="26.25" customHeight="1" thickBot="1">
      <c r="A149" s="694">
        <v>5</v>
      </c>
      <c r="B149" s="707" t="s">
        <v>644</v>
      </c>
      <c r="C149" s="708" t="s">
        <v>642</v>
      </c>
      <c r="D149" s="710"/>
      <c r="E149" s="709">
        <v>20000</v>
      </c>
      <c r="F149" s="314"/>
      <c r="H149" s="562">
        <f t="shared" si="2"/>
        <v>20000</v>
      </c>
    </row>
    <row r="150" spans="1:8" ht="26.25" customHeight="1" thickBot="1">
      <c r="A150" s="694">
        <v>6</v>
      </c>
      <c r="B150" s="707" t="s">
        <v>1458</v>
      </c>
      <c r="C150" s="708" t="s">
        <v>642</v>
      </c>
      <c r="D150" s="710"/>
      <c r="E150" s="709">
        <v>20000</v>
      </c>
      <c r="F150" s="314"/>
      <c r="H150" s="562">
        <f t="shared" si="2"/>
        <v>20000</v>
      </c>
    </row>
    <row r="151" spans="1:8" ht="39" customHeight="1" thickBot="1">
      <c r="A151" s="694">
        <v>7</v>
      </c>
      <c r="B151" s="707" t="s">
        <v>65</v>
      </c>
      <c r="C151" s="708" t="s">
        <v>646</v>
      </c>
      <c r="D151" s="710"/>
      <c r="E151" s="709">
        <v>18000</v>
      </c>
      <c r="F151" s="314"/>
      <c r="H151" s="562">
        <f t="shared" si="2"/>
        <v>18000</v>
      </c>
    </row>
    <row r="152" spans="1:8" ht="51.75" customHeight="1" thickBot="1">
      <c r="A152" s="694">
        <v>8</v>
      </c>
      <c r="B152" s="707" t="s">
        <v>289</v>
      </c>
      <c r="C152" s="708" t="s">
        <v>646</v>
      </c>
      <c r="D152" s="710"/>
      <c r="E152" s="709">
        <v>24000</v>
      </c>
      <c r="F152" s="314"/>
      <c r="H152" s="562">
        <f t="shared" si="2"/>
        <v>24000</v>
      </c>
    </row>
    <row r="153" spans="1:8" s="342" customFormat="1" ht="26.25" customHeight="1" thickBot="1">
      <c r="A153" s="1108">
        <v>9</v>
      </c>
      <c r="B153" s="1109" t="s">
        <v>831</v>
      </c>
      <c r="C153" s="1110" t="s">
        <v>649</v>
      </c>
      <c r="D153" s="1111"/>
      <c r="E153" s="1112">
        <v>60000</v>
      </c>
      <c r="F153" s="1113"/>
      <c r="H153" s="92">
        <f t="shared" si="2"/>
        <v>60000</v>
      </c>
    </row>
    <row r="154" spans="1:8" ht="26.25" customHeight="1" thickBot="1">
      <c r="A154" s="694">
        <v>10</v>
      </c>
      <c r="B154" s="707" t="s">
        <v>91</v>
      </c>
      <c r="C154" s="708" t="s">
        <v>650</v>
      </c>
      <c r="D154" s="710"/>
      <c r="E154" s="709">
        <v>52000</v>
      </c>
      <c r="F154" s="314"/>
      <c r="H154" s="562">
        <f t="shared" si="2"/>
        <v>52000</v>
      </c>
    </row>
    <row r="155" spans="1:8" ht="26.25" customHeight="1" thickBot="1">
      <c r="A155" s="694">
        <v>11</v>
      </c>
      <c r="B155" s="707" t="s">
        <v>1401</v>
      </c>
      <c r="C155" s="708" t="s">
        <v>650</v>
      </c>
      <c r="D155" s="709">
        <v>6000</v>
      </c>
      <c r="E155" s="314"/>
      <c r="F155" s="314"/>
      <c r="H155" s="562">
        <f t="shared" si="2"/>
        <v>0</v>
      </c>
    </row>
    <row r="156" spans="1:8" ht="39" customHeight="1" thickBot="1">
      <c r="A156" s="694">
        <v>12</v>
      </c>
      <c r="B156" s="707" t="s">
        <v>83</v>
      </c>
      <c r="C156" s="708" t="s">
        <v>650</v>
      </c>
      <c r="D156" s="710"/>
      <c r="E156" s="709">
        <v>26000</v>
      </c>
      <c r="F156" s="314"/>
      <c r="H156" s="562">
        <f t="shared" si="2"/>
        <v>26000</v>
      </c>
    </row>
    <row r="157" spans="1:8" ht="26.25" customHeight="1" thickBot="1">
      <c r="A157" s="694">
        <v>13</v>
      </c>
      <c r="B157" s="707" t="s">
        <v>147</v>
      </c>
      <c r="C157" s="708" t="s">
        <v>653</v>
      </c>
      <c r="D157" s="710"/>
      <c r="E157" s="709">
        <v>12000</v>
      </c>
      <c r="F157" s="314"/>
      <c r="H157" s="562">
        <f t="shared" si="2"/>
        <v>12000</v>
      </c>
    </row>
    <row r="158" spans="1:8" ht="39" customHeight="1" thickBot="1">
      <c r="A158" s="694">
        <v>14</v>
      </c>
      <c r="B158" s="707" t="s">
        <v>138</v>
      </c>
      <c r="C158" s="708" t="s">
        <v>653</v>
      </c>
      <c r="D158" s="710"/>
      <c r="E158" s="709">
        <v>9000</v>
      </c>
      <c r="F158" s="314"/>
      <c r="H158" s="562">
        <f t="shared" si="2"/>
        <v>9000</v>
      </c>
    </row>
    <row r="159" spans="1:8" ht="26.25" customHeight="1" thickBot="1">
      <c r="A159" s="694">
        <v>15</v>
      </c>
      <c r="B159" s="707" t="s">
        <v>46</v>
      </c>
      <c r="C159" s="708" t="s">
        <v>653</v>
      </c>
      <c r="D159" s="710"/>
      <c r="E159" s="709">
        <v>63000</v>
      </c>
      <c r="F159" s="314"/>
      <c r="H159" s="562">
        <f t="shared" si="2"/>
        <v>63000</v>
      </c>
    </row>
    <row r="160" spans="1:8" ht="39" customHeight="1" thickBot="1">
      <c r="A160" s="694">
        <v>16</v>
      </c>
      <c r="B160" s="707" t="s">
        <v>689</v>
      </c>
      <c r="C160" s="708" t="s">
        <v>653</v>
      </c>
      <c r="D160" s="709">
        <v>38000</v>
      </c>
      <c r="E160" s="314"/>
      <c r="F160" s="314"/>
      <c r="H160" s="562">
        <f t="shared" si="2"/>
        <v>0</v>
      </c>
    </row>
    <row r="161" spans="1:8" ht="39" customHeight="1" thickBot="1">
      <c r="A161" s="694">
        <v>17</v>
      </c>
      <c r="B161" s="707" t="s">
        <v>56</v>
      </c>
      <c r="C161" s="708" t="s">
        <v>653</v>
      </c>
      <c r="D161" s="710"/>
      <c r="E161" s="709">
        <v>20000</v>
      </c>
      <c r="F161" s="314"/>
      <c r="H161" s="562">
        <f t="shared" si="2"/>
        <v>20000</v>
      </c>
    </row>
    <row r="162" spans="1:8" ht="51.75" customHeight="1" thickBot="1">
      <c r="A162" s="694">
        <v>18</v>
      </c>
      <c r="B162" s="707" t="s">
        <v>435</v>
      </c>
      <c r="C162" s="708" t="s">
        <v>668</v>
      </c>
      <c r="D162" s="710"/>
      <c r="E162" s="709">
        <v>43000</v>
      </c>
      <c r="F162" s="314"/>
      <c r="H162" s="562">
        <f t="shared" si="2"/>
        <v>43000</v>
      </c>
    </row>
    <row r="163" spans="1:8" ht="39" customHeight="1" thickBot="1">
      <c r="A163" s="694">
        <v>19</v>
      </c>
      <c r="B163" s="707" t="s">
        <v>262</v>
      </c>
      <c r="C163" s="708" t="s">
        <v>668</v>
      </c>
      <c r="D163" s="710"/>
      <c r="E163" s="709">
        <v>92000</v>
      </c>
      <c r="F163" s="314"/>
      <c r="H163" s="562">
        <f t="shared" si="2"/>
        <v>92000</v>
      </c>
    </row>
    <row r="164" spans="1:8" ht="26.25" customHeight="1" thickBot="1">
      <c r="A164" s="694">
        <v>20</v>
      </c>
      <c r="B164" s="707" t="s">
        <v>213</v>
      </c>
      <c r="C164" s="708" t="s">
        <v>668</v>
      </c>
      <c r="D164" s="710"/>
      <c r="E164" s="709">
        <v>3000</v>
      </c>
      <c r="F164" s="314"/>
      <c r="H164" s="562">
        <f t="shared" si="2"/>
        <v>3000</v>
      </c>
    </row>
    <row r="165" spans="1:8" ht="26.25" customHeight="1" thickBot="1">
      <c r="A165" s="694">
        <v>21</v>
      </c>
      <c r="B165" s="707" t="s">
        <v>29</v>
      </c>
      <c r="C165" s="708" t="s">
        <v>668</v>
      </c>
      <c r="D165" s="710"/>
      <c r="E165" s="709">
        <v>49000</v>
      </c>
      <c r="F165" s="314"/>
      <c r="H165" s="562">
        <f t="shared" si="2"/>
        <v>49000</v>
      </c>
    </row>
    <row r="166" spans="1:8" ht="39" customHeight="1" thickBot="1">
      <c r="A166" s="694">
        <v>22</v>
      </c>
      <c r="B166" s="707" t="s">
        <v>672</v>
      </c>
      <c r="C166" s="708" t="s">
        <v>668</v>
      </c>
      <c r="D166" s="709">
        <v>18000</v>
      </c>
      <c r="E166" s="312"/>
      <c r="F166" s="314"/>
      <c r="H166" s="562">
        <f t="shared" si="2"/>
        <v>0</v>
      </c>
    </row>
    <row r="167" spans="1:8" ht="39" customHeight="1" thickBot="1">
      <c r="A167" s="694">
        <v>23</v>
      </c>
      <c r="B167" s="707" t="s">
        <v>25</v>
      </c>
      <c r="C167" s="708" t="s">
        <v>668</v>
      </c>
      <c r="D167" s="710"/>
      <c r="E167" s="709">
        <v>6000</v>
      </c>
      <c r="F167" s="314"/>
      <c r="H167" s="562">
        <f t="shared" si="2"/>
        <v>6000</v>
      </c>
    </row>
    <row r="168" spans="1:8" ht="39" customHeight="1" thickBot="1">
      <c r="A168" s="694">
        <v>24</v>
      </c>
      <c r="B168" s="707" t="s">
        <v>39</v>
      </c>
      <c r="C168" s="708" t="s">
        <v>668</v>
      </c>
      <c r="D168" s="710"/>
      <c r="E168" s="709">
        <v>66000</v>
      </c>
      <c r="F168" s="314"/>
      <c r="H168" s="562">
        <f t="shared" si="2"/>
        <v>66000</v>
      </c>
    </row>
    <row r="169" spans="1:8" ht="39" customHeight="1" thickBot="1">
      <c r="A169" s="694">
        <v>25</v>
      </c>
      <c r="B169" s="707" t="s">
        <v>692</v>
      </c>
      <c r="C169" s="708" t="s">
        <v>668</v>
      </c>
      <c r="D169" s="709">
        <v>3000</v>
      </c>
      <c r="E169" s="449"/>
      <c r="F169" s="314"/>
      <c r="H169" s="562">
        <f t="shared" si="2"/>
        <v>0</v>
      </c>
    </row>
    <row r="170" spans="1:8" ht="26.25" customHeight="1" thickBot="1">
      <c r="A170" s="694">
        <v>26</v>
      </c>
      <c r="B170" s="707" t="s">
        <v>1316</v>
      </c>
      <c r="C170" s="708" t="s">
        <v>668</v>
      </c>
      <c r="D170" s="710"/>
      <c r="E170" s="709">
        <v>40000</v>
      </c>
      <c r="F170" s="314"/>
      <c r="H170" s="562">
        <f t="shared" si="2"/>
        <v>40000</v>
      </c>
    </row>
    <row r="171" spans="1:8" ht="26.25" customHeight="1" thickBot="1">
      <c r="A171" s="309">
        <v>27</v>
      </c>
      <c r="B171" s="707" t="s">
        <v>31</v>
      </c>
      <c r="C171" s="708" t="s">
        <v>668</v>
      </c>
      <c r="D171" s="710"/>
      <c r="E171" s="709">
        <v>20000</v>
      </c>
      <c r="F171" s="314"/>
      <c r="H171" s="562">
        <f t="shared" si="2"/>
        <v>20000</v>
      </c>
    </row>
    <row r="172" spans="1:8" ht="39" customHeight="1" thickBot="1">
      <c r="A172" s="309">
        <v>28</v>
      </c>
      <c r="B172" s="707" t="s">
        <v>295</v>
      </c>
      <c r="C172" s="708" t="s">
        <v>668</v>
      </c>
      <c r="D172" s="710"/>
      <c r="E172" s="709">
        <v>20000</v>
      </c>
      <c r="F172" s="314"/>
      <c r="H172" s="562">
        <f t="shared" si="2"/>
        <v>20000</v>
      </c>
    </row>
    <row r="173" spans="1:8" ht="26.25" customHeight="1" thickBot="1">
      <c r="A173" s="309">
        <v>29</v>
      </c>
      <c r="B173" s="707" t="s">
        <v>742</v>
      </c>
      <c r="C173" s="708" t="s">
        <v>674</v>
      </c>
      <c r="D173" s="709">
        <v>9000</v>
      </c>
      <c r="E173" s="314"/>
      <c r="F173" s="314"/>
      <c r="H173" s="562">
        <f t="shared" si="2"/>
        <v>0</v>
      </c>
    </row>
    <row r="174" spans="1:8" ht="39" customHeight="1" thickBot="1">
      <c r="A174" s="309">
        <v>30</v>
      </c>
      <c r="B174" s="707" t="s">
        <v>675</v>
      </c>
      <c r="C174" s="708" t="s">
        <v>674</v>
      </c>
      <c r="D174" s="709">
        <v>3000</v>
      </c>
      <c r="E174" s="314"/>
      <c r="F174" s="314"/>
      <c r="H174" s="562">
        <f t="shared" si="2"/>
        <v>0</v>
      </c>
    </row>
    <row r="175" spans="1:8" ht="15.75" thickBot="1">
      <c r="A175" s="309">
        <v>31</v>
      </c>
      <c r="B175" s="707" t="s">
        <v>1473</v>
      </c>
      <c r="C175" s="708" t="s">
        <v>674</v>
      </c>
      <c r="D175" s="710"/>
      <c r="E175" s="709">
        <v>43000</v>
      </c>
      <c r="F175" s="314"/>
      <c r="H175" s="562">
        <f t="shared" si="2"/>
        <v>43000</v>
      </c>
    </row>
    <row r="176" spans="1:8" ht="15.75" thickBot="1">
      <c r="A176" s="700" t="s">
        <v>758</v>
      </c>
      <c r="B176" s="701"/>
      <c r="C176" s="318"/>
      <c r="D176" s="695">
        <v>100000</v>
      </c>
      <c r="E176" s="695">
        <v>733000</v>
      </c>
      <c r="F176" s="696"/>
      <c r="H176" s="562">
        <f t="shared" si="2"/>
        <v>733000</v>
      </c>
    </row>
    <row r="177" spans="1:8" ht="15.75" customHeight="1" thickBot="1">
      <c r="A177" s="700" t="s">
        <v>864</v>
      </c>
      <c r="B177" s="701"/>
      <c r="C177" s="318"/>
      <c r="D177" s="702">
        <v>833000</v>
      </c>
      <c r="E177" s="703"/>
      <c r="F177" s="697"/>
      <c r="H177" s="562">
        <f t="shared" si="2"/>
        <v>0</v>
      </c>
    </row>
    <row r="178" spans="1:8">
      <c r="A178" s="244" t="s">
        <v>1752</v>
      </c>
      <c r="H178" s="562">
        <f t="shared" si="2"/>
        <v>0</v>
      </c>
    </row>
    <row r="179" spans="1:8">
      <c r="H179" s="562">
        <f t="shared" si="2"/>
        <v>0</v>
      </c>
    </row>
    <row r="180" spans="1:8">
      <c r="H180" s="562">
        <f t="shared" si="2"/>
        <v>0</v>
      </c>
    </row>
    <row r="181" spans="1:8">
      <c r="H181" s="562">
        <f t="shared" si="2"/>
        <v>0</v>
      </c>
    </row>
    <row r="182" spans="1:8">
      <c r="H182" s="562">
        <f t="shared" si="2"/>
        <v>0</v>
      </c>
    </row>
    <row r="183" spans="1:8">
      <c r="H183" s="562">
        <f t="shared" si="2"/>
        <v>0</v>
      </c>
    </row>
    <row r="184" spans="1:8">
      <c r="H184" s="562">
        <f t="shared" si="2"/>
        <v>0</v>
      </c>
    </row>
    <row r="185" spans="1:8">
      <c r="H185" s="562">
        <f t="shared" si="2"/>
        <v>0</v>
      </c>
    </row>
    <row r="186" spans="1:8">
      <c r="H186" s="562">
        <f t="shared" si="2"/>
        <v>0</v>
      </c>
    </row>
    <row r="187" spans="1:8">
      <c r="H187" s="562">
        <f t="shared" si="2"/>
        <v>0</v>
      </c>
    </row>
    <row r="188" spans="1:8">
      <c r="H188" s="562">
        <f t="shared" si="2"/>
        <v>0</v>
      </c>
    </row>
    <row r="189" spans="1:8">
      <c r="H189" s="562">
        <f t="shared" si="2"/>
        <v>0</v>
      </c>
    </row>
    <row r="190" spans="1:8">
      <c r="H190" s="562">
        <f t="shared" si="2"/>
        <v>0</v>
      </c>
    </row>
    <row r="191" spans="1:8">
      <c r="H191" s="562">
        <f t="shared" si="2"/>
        <v>0</v>
      </c>
    </row>
    <row r="192" spans="1:8">
      <c r="H192" s="562">
        <f t="shared" si="2"/>
        <v>0</v>
      </c>
    </row>
    <row r="193" spans="8:8">
      <c r="H193" s="562">
        <f t="shared" si="2"/>
        <v>0</v>
      </c>
    </row>
    <row r="194" spans="8:8">
      <c r="H194" s="562">
        <f t="shared" si="2"/>
        <v>0</v>
      </c>
    </row>
    <row r="195" spans="8:8">
      <c r="H195" s="562">
        <f t="shared" si="2"/>
        <v>0</v>
      </c>
    </row>
    <row r="196" spans="8:8">
      <c r="H196" s="562">
        <f t="shared" si="2"/>
        <v>0</v>
      </c>
    </row>
    <row r="197" spans="8:8">
      <c r="H197" s="562">
        <f t="shared" si="2"/>
        <v>0</v>
      </c>
    </row>
    <row r="198" spans="8:8">
      <c r="H198" s="562">
        <f t="shared" si="2"/>
        <v>0</v>
      </c>
    </row>
    <row r="199" spans="8:8">
      <c r="H199" s="562">
        <f t="shared" si="2"/>
        <v>0</v>
      </c>
    </row>
    <row r="200" spans="8:8">
      <c r="H200" s="562">
        <f t="shared" si="2"/>
        <v>0</v>
      </c>
    </row>
    <row r="201" spans="8:8">
      <c r="H201" s="562">
        <f t="shared" si="2"/>
        <v>0</v>
      </c>
    </row>
  </sheetData>
  <autoFilter ref="A6:H60">
    <filterColumn colId="7">
      <colorFilter dxfId="2" cellColor="0"/>
    </filterColumn>
  </autoFilter>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6"/>
  <sheetViews>
    <sheetView topLeftCell="A22" workbookViewId="0">
      <selection activeCell="G67" sqref="G1:G1048576"/>
    </sheetView>
  </sheetViews>
  <sheetFormatPr defaultRowHeight="15"/>
  <cols>
    <col min="2" max="2" width="29" customWidth="1"/>
    <col min="8" max="8" width="11.5703125" style="561" bestFit="1" customWidth="1"/>
  </cols>
  <sheetData>
    <row r="1" spans="1:8" ht="16.5">
      <c r="A1" s="123" t="s">
        <v>1727</v>
      </c>
    </row>
    <row r="2" spans="1:8" ht="15.75">
      <c r="A2" s="365" t="s">
        <v>1728</v>
      </c>
    </row>
    <row r="3" spans="1:8" ht="15.75" thickBot="1">
      <c r="A3" s="1070"/>
    </row>
    <row r="4" spans="1:8" ht="33" customHeight="1" thickBot="1">
      <c r="A4" s="802" t="s">
        <v>0</v>
      </c>
      <c r="B4" s="802" t="s">
        <v>121</v>
      </c>
      <c r="C4" s="802" t="s">
        <v>632</v>
      </c>
      <c r="D4" s="818" t="s">
        <v>633</v>
      </c>
      <c r="E4" s="819"/>
      <c r="F4" s="1578" t="s">
        <v>699</v>
      </c>
    </row>
    <row r="5" spans="1:8" ht="15.75" customHeight="1" thickBot="1">
      <c r="A5" s="820"/>
      <c r="B5" s="820"/>
      <c r="C5" s="820"/>
      <c r="D5" s="725" t="s">
        <v>739</v>
      </c>
      <c r="E5" s="725" t="s">
        <v>740</v>
      </c>
      <c r="F5" s="1579"/>
    </row>
    <row r="6" spans="1:8" ht="15.75" thickBot="1">
      <c r="A6" s="369">
        <v>1</v>
      </c>
      <c r="B6" s="237" t="s">
        <v>682</v>
      </c>
      <c r="C6" s="236" t="s">
        <v>642</v>
      </c>
      <c r="D6" s="292">
        <v>40</v>
      </c>
      <c r="E6" s="239"/>
      <c r="F6" s="239"/>
      <c r="G6">
        <v>1000</v>
      </c>
      <c r="H6" s="561">
        <f>E6*G6</f>
        <v>0</v>
      </c>
    </row>
    <row r="7" spans="1:8" ht="45.75" customHeight="1" thickBot="1">
      <c r="A7" s="369">
        <v>2</v>
      </c>
      <c r="B7" s="237" t="s">
        <v>94</v>
      </c>
      <c r="C7" s="236" t="s">
        <v>642</v>
      </c>
      <c r="D7" s="303"/>
      <c r="E7" s="239">
        <v>120</v>
      </c>
      <c r="F7" s="239"/>
      <c r="G7">
        <v>1000</v>
      </c>
      <c r="H7" s="561">
        <f t="shared" ref="H7:H55" si="0">E7*G7</f>
        <v>120000</v>
      </c>
    </row>
    <row r="8" spans="1:8" ht="60.75" customHeight="1" thickBot="1">
      <c r="A8" s="369">
        <v>3</v>
      </c>
      <c r="B8" s="237" t="s">
        <v>1651</v>
      </c>
      <c r="C8" s="236" t="s">
        <v>642</v>
      </c>
      <c r="D8" s="303"/>
      <c r="E8" s="239">
        <v>80</v>
      </c>
      <c r="F8" s="239"/>
      <c r="G8">
        <v>1000</v>
      </c>
      <c r="H8" s="561">
        <f t="shared" si="0"/>
        <v>80000</v>
      </c>
    </row>
    <row r="9" spans="1:8" ht="45.75" customHeight="1" thickBot="1">
      <c r="A9" s="369">
        <v>4</v>
      </c>
      <c r="B9" s="237" t="s">
        <v>716</v>
      </c>
      <c r="C9" s="236" t="s">
        <v>642</v>
      </c>
      <c r="D9" s="303"/>
      <c r="E9" s="239">
        <v>40</v>
      </c>
      <c r="F9" s="239"/>
      <c r="G9">
        <v>1000</v>
      </c>
      <c r="H9" s="561">
        <f t="shared" si="0"/>
        <v>40000</v>
      </c>
    </row>
    <row r="10" spans="1:8" ht="45.75" customHeight="1" thickBot="1">
      <c r="A10" s="369">
        <v>5</v>
      </c>
      <c r="B10" s="237" t="s">
        <v>755</v>
      </c>
      <c r="C10" s="236" t="s">
        <v>642</v>
      </c>
      <c r="D10" s="292">
        <v>240</v>
      </c>
      <c r="E10" s="239"/>
      <c r="F10" s="239"/>
      <c r="G10">
        <v>1000</v>
      </c>
      <c r="H10" s="561">
        <f t="shared" si="0"/>
        <v>0</v>
      </c>
    </row>
    <row r="11" spans="1:8" ht="45.75" customHeight="1" thickBot="1">
      <c r="A11" s="369">
        <v>6</v>
      </c>
      <c r="B11" s="237" t="s">
        <v>205</v>
      </c>
      <c r="C11" s="236" t="s">
        <v>649</v>
      </c>
      <c r="D11" s="303"/>
      <c r="E11" s="239">
        <v>120</v>
      </c>
      <c r="F11" s="239"/>
      <c r="G11">
        <v>1000</v>
      </c>
      <c r="H11" s="561">
        <f t="shared" si="0"/>
        <v>120000</v>
      </c>
    </row>
    <row r="12" spans="1:8" ht="45.75" customHeight="1" thickBot="1">
      <c r="A12" s="369">
        <v>7</v>
      </c>
      <c r="B12" s="237" t="s">
        <v>685</v>
      </c>
      <c r="C12" s="236" t="s">
        <v>649</v>
      </c>
      <c r="D12" s="292">
        <v>120</v>
      </c>
      <c r="E12" s="239"/>
      <c r="F12" s="239"/>
      <c r="G12">
        <v>1000</v>
      </c>
      <c r="H12" s="561">
        <f t="shared" si="0"/>
        <v>0</v>
      </c>
    </row>
    <row r="13" spans="1:8" ht="45.75" customHeight="1" thickBot="1">
      <c r="A13" s="369">
        <v>8</v>
      </c>
      <c r="B13" s="237" t="s">
        <v>687</v>
      </c>
      <c r="C13" s="236" t="s">
        <v>649</v>
      </c>
      <c r="D13" s="292">
        <v>80</v>
      </c>
      <c r="E13" s="239"/>
      <c r="F13" s="239"/>
      <c r="G13">
        <v>1000</v>
      </c>
      <c r="H13" s="561">
        <f t="shared" si="0"/>
        <v>0</v>
      </c>
    </row>
    <row r="14" spans="1:8" ht="45.75" customHeight="1" thickBot="1">
      <c r="A14" s="369">
        <v>9</v>
      </c>
      <c r="B14" s="237" t="s">
        <v>684</v>
      </c>
      <c r="C14" s="236" t="s">
        <v>649</v>
      </c>
      <c r="D14" s="292">
        <v>200</v>
      </c>
      <c r="E14" s="239"/>
      <c r="F14" s="239"/>
      <c r="G14">
        <v>1000</v>
      </c>
      <c r="H14" s="561">
        <f t="shared" si="0"/>
        <v>0</v>
      </c>
    </row>
    <row r="15" spans="1:8" ht="45.75" customHeight="1" thickBot="1">
      <c r="A15" s="369">
        <v>10</v>
      </c>
      <c r="B15" s="237" t="s">
        <v>683</v>
      </c>
      <c r="C15" s="236" t="s">
        <v>646</v>
      </c>
      <c r="D15" s="292">
        <v>60</v>
      </c>
      <c r="E15" s="239"/>
      <c r="F15" s="239"/>
      <c r="G15">
        <v>1000</v>
      </c>
      <c r="H15" s="561">
        <f t="shared" si="0"/>
        <v>0</v>
      </c>
    </row>
    <row r="16" spans="1:8" ht="30.75" customHeight="1" thickBot="1">
      <c r="A16" s="369">
        <v>11</v>
      </c>
      <c r="B16" s="237" t="s">
        <v>723</v>
      </c>
      <c r="C16" s="236" t="s">
        <v>646</v>
      </c>
      <c r="D16" s="292">
        <v>40</v>
      </c>
      <c r="E16" s="239"/>
      <c r="F16" s="239"/>
      <c r="G16">
        <v>1000</v>
      </c>
      <c r="H16" s="561">
        <f t="shared" si="0"/>
        <v>0</v>
      </c>
    </row>
    <row r="17" spans="1:8" ht="45.75" customHeight="1" thickBot="1">
      <c r="A17" s="369">
        <v>12</v>
      </c>
      <c r="B17" s="237" t="s">
        <v>168</v>
      </c>
      <c r="C17" s="236" t="s">
        <v>646</v>
      </c>
      <c r="D17" s="303"/>
      <c r="E17" s="239">
        <v>120</v>
      </c>
      <c r="F17" s="239"/>
      <c r="G17">
        <v>1000</v>
      </c>
      <c r="H17" s="561">
        <f t="shared" si="0"/>
        <v>120000</v>
      </c>
    </row>
    <row r="18" spans="1:8" ht="45.75" customHeight="1" thickBot="1">
      <c r="A18" s="369">
        <v>13</v>
      </c>
      <c r="B18" s="237" t="s">
        <v>148</v>
      </c>
      <c r="C18" s="236" t="s">
        <v>646</v>
      </c>
      <c r="D18" s="303"/>
      <c r="E18" s="239">
        <v>60</v>
      </c>
      <c r="F18" s="239"/>
      <c r="G18">
        <v>1000</v>
      </c>
      <c r="H18" s="561">
        <f t="shared" si="0"/>
        <v>60000</v>
      </c>
    </row>
    <row r="19" spans="1:8" ht="45.75" customHeight="1" thickBot="1">
      <c r="A19" s="369">
        <v>14</v>
      </c>
      <c r="B19" s="237" t="s">
        <v>722</v>
      </c>
      <c r="C19" s="236" t="s">
        <v>646</v>
      </c>
      <c r="D19" s="292">
        <v>60</v>
      </c>
      <c r="E19" s="239"/>
      <c r="F19" s="239"/>
      <c r="G19">
        <v>1000</v>
      </c>
      <c r="H19" s="561">
        <f t="shared" si="0"/>
        <v>0</v>
      </c>
    </row>
    <row r="20" spans="1:8" ht="45.75" customHeight="1" thickBot="1">
      <c r="A20" s="369">
        <v>15</v>
      </c>
      <c r="B20" s="237" t="s">
        <v>1434</v>
      </c>
      <c r="C20" s="236" t="s">
        <v>646</v>
      </c>
      <c r="D20" s="303"/>
      <c r="E20" s="239">
        <v>60</v>
      </c>
      <c r="F20" s="239"/>
      <c r="G20">
        <v>1000</v>
      </c>
      <c r="H20" s="561">
        <f t="shared" si="0"/>
        <v>60000</v>
      </c>
    </row>
    <row r="21" spans="1:8" ht="60.75" customHeight="1" thickBot="1">
      <c r="A21" s="369">
        <v>16</v>
      </c>
      <c r="B21" s="237" t="s">
        <v>289</v>
      </c>
      <c r="C21" s="236" t="s">
        <v>646</v>
      </c>
      <c r="D21" s="303"/>
      <c r="E21" s="239">
        <v>260</v>
      </c>
      <c r="F21" s="239"/>
      <c r="G21">
        <v>1000</v>
      </c>
      <c r="H21" s="561">
        <f t="shared" si="0"/>
        <v>260000</v>
      </c>
    </row>
    <row r="22" spans="1:8" ht="30.75" customHeight="1" thickBot="1">
      <c r="A22" s="369">
        <v>17</v>
      </c>
      <c r="B22" s="237" t="s">
        <v>1401</v>
      </c>
      <c r="C22" s="236" t="s">
        <v>650</v>
      </c>
      <c r="D22" s="292">
        <v>80</v>
      </c>
      <c r="E22" s="239"/>
      <c r="F22" s="239"/>
      <c r="G22">
        <v>1000</v>
      </c>
      <c r="H22" s="561">
        <f t="shared" si="0"/>
        <v>0</v>
      </c>
    </row>
    <row r="23" spans="1:8" ht="30.75" customHeight="1" thickBot="1">
      <c r="A23" s="369">
        <v>18</v>
      </c>
      <c r="B23" s="237" t="s">
        <v>688</v>
      </c>
      <c r="C23" s="236" t="s">
        <v>650</v>
      </c>
      <c r="D23" s="292">
        <v>60</v>
      </c>
      <c r="E23" s="239"/>
      <c r="F23" s="239"/>
      <c r="G23">
        <v>1000</v>
      </c>
      <c r="H23" s="561">
        <f t="shared" si="0"/>
        <v>0</v>
      </c>
    </row>
    <row r="24" spans="1:8" ht="30.75" customHeight="1" thickBot="1">
      <c r="A24" s="369">
        <v>19</v>
      </c>
      <c r="B24" s="237" t="s">
        <v>659</v>
      </c>
      <c r="C24" s="236" t="s">
        <v>653</v>
      </c>
      <c r="D24" s="292">
        <v>80</v>
      </c>
      <c r="E24" s="239"/>
      <c r="F24" s="239"/>
      <c r="G24">
        <v>1000</v>
      </c>
      <c r="H24" s="561">
        <f t="shared" si="0"/>
        <v>0</v>
      </c>
    </row>
    <row r="25" spans="1:8" ht="30.75" customHeight="1" thickBot="1">
      <c r="A25" s="369">
        <v>20</v>
      </c>
      <c r="B25" s="237" t="s">
        <v>146</v>
      </c>
      <c r="C25" s="236" t="s">
        <v>653</v>
      </c>
      <c r="D25" s="292">
        <v>80</v>
      </c>
      <c r="E25" s="239"/>
      <c r="F25" s="239"/>
      <c r="G25">
        <v>1000</v>
      </c>
      <c r="H25" s="561">
        <f t="shared" si="0"/>
        <v>0</v>
      </c>
    </row>
    <row r="26" spans="1:8" ht="45.75" customHeight="1" thickBot="1">
      <c r="A26" s="369">
        <v>21</v>
      </c>
      <c r="B26" s="237" t="s">
        <v>689</v>
      </c>
      <c r="C26" s="236" t="s">
        <v>653</v>
      </c>
      <c r="D26" s="292">
        <v>20</v>
      </c>
      <c r="E26" s="239"/>
      <c r="F26" s="239"/>
      <c r="G26">
        <v>1000</v>
      </c>
      <c r="H26" s="561">
        <f t="shared" si="0"/>
        <v>0</v>
      </c>
    </row>
    <row r="27" spans="1:8" ht="45.75" customHeight="1" thickBot="1">
      <c r="A27" s="369">
        <v>22</v>
      </c>
      <c r="B27" s="237" t="s">
        <v>60</v>
      </c>
      <c r="C27" s="236" t="s">
        <v>653</v>
      </c>
      <c r="D27" s="303"/>
      <c r="E27" s="239">
        <v>80</v>
      </c>
      <c r="F27" s="239"/>
      <c r="G27">
        <v>1000</v>
      </c>
      <c r="H27" s="561">
        <f t="shared" si="0"/>
        <v>80000</v>
      </c>
    </row>
    <row r="28" spans="1:8" ht="45.75" customHeight="1" thickBot="1">
      <c r="A28" s="369">
        <v>23</v>
      </c>
      <c r="B28" s="237" t="s">
        <v>690</v>
      </c>
      <c r="C28" s="236" t="s">
        <v>653</v>
      </c>
      <c r="D28" s="303"/>
      <c r="E28" s="239">
        <v>220</v>
      </c>
      <c r="F28" s="239"/>
      <c r="G28">
        <v>1000</v>
      </c>
      <c r="H28" s="561">
        <f t="shared" si="0"/>
        <v>220000</v>
      </c>
    </row>
    <row r="29" spans="1:8" ht="45.75" customHeight="1" thickBot="1">
      <c r="A29" s="369">
        <v>24</v>
      </c>
      <c r="B29" s="237" t="s">
        <v>147</v>
      </c>
      <c r="C29" s="236" t="s">
        <v>653</v>
      </c>
      <c r="D29" s="303"/>
      <c r="E29" s="239">
        <v>100</v>
      </c>
      <c r="F29" s="239"/>
      <c r="G29">
        <v>1000</v>
      </c>
      <c r="H29" s="561">
        <f t="shared" si="0"/>
        <v>100000</v>
      </c>
    </row>
    <row r="30" spans="1:8" ht="30.75" customHeight="1" thickBot="1">
      <c r="A30" s="369">
        <v>25</v>
      </c>
      <c r="B30" s="237" t="s">
        <v>658</v>
      </c>
      <c r="C30" s="236" t="s">
        <v>653</v>
      </c>
      <c r="D30" s="292">
        <v>140</v>
      </c>
      <c r="E30" s="239"/>
      <c r="F30" s="239"/>
      <c r="G30">
        <v>1000</v>
      </c>
      <c r="H30" s="561">
        <f t="shared" si="0"/>
        <v>0</v>
      </c>
    </row>
    <row r="31" spans="1:8" ht="30.75" customHeight="1" thickBot="1">
      <c r="A31" s="369">
        <v>26</v>
      </c>
      <c r="B31" s="237" t="s">
        <v>731</v>
      </c>
      <c r="C31" s="236" t="s">
        <v>668</v>
      </c>
      <c r="D31" s="292">
        <v>40</v>
      </c>
      <c r="E31" s="239"/>
      <c r="F31" s="239"/>
      <c r="G31">
        <v>1000</v>
      </c>
      <c r="H31" s="561">
        <f t="shared" si="0"/>
        <v>0</v>
      </c>
    </row>
    <row r="32" spans="1:8" ht="45.75" customHeight="1" thickBot="1">
      <c r="A32" s="369">
        <v>27</v>
      </c>
      <c r="B32" s="237" t="s">
        <v>732</v>
      </c>
      <c r="C32" s="236" t="s">
        <v>668</v>
      </c>
      <c r="D32" s="292">
        <v>120</v>
      </c>
      <c r="E32" s="239"/>
      <c r="F32" s="239"/>
      <c r="G32">
        <v>1000</v>
      </c>
      <c r="H32" s="561">
        <f t="shared" si="0"/>
        <v>0</v>
      </c>
    </row>
    <row r="33" spans="1:8" ht="60.75" customHeight="1" thickBot="1">
      <c r="A33" s="369">
        <v>28</v>
      </c>
      <c r="B33" s="237" t="s">
        <v>692</v>
      </c>
      <c r="C33" s="236" t="s">
        <v>668</v>
      </c>
      <c r="D33" s="292">
        <v>160</v>
      </c>
      <c r="E33" s="239"/>
      <c r="F33" s="239"/>
      <c r="G33">
        <v>1000</v>
      </c>
      <c r="H33" s="561">
        <f t="shared" si="0"/>
        <v>0</v>
      </c>
    </row>
    <row r="34" spans="1:8" ht="45.75" customHeight="1" thickBot="1">
      <c r="A34" s="369">
        <v>29</v>
      </c>
      <c r="B34" s="237" t="s">
        <v>672</v>
      </c>
      <c r="C34" s="236" t="s">
        <v>668</v>
      </c>
      <c r="D34" s="292">
        <v>120</v>
      </c>
      <c r="E34" s="239"/>
      <c r="F34" s="239"/>
      <c r="G34">
        <v>1000</v>
      </c>
      <c r="H34" s="561">
        <f t="shared" si="0"/>
        <v>0</v>
      </c>
    </row>
    <row r="35" spans="1:8" ht="30.75" customHeight="1" thickBot="1">
      <c r="A35" s="369">
        <v>30</v>
      </c>
      <c r="B35" s="237" t="s">
        <v>671</v>
      </c>
      <c r="C35" s="236" t="s">
        <v>668</v>
      </c>
      <c r="D35" s="292">
        <v>220</v>
      </c>
      <c r="E35" s="239"/>
      <c r="F35" s="239"/>
      <c r="G35">
        <v>1000</v>
      </c>
      <c r="H35" s="561">
        <f t="shared" si="0"/>
        <v>0</v>
      </c>
    </row>
    <row r="36" spans="1:8" ht="45.75" customHeight="1" thickBot="1">
      <c r="A36" s="807">
        <v>31</v>
      </c>
      <c r="B36" s="804" t="s">
        <v>741</v>
      </c>
      <c r="C36" s="304" t="s">
        <v>674</v>
      </c>
      <c r="D36" s="805">
        <v>560</v>
      </c>
      <c r="E36" s="308"/>
      <c r="F36" s="239"/>
      <c r="G36">
        <v>1000</v>
      </c>
      <c r="H36" s="561">
        <f t="shared" si="0"/>
        <v>0</v>
      </c>
    </row>
    <row r="37" spans="1:8" ht="17.25" thickBot="1">
      <c r="A37" s="807">
        <v>32</v>
      </c>
      <c r="B37" s="804" t="s">
        <v>182</v>
      </c>
      <c r="C37" s="304" t="s">
        <v>674</v>
      </c>
      <c r="D37" s="1071"/>
      <c r="E37" s="308">
        <v>40</v>
      </c>
      <c r="F37" s="239"/>
      <c r="G37">
        <v>1000</v>
      </c>
      <c r="H37" s="561">
        <f t="shared" si="0"/>
        <v>40000</v>
      </c>
    </row>
    <row r="38" spans="1:8" ht="29.25" thickBot="1">
      <c r="A38" s="700" t="s">
        <v>676</v>
      </c>
      <c r="B38" s="701"/>
      <c r="C38" s="318"/>
      <c r="D38" s="696" t="s">
        <v>1729</v>
      </c>
      <c r="E38" s="1072" t="s">
        <v>1730</v>
      </c>
      <c r="F38" s="808"/>
      <c r="G38">
        <v>1000</v>
      </c>
    </row>
    <row r="39" spans="1:8" ht="15.75" customHeight="1" thickBot="1">
      <c r="A39" s="825" t="s">
        <v>753</v>
      </c>
      <c r="B39" s="826"/>
      <c r="C39" s="241"/>
      <c r="D39" s="827" t="s">
        <v>1731</v>
      </c>
      <c r="E39" s="828"/>
      <c r="F39" s="808"/>
      <c r="G39">
        <v>1000</v>
      </c>
      <c r="H39" s="561">
        <f t="shared" si="0"/>
        <v>0</v>
      </c>
    </row>
    <row r="40" spans="1:8" ht="15.75">
      <c r="A40" s="365" t="s">
        <v>1732</v>
      </c>
      <c r="G40">
        <v>1000</v>
      </c>
      <c r="H40" s="561">
        <f t="shared" si="0"/>
        <v>0</v>
      </c>
    </row>
    <row r="41" spans="1:8" ht="15.75">
      <c r="A41" s="365"/>
      <c r="G41">
        <v>1000</v>
      </c>
      <c r="H41" s="561">
        <f t="shared" si="0"/>
        <v>0</v>
      </c>
    </row>
    <row r="42" spans="1:8" ht="15.75">
      <c r="A42" s="365"/>
      <c r="G42">
        <v>1000</v>
      </c>
      <c r="H42" s="561">
        <f t="shared" si="0"/>
        <v>0</v>
      </c>
    </row>
    <row r="43" spans="1:8" ht="15.75">
      <c r="A43" s="365"/>
      <c r="G43">
        <v>1000</v>
      </c>
      <c r="H43" s="561">
        <f t="shared" si="0"/>
        <v>0</v>
      </c>
    </row>
    <row r="44" spans="1:8" ht="15.75">
      <c r="A44" s="205"/>
      <c r="G44">
        <v>1000</v>
      </c>
      <c r="H44" s="561">
        <f t="shared" si="0"/>
        <v>0</v>
      </c>
    </row>
    <row r="45" spans="1:8">
      <c r="A45" s="686" t="s">
        <v>1733</v>
      </c>
      <c r="G45">
        <v>1000</v>
      </c>
      <c r="H45" s="561">
        <f t="shared" si="0"/>
        <v>0</v>
      </c>
    </row>
    <row r="46" spans="1:8" ht="15.75">
      <c r="A46" s="232" t="s">
        <v>1734</v>
      </c>
      <c r="G46">
        <v>1000</v>
      </c>
      <c r="H46" s="561">
        <f t="shared" si="0"/>
        <v>0</v>
      </c>
    </row>
    <row r="47" spans="1:8" ht="16.5" thickBot="1">
      <c r="A47" s="232"/>
      <c r="G47">
        <v>1000</v>
      </c>
      <c r="H47" s="561">
        <f t="shared" si="0"/>
        <v>0</v>
      </c>
    </row>
    <row r="48" spans="1:8" ht="28.5" customHeight="1" thickBot="1">
      <c r="A48" s="939" t="s">
        <v>0</v>
      </c>
      <c r="B48" s="939" t="s">
        <v>121</v>
      </c>
      <c r="C48" s="939" t="s">
        <v>632</v>
      </c>
      <c r="D48" s="941" t="s">
        <v>894</v>
      </c>
      <c r="E48" s="942"/>
      <c r="F48" s="1570" t="s">
        <v>699</v>
      </c>
      <c r="G48">
        <v>1000</v>
      </c>
      <c r="H48" s="561">
        <f t="shared" si="0"/>
        <v>0</v>
      </c>
    </row>
    <row r="49" spans="1:8" ht="15.75" thickBot="1">
      <c r="A49" s="943"/>
      <c r="B49" s="943"/>
      <c r="C49" s="943"/>
      <c r="D49" s="940" t="s">
        <v>828</v>
      </c>
      <c r="E49" s="940" t="s">
        <v>829</v>
      </c>
      <c r="F49" s="1571"/>
      <c r="G49">
        <v>1000</v>
      </c>
    </row>
    <row r="50" spans="1:8" ht="33.75" thickBot="1">
      <c r="A50" s="980">
        <v>1</v>
      </c>
      <c r="B50" s="1006" t="s">
        <v>1735</v>
      </c>
      <c r="C50" s="799" t="s">
        <v>674</v>
      </c>
      <c r="D50" s="314">
        <v>500</v>
      </c>
      <c r="E50" s="312"/>
      <c r="F50" s="799" t="s">
        <v>1503</v>
      </c>
      <c r="G50">
        <v>1000</v>
      </c>
      <c r="H50" s="561">
        <f t="shared" si="0"/>
        <v>0</v>
      </c>
    </row>
    <row r="51" spans="1:8" ht="60.75" customHeight="1" thickBot="1">
      <c r="A51" s="980">
        <v>2</v>
      </c>
      <c r="B51" s="1006" t="s">
        <v>289</v>
      </c>
      <c r="C51" s="799" t="s">
        <v>646</v>
      </c>
      <c r="D51" s="312"/>
      <c r="E51" s="314">
        <v>400</v>
      </c>
      <c r="F51" s="799" t="s">
        <v>1504</v>
      </c>
      <c r="G51">
        <v>1000</v>
      </c>
      <c r="H51" s="561">
        <f t="shared" si="0"/>
        <v>400000</v>
      </c>
    </row>
    <row r="52" spans="1:8" ht="45.75" customHeight="1" thickBot="1">
      <c r="A52" s="980">
        <v>3</v>
      </c>
      <c r="B52" s="1006" t="s">
        <v>690</v>
      </c>
      <c r="C52" s="407" t="s">
        <v>653</v>
      </c>
      <c r="D52" s="312"/>
      <c r="E52" s="314">
        <v>150</v>
      </c>
      <c r="F52" s="799" t="s">
        <v>1505</v>
      </c>
      <c r="G52">
        <v>1000</v>
      </c>
      <c r="H52" s="561">
        <f t="shared" si="0"/>
        <v>150000</v>
      </c>
    </row>
    <row r="53" spans="1:8" ht="17.25" thickBot="1">
      <c r="A53" s="980">
        <v>4</v>
      </c>
      <c r="B53" s="1006" t="s">
        <v>671</v>
      </c>
      <c r="C53" s="407" t="s">
        <v>668</v>
      </c>
      <c r="D53" s="314">
        <v>150</v>
      </c>
      <c r="E53" s="312"/>
      <c r="F53" s="799" t="s">
        <v>1505</v>
      </c>
      <c r="G53">
        <v>1000</v>
      </c>
      <c r="H53" s="561">
        <f t="shared" si="0"/>
        <v>0</v>
      </c>
    </row>
    <row r="54" spans="1:8" ht="17.25" thickBot="1">
      <c r="A54" s="992" t="s">
        <v>758</v>
      </c>
      <c r="B54" s="993"/>
      <c r="C54" s="981"/>
      <c r="D54" s="983">
        <v>650</v>
      </c>
      <c r="E54" s="389">
        <v>550</v>
      </c>
      <c r="F54" s="389"/>
      <c r="G54">
        <v>1000</v>
      </c>
      <c r="H54" s="561">
        <f t="shared" si="0"/>
        <v>550000</v>
      </c>
    </row>
    <row r="55" spans="1:8" ht="17.25" customHeight="1" thickBot="1">
      <c r="A55" s="992" t="s">
        <v>864</v>
      </c>
      <c r="B55" s="993"/>
      <c r="C55" s="981"/>
      <c r="D55" s="992" t="s">
        <v>1276</v>
      </c>
      <c r="E55" s="993"/>
      <c r="F55" s="984"/>
      <c r="G55">
        <v>1000</v>
      </c>
      <c r="H55" s="561">
        <f t="shared" si="0"/>
        <v>0</v>
      </c>
    </row>
    <row r="56" spans="1:8" ht="16.5">
      <c r="A56" s="397" t="s">
        <v>1736</v>
      </c>
    </row>
  </sheetData>
  <mergeCells count="2">
    <mergeCell ref="F48:F49"/>
    <mergeCell ref="F4:F5"/>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3"/>
  <sheetViews>
    <sheetView topLeftCell="A112" workbookViewId="0">
      <selection activeCell="G67" sqref="G1:G1048576"/>
    </sheetView>
  </sheetViews>
  <sheetFormatPr defaultRowHeight="15"/>
  <cols>
    <col min="2" max="2" width="43.28515625" customWidth="1"/>
    <col min="5" max="5" width="13" style="68" customWidth="1"/>
  </cols>
  <sheetData>
    <row r="1" spans="1:6" ht="15.75">
      <c r="A1" s="205" t="s">
        <v>868</v>
      </c>
    </row>
    <row r="2" spans="1:6" ht="15.75">
      <c r="A2" s="205"/>
    </row>
    <row r="3" spans="1:6">
      <c r="A3" s="686" t="s">
        <v>1648</v>
      </c>
    </row>
    <row r="4" spans="1:6" ht="16.5" thickBot="1">
      <c r="A4" s="232" t="s">
        <v>1753</v>
      </c>
    </row>
    <row r="5" spans="1:6" ht="28.5" customHeight="1" thickBot="1">
      <c r="A5" s="939" t="s">
        <v>0</v>
      </c>
      <c r="B5" s="939" t="s">
        <v>121</v>
      </c>
      <c r="C5" s="939" t="s">
        <v>632</v>
      </c>
      <c r="D5" s="941" t="s">
        <v>894</v>
      </c>
      <c r="E5" s="942"/>
      <c r="F5" s="939" t="s">
        <v>699</v>
      </c>
    </row>
    <row r="6" spans="1:6" ht="15.75" thickBot="1">
      <c r="A6" s="943"/>
      <c r="B6" s="943"/>
      <c r="C6" s="943"/>
      <c r="D6" s="940" t="s">
        <v>828</v>
      </c>
      <c r="E6" s="940" t="s">
        <v>829</v>
      </c>
      <c r="F6" s="943"/>
    </row>
    <row r="7" spans="1:6" ht="15.75" thickBot="1">
      <c r="A7" s="694">
        <v>1</v>
      </c>
      <c r="B7" s="383" t="s">
        <v>39</v>
      </c>
      <c r="C7" s="384" t="s">
        <v>668</v>
      </c>
      <c r="D7" s="314"/>
      <c r="E7" s="727">
        <v>125000</v>
      </c>
      <c r="F7" s="314"/>
    </row>
    <row r="8" spans="1:6" ht="30.75" customHeight="1" thickBot="1">
      <c r="A8" s="694">
        <v>2</v>
      </c>
      <c r="B8" s="383" t="s">
        <v>29</v>
      </c>
      <c r="C8" s="384" t="s">
        <v>668</v>
      </c>
      <c r="D8" s="314"/>
      <c r="E8" s="727">
        <v>35000</v>
      </c>
      <c r="F8" s="314"/>
    </row>
    <row r="9" spans="1:6" ht="30.75" customHeight="1" thickBot="1">
      <c r="A9" s="694">
        <v>3</v>
      </c>
      <c r="B9" s="383" t="s">
        <v>213</v>
      </c>
      <c r="C9" s="384" t="s">
        <v>668</v>
      </c>
      <c r="D9" s="314"/>
      <c r="E9" s="727">
        <v>35000</v>
      </c>
      <c r="F9" s="314"/>
    </row>
    <row r="10" spans="1:6" ht="60.75" customHeight="1" thickBot="1">
      <c r="A10" s="694">
        <v>4</v>
      </c>
      <c r="B10" s="383" t="s">
        <v>262</v>
      </c>
      <c r="C10" s="384" t="s">
        <v>668</v>
      </c>
      <c r="D10" s="314"/>
      <c r="E10" s="727">
        <v>95000</v>
      </c>
      <c r="F10" s="314"/>
    </row>
    <row r="11" spans="1:6" ht="60.75" customHeight="1" thickBot="1">
      <c r="A11" s="694">
        <v>5</v>
      </c>
      <c r="B11" s="383" t="s">
        <v>435</v>
      </c>
      <c r="C11" s="384" t="s">
        <v>668</v>
      </c>
      <c r="D11" s="314"/>
      <c r="E11" s="727">
        <v>60000</v>
      </c>
      <c r="F11" s="314"/>
    </row>
    <row r="12" spans="1:6" ht="30.75" customHeight="1" thickBot="1">
      <c r="A12" s="694">
        <v>6</v>
      </c>
      <c r="B12" s="383" t="s">
        <v>693</v>
      </c>
      <c r="C12" s="384" t="s">
        <v>668</v>
      </c>
      <c r="D12" s="313">
        <v>80000</v>
      </c>
      <c r="E12" s="726"/>
      <c r="F12" s="314"/>
    </row>
    <row r="13" spans="1:6" ht="45.75" customHeight="1" thickBot="1">
      <c r="A13" s="694">
        <v>7</v>
      </c>
      <c r="B13" s="383" t="s">
        <v>672</v>
      </c>
      <c r="C13" s="384" t="s">
        <v>668</v>
      </c>
      <c r="D13" s="313">
        <v>50000</v>
      </c>
      <c r="E13" s="726"/>
      <c r="F13" s="314"/>
    </row>
    <row r="14" spans="1:6" ht="45.75" customHeight="1" thickBot="1">
      <c r="A14" s="694">
        <v>8</v>
      </c>
      <c r="B14" s="383" t="s">
        <v>732</v>
      </c>
      <c r="C14" s="384" t="s">
        <v>668</v>
      </c>
      <c r="D14" s="313">
        <v>120000</v>
      </c>
      <c r="E14" s="726"/>
      <c r="F14" s="314"/>
    </row>
    <row r="15" spans="1:6" ht="45.75" customHeight="1" thickBot="1">
      <c r="A15" s="694">
        <v>9</v>
      </c>
      <c r="B15" s="383" t="s">
        <v>48</v>
      </c>
      <c r="C15" s="384" t="s">
        <v>653</v>
      </c>
      <c r="D15" s="314"/>
      <c r="E15" s="727">
        <v>80000</v>
      </c>
      <c r="F15" s="314"/>
    </row>
    <row r="16" spans="1:6" ht="45.75" customHeight="1" thickBot="1">
      <c r="A16" s="694">
        <v>10</v>
      </c>
      <c r="B16" s="383" t="s">
        <v>656</v>
      </c>
      <c r="C16" s="384" t="s">
        <v>653</v>
      </c>
      <c r="D16" s="313">
        <v>30000</v>
      </c>
      <c r="E16" s="726"/>
      <c r="F16" s="314"/>
    </row>
    <row r="17" spans="1:6" ht="45.75" customHeight="1" thickBot="1">
      <c r="A17" s="694">
        <v>11</v>
      </c>
      <c r="B17" s="383" t="s">
        <v>689</v>
      </c>
      <c r="C17" s="384" t="s">
        <v>653</v>
      </c>
      <c r="D17" s="313">
        <v>60000</v>
      </c>
      <c r="E17" s="726"/>
      <c r="F17" s="314"/>
    </row>
    <row r="18" spans="1:6" ht="30.75" customHeight="1" thickBot="1">
      <c r="A18" s="694">
        <v>12</v>
      </c>
      <c r="B18" s="383" t="s">
        <v>146</v>
      </c>
      <c r="C18" s="384" t="s">
        <v>653</v>
      </c>
      <c r="D18" s="313">
        <v>125000</v>
      </c>
      <c r="E18" s="728"/>
      <c r="F18" s="314"/>
    </row>
    <row r="19" spans="1:6" ht="30.75" customHeight="1" thickBot="1">
      <c r="A19" s="694">
        <v>13</v>
      </c>
      <c r="B19" s="383" t="s">
        <v>658</v>
      </c>
      <c r="C19" s="384" t="s">
        <v>653</v>
      </c>
      <c r="D19" s="313">
        <v>135000</v>
      </c>
      <c r="E19" s="726"/>
      <c r="F19" s="314"/>
    </row>
    <row r="20" spans="1:6" ht="45.75" customHeight="1" thickBot="1">
      <c r="A20" s="694">
        <v>14</v>
      </c>
      <c r="B20" s="383" t="s">
        <v>60</v>
      </c>
      <c r="C20" s="384" t="s">
        <v>653</v>
      </c>
      <c r="D20" s="314"/>
      <c r="E20" s="727">
        <v>90000</v>
      </c>
      <c r="F20" s="314"/>
    </row>
    <row r="21" spans="1:6" ht="45.75" customHeight="1" thickBot="1">
      <c r="A21" s="694">
        <v>15</v>
      </c>
      <c r="B21" s="383" t="s">
        <v>690</v>
      </c>
      <c r="C21" s="384" t="s">
        <v>653</v>
      </c>
      <c r="D21" s="314"/>
      <c r="E21" s="727">
        <v>195000</v>
      </c>
      <c r="F21" s="314"/>
    </row>
    <row r="22" spans="1:6" ht="60.75" customHeight="1" thickBot="1">
      <c r="A22" s="694">
        <v>16</v>
      </c>
      <c r="B22" s="383" t="s">
        <v>56</v>
      </c>
      <c r="C22" s="384" t="s">
        <v>653</v>
      </c>
      <c r="D22" s="314"/>
      <c r="E22" s="727">
        <v>342500</v>
      </c>
      <c r="F22" s="314"/>
    </row>
    <row r="23" spans="1:6" ht="45.75" customHeight="1" thickBot="1">
      <c r="A23" s="694">
        <v>17</v>
      </c>
      <c r="B23" s="383" t="s">
        <v>50</v>
      </c>
      <c r="C23" s="384" t="s">
        <v>653</v>
      </c>
      <c r="D23" s="314"/>
      <c r="E23" s="727">
        <v>352500</v>
      </c>
      <c r="F23" s="314"/>
    </row>
    <row r="24" spans="1:6" ht="45.75" customHeight="1" thickBot="1">
      <c r="A24" s="694">
        <v>18</v>
      </c>
      <c r="B24" s="383" t="s">
        <v>65</v>
      </c>
      <c r="C24" s="384" t="s">
        <v>646</v>
      </c>
      <c r="D24" s="314"/>
      <c r="E24" s="727">
        <v>70000</v>
      </c>
      <c r="F24" s="314"/>
    </row>
    <row r="25" spans="1:6" ht="60.75" customHeight="1" thickBot="1">
      <c r="A25" s="694">
        <v>19</v>
      </c>
      <c r="B25" s="383" t="s">
        <v>1314</v>
      </c>
      <c r="C25" s="384" t="s">
        <v>646</v>
      </c>
      <c r="D25" s="314"/>
      <c r="E25" s="727">
        <v>50000</v>
      </c>
      <c r="F25" s="314"/>
    </row>
    <row r="26" spans="1:6" ht="45.75" customHeight="1" thickBot="1">
      <c r="A26" s="694">
        <v>20</v>
      </c>
      <c r="B26" s="383" t="s">
        <v>722</v>
      </c>
      <c r="C26" s="384" t="s">
        <v>646</v>
      </c>
      <c r="D26" s="313">
        <v>40000</v>
      </c>
      <c r="E26" s="726"/>
      <c r="F26" s="314"/>
    </row>
    <row r="27" spans="1:6" ht="45.75" customHeight="1" thickBot="1">
      <c r="A27" s="694">
        <v>21</v>
      </c>
      <c r="B27" s="383" t="s">
        <v>150</v>
      </c>
      <c r="C27" s="384" t="s">
        <v>674</v>
      </c>
      <c r="D27" s="314"/>
      <c r="E27" s="727">
        <v>310000</v>
      </c>
      <c r="F27" s="314"/>
    </row>
    <row r="28" spans="1:6" ht="45.75" customHeight="1" thickBot="1">
      <c r="A28" s="694">
        <v>22</v>
      </c>
      <c r="B28" s="383" t="s">
        <v>182</v>
      </c>
      <c r="C28" s="384" t="s">
        <v>674</v>
      </c>
      <c r="D28" s="314"/>
      <c r="E28" s="727">
        <v>200000</v>
      </c>
      <c r="F28" s="314"/>
    </row>
    <row r="29" spans="1:6" ht="30.75" customHeight="1" thickBot="1">
      <c r="A29" s="694">
        <v>23</v>
      </c>
      <c r="B29" s="383" t="s">
        <v>149</v>
      </c>
      <c r="C29" s="384" t="s">
        <v>674</v>
      </c>
      <c r="D29" s="314"/>
      <c r="E29" s="727">
        <v>110000</v>
      </c>
      <c r="F29" s="314"/>
    </row>
    <row r="30" spans="1:6" ht="45.75" customHeight="1" thickBot="1">
      <c r="A30" s="694">
        <v>24</v>
      </c>
      <c r="B30" s="383" t="s">
        <v>675</v>
      </c>
      <c r="C30" s="384" t="s">
        <v>674</v>
      </c>
      <c r="D30" s="313">
        <v>80000</v>
      </c>
      <c r="E30" s="726"/>
      <c r="F30" s="314"/>
    </row>
    <row r="31" spans="1:6" ht="30.75" customHeight="1" thickBot="1">
      <c r="A31" s="694">
        <v>25</v>
      </c>
      <c r="B31" s="383" t="s">
        <v>742</v>
      </c>
      <c r="C31" s="384" t="s">
        <v>674</v>
      </c>
      <c r="D31" s="313">
        <v>265000</v>
      </c>
      <c r="E31" s="728"/>
      <c r="F31" s="314"/>
    </row>
    <row r="32" spans="1:6" ht="45.75" customHeight="1" thickBot="1">
      <c r="A32" s="694">
        <v>26</v>
      </c>
      <c r="B32" s="383" t="s">
        <v>27</v>
      </c>
      <c r="C32" s="384" t="s">
        <v>649</v>
      </c>
      <c r="D32" s="314"/>
      <c r="E32" s="727">
        <v>95000</v>
      </c>
      <c r="F32" s="314"/>
    </row>
    <row r="33" spans="1:6" ht="45.75" customHeight="1" thickBot="1">
      <c r="A33" s="309">
        <v>27</v>
      </c>
      <c r="B33" s="383" t="s">
        <v>684</v>
      </c>
      <c r="C33" s="384" t="s">
        <v>649</v>
      </c>
      <c r="D33" s="313">
        <v>15000</v>
      </c>
      <c r="E33" s="728"/>
      <c r="F33" s="314"/>
    </row>
    <row r="34" spans="1:6" ht="45.75" customHeight="1" thickBot="1">
      <c r="A34" s="309">
        <v>28</v>
      </c>
      <c r="B34" s="383" t="s">
        <v>721</v>
      </c>
      <c r="C34" s="384" t="s">
        <v>649</v>
      </c>
      <c r="D34" s="314"/>
      <c r="E34" s="727">
        <v>15000</v>
      </c>
      <c r="F34" s="314"/>
    </row>
    <row r="35" spans="1:6" ht="45.75" customHeight="1" thickBot="1">
      <c r="A35" s="309">
        <v>29</v>
      </c>
      <c r="B35" s="383" t="s">
        <v>205</v>
      </c>
      <c r="C35" s="384" t="s">
        <v>649</v>
      </c>
      <c r="D35" s="314"/>
      <c r="E35" s="727">
        <v>70000</v>
      </c>
      <c r="F35" s="314"/>
    </row>
    <row r="36" spans="1:6" ht="45.75" customHeight="1" thickBot="1">
      <c r="A36" s="309">
        <v>30</v>
      </c>
      <c r="B36" s="383" t="s">
        <v>638</v>
      </c>
      <c r="C36" s="384" t="s">
        <v>649</v>
      </c>
      <c r="D36" s="313">
        <v>75000</v>
      </c>
      <c r="E36" s="726"/>
      <c r="F36" s="314"/>
    </row>
    <row r="37" spans="1:6" ht="45.75" customHeight="1" thickBot="1">
      <c r="A37" s="309">
        <v>31</v>
      </c>
      <c r="B37" s="383" t="s">
        <v>187</v>
      </c>
      <c r="C37" s="384" t="s">
        <v>649</v>
      </c>
      <c r="D37" s="314"/>
      <c r="E37" s="727">
        <v>250000</v>
      </c>
      <c r="F37" s="314"/>
    </row>
    <row r="38" spans="1:6" ht="30.75" customHeight="1" thickBot="1">
      <c r="A38" s="309">
        <v>32</v>
      </c>
      <c r="B38" s="383" t="s">
        <v>152</v>
      </c>
      <c r="C38" s="384" t="s">
        <v>649</v>
      </c>
      <c r="D38" s="314"/>
      <c r="E38" s="727">
        <v>180000</v>
      </c>
      <c r="F38" s="314"/>
    </row>
    <row r="39" spans="1:6" ht="30.75" customHeight="1" thickBot="1">
      <c r="A39" s="309">
        <v>33</v>
      </c>
      <c r="B39" s="383" t="s">
        <v>1401</v>
      </c>
      <c r="C39" s="384" t="s">
        <v>650</v>
      </c>
      <c r="D39" s="313">
        <v>25000</v>
      </c>
      <c r="E39" s="726"/>
      <c r="F39" s="314"/>
    </row>
    <row r="40" spans="1:6" ht="30.75" customHeight="1" thickBot="1">
      <c r="A40" s="309">
        <v>34</v>
      </c>
      <c r="B40" s="383" t="s">
        <v>644</v>
      </c>
      <c r="C40" s="384" t="s">
        <v>642</v>
      </c>
      <c r="D40" s="314"/>
      <c r="E40" s="727">
        <v>60000</v>
      </c>
      <c r="F40" s="314"/>
    </row>
    <row r="41" spans="1:6" ht="45.75" customHeight="1" thickBot="1">
      <c r="A41" s="309">
        <v>35</v>
      </c>
      <c r="B41" s="383" t="s">
        <v>682</v>
      </c>
      <c r="C41" s="384" t="s">
        <v>642</v>
      </c>
      <c r="D41" s="313">
        <v>65000</v>
      </c>
      <c r="E41" s="726"/>
      <c r="F41" s="314"/>
    </row>
    <row r="42" spans="1:6" ht="45.75" customHeight="1" thickBot="1">
      <c r="A42" s="309">
        <v>36</v>
      </c>
      <c r="B42" s="383" t="s">
        <v>207</v>
      </c>
      <c r="C42" s="384" t="s">
        <v>642</v>
      </c>
      <c r="D42" s="314"/>
      <c r="E42" s="727">
        <v>75000</v>
      </c>
      <c r="F42" s="314"/>
    </row>
    <row r="43" spans="1:6" ht="60.75" customHeight="1" thickBot="1">
      <c r="A43" s="309">
        <v>37</v>
      </c>
      <c r="B43" s="383" t="s">
        <v>681</v>
      </c>
      <c r="C43" s="384" t="s">
        <v>642</v>
      </c>
      <c r="D43" s="314"/>
      <c r="E43" s="727">
        <v>100000</v>
      </c>
      <c r="F43" s="314"/>
    </row>
    <row r="44" spans="1:6" ht="45.75" customHeight="1" thickBot="1">
      <c r="A44" s="309">
        <v>38</v>
      </c>
      <c r="B44" s="383" t="s">
        <v>715</v>
      </c>
      <c r="C44" s="384" t="s">
        <v>642</v>
      </c>
      <c r="D44" s="313">
        <v>40000</v>
      </c>
      <c r="E44" s="726"/>
      <c r="F44" s="314"/>
    </row>
    <row r="45" spans="1:6" ht="45.75" customHeight="1" thickBot="1">
      <c r="A45" s="309">
        <v>39</v>
      </c>
      <c r="B45" s="383" t="s">
        <v>637</v>
      </c>
      <c r="C45" s="384" t="s">
        <v>636</v>
      </c>
      <c r="D45" s="313">
        <v>60000</v>
      </c>
      <c r="E45" s="1061"/>
      <c r="F45" s="314"/>
    </row>
    <row r="46" spans="1:6" ht="30.75" customHeight="1" thickBot="1">
      <c r="A46" s="309">
        <v>40</v>
      </c>
      <c r="B46" s="383" t="s">
        <v>98</v>
      </c>
      <c r="C46" s="384" t="s">
        <v>636</v>
      </c>
      <c r="D46" s="314"/>
      <c r="E46" s="727">
        <v>90000</v>
      </c>
      <c r="F46" s="314"/>
    </row>
    <row r="47" spans="1:6" ht="45.75" customHeight="1" thickBot="1">
      <c r="A47" s="309">
        <v>41</v>
      </c>
      <c r="B47" s="383" t="s">
        <v>210</v>
      </c>
      <c r="C47" s="384" t="s">
        <v>636</v>
      </c>
      <c r="D47" s="314"/>
      <c r="E47" s="727">
        <v>30000</v>
      </c>
      <c r="F47" s="314"/>
    </row>
    <row r="48" spans="1:6" ht="45.75" customHeight="1" thickBot="1">
      <c r="A48" s="309">
        <v>42</v>
      </c>
      <c r="B48" s="383" t="s">
        <v>640</v>
      </c>
      <c r="C48" s="384" t="s">
        <v>636</v>
      </c>
      <c r="D48" s="313">
        <v>60000</v>
      </c>
      <c r="E48" s="725"/>
      <c r="F48" s="314"/>
    </row>
    <row r="49" spans="1:6" ht="45.75" customHeight="1" thickBot="1">
      <c r="A49" s="309">
        <v>43</v>
      </c>
      <c r="B49" s="383" t="s">
        <v>96</v>
      </c>
      <c r="C49" s="384" t="s">
        <v>636</v>
      </c>
      <c r="D49" s="314"/>
      <c r="E49" s="1062">
        <v>30000</v>
      </c>
      <c r="F49" s="314"/>
    </row>
    <row r="50" spans="1:6" ht="45.75" customHeight="1" thickBot="1">
      <c r="A50" s="309">
        <v>44</v>
      </c>
      <c r="B50" s="383" t="s">
        <v>641</v>
      </c>
      <c r="C50" s="384" t="s">
        <v>636</v>
      </c>
      <c r="D50" s="313">
        <v>60000</v>
      </c>
      <c r="E50" s="725"/>
      <c r="F50" s="314"/>
    </row>
    <row r="51" spans="1:6" ht="30.75" customHeight="1" thickBot="1">
      <c r="A51" s="309">
        <v>45</v>
      </c>
      <c r="B51" s="383" t="s">
        <v>639</v>
      </c>
      <c r="C51" s="384" t="s">
        <v>636</v>
      </c>
      <c r="D51" s="314"/>
      <c r="E51" s="727">
        <v>30000</v>
      </c>
      <c r="F51" s="314"/>
    </row>
    <row r="52" spans="1:6" ht="60.75" customHeight="1" thickBot="1">
      <c r="A52" s="309">
        <v>46</v>
      </c>
      <c r="B52" s="383" t="s">
        <v>154</v>
      </c>
      <c r="C52" s="384" t="s">
        <v>636</v>
      </c>
      <c r="D52" s="314"/>
      <c r="E52" s="727">
        <v>35000</v>
      </c>
      <c r="F52" s="314"/>
    </row>
    <row r="53" spans="1:6" ht="30.75" customHeight="1" thickBot="1">
      <c r="A53" s="309">
        <v>47</v>
      </c>
      <c r="B53" s="383" t="s">
        <v>744</v>
      </c>
      <c r="C53" s="384" t="s">
        <v>636</v>
      </c>
      <c r="D53" s="313">
        <v>130000</v>
      </c>
      <c r="E53" s="725"/>
      <c r="F53" s="314"/>
    </row>
    <row r="54" spans="1:6" ht="45.75" customHeight="1" thickBot="1">
      <c r="A54" s="309">
        <v>48</v>
      </c>
      <c r="B54" s="383" t="s">
        <v>660</v>
      </c>
      <c r="C54" s="384" t="s">
        <v>746</v>
      </c>
      <c r="D54" s="313">
        <v>80000</v>
      </c>
      <c r="E54" s="726"/>
      <c r="F54" s="314"/>
    </row>
    <row r="55" spans="1:6" ht="60.75" customHeight="1" thickBot="1">
      <c r="A55" s="309">
        <v>49</v>
      </c>
      <c r="B55" s="383" t="s">
        <v>662</v>
      </c>
      <c r="C55" s="384" t="s">
        <v>746</v>
      </c>
      <c r="D55" s="313">
        <v>55000</v>
      </c>
      <c r="E55" s="726"/>
      <c r="F55" s="314"/>
    </row>
    <row r="56" spans="1:6" ht="30.75" customHeight="1" thickBot="1">
      <c r="A56" s="309">
        <v>50</v>
      </c>
      <c r="B56" s="383" t="s">
        <v>143</v>
      </c>
      <c r="C56" s="384" t="s">
        <v>746</v>
      </c>
      <c r="D56" s="314"/>
      <c r="E56" s="727">
        <v>25000</v>
      </c>
      <c r="F56" s="314"/>
    </row>
    <row r="57" spans="1:6" ht="30.75" customHeight="1" thickBot="1">
      <c r="A57" s="309">
        <v>51</v>
      </c>
      <c r="B57" s="383" t="s">
        <v>144</v>
      </c>
      <c r="C57" s="384" t="s">
        <v>1224</v>
      </c>
      <c r="D57" s="314"/>
      <c r="E57" s="727">
        <v>40000</v>
      </c>
      <c r="F57" s="314"/>
    </row>
    <row r="58" spans="1:6" ht="30.75" customHeight="1" thickBot="1">
      <c r="A58" s="309">
        <v>52</v>
      </c>
      <c r="B58" s="383" t="s">
        <v>870</v>
      </c>
      <c r="C58" s="384" t="s">
        <v>642</v>
      </c>
      <c r="D58" s="313">
        <v>10000</v>
      </c>
      <c r="E58" s="726"/>
      <c r="F58" s="314"/>
    </row>
    <row r="59" spans="1:6" ht="15.75" thickBot="1">
      <c r="A59" s="309">
        <v>53</v>
      </c>
      <c r="B59" s="383" t="s">
        <v>1236</v>
      </c>
      <c r="C59" s="384" t="s">
        <v>1224</v>
      </c>
      <c r="D59" s="313">
        <v>80000</v>
      </c>
      <c r="E59" s="726"/>
      <c r="F59" s="314"/>
    </row>
    <row r="60" spans="1:6" ht="15.75" thickBot="1">
      <c r="A60" s="700" t="s">
        <v>758</v>
      </c>
      <c r="B60" s="701"/>
      <c r="C60" s="318"/>
      <c r="D60" s="695">
        <v>1740000</v>
      </c>
      <c r="E60" s="1063">
        <v>3275000</v>
      </c>
      <c r="F60" s="696"/>
    </row>
    <row r="61" spans="1:6" ht="15.75" customHeight="1" thickBot="1">
      <c r="A61" s="700" t="s">
        <v>864</v>
      </c>
      <c r="B61" s="701"/>
      <c r="C61" s="318"/>
      <c r="D61" s="702">
        <v>5015000</v>
      </c>
      <c r="E61" s="703"/>
      <c r="F61" s="697"/>
    </row>
    <row r="62" spans="1:6">
      <c r="A62" s="244" t="s">
        <v>1754</v>
      </c>
    </row>
    <row r="63" spans="1:6">
      <c r="A63" s="284"/>
    </row>
    <row r="64" spans="1:6" ht="15.75">
      <c r="A64" s="205" t="s">
        <v>1649</v>
      </c>
    </row>
    <row r="65" spans="1:5" ht="15.75">
      <c r="A65" s="205"/>
    </row>
    <row r="66" spans="1:5">
      <c r="A66" s="686" t="s">
        <v>1650</v>
      </c>
    </row>
    <row r="67" spans="1:5" ht="15.75">
      <c r="A67" s="232" t="s">
        <v>1753</v>
      </c>
    </row>
    <row r="68" spans="1:5" ht="16.5" thickBot="1">
      <c r="A68" s="232"/>
    </row>
    <row r="69" spans="1:5" ht="43.5" thickBot="1">
      <c r="A69" s="1004" t="s">
        <v>0</v>
      </c>
      <c r="B69" s="1005" t="s">
        <v>121</v>
      </c>
      <c r="C69" s="1005" t="s">
        <v>632</v>
      </c>
      <c r="D69" s="1005" t="s">
        <v>894</v>
      </c>
      <c r="E69" s="1005" t="s">
        <v>699</v>
      </c>
    </row>
    <row r="70" spans="1:5" ht="48" thickBot="1">
      <c r="A70" s="382">
        <v>1</v>
      </c>
      <c r="B70" s="687" t="s">
        <v>1173</v>
      </c>
      <c r="C70" s="688" t="s">
        <v>1171</v>
      </c>
      <c r="D70" s="689">
        <v>20000</v>
      </c>
      <c r="E70" s="736"/>
    </row>
    <row r="71" spans="1:5" ht="48" thickBot="1">
      <c r="A71" s="382">
        <v>2</v>
      </c>
      <c r="B71" s="687" t="s">
        <v>1410</v>
      </c>
      <c r="C71" s="688" t="s">
        <v>1171</v>
      </c>
      <c r="D71" s="689">
        <v>10000</v>
      </c>
      <c r="E71" s="736"/>
    </row>
    <row r="72" spans="1:5" ht="48" thickBot="1">
      <c r="A72" s="382">
        <v>3</v>
      </c>
      <c r="B72" s="687" t="s">
        <v>1644</v>
      </c>
      <c r="C72" s="688" t="s">
        <v>1171</v>
      </c>
      <c r="D72" s="689">
        <v>20000</v>
      </c>
      <c r="E72" s="736"/>
    </row>
    <row r="73" spans="1:5" ht="32.25" thickBot="1">
      <c r="A73" s="382">
        <v>4</v>
      </c>
      <c r="B73" s="687" t="s">
        <v>768</v>
      </c>
      <c r="C73" s="688" t="s">
        <v>1179</v>
      </c>
      <c r="D73" s="689">
        <v>10000</v>
      </c>
      <c r="E73" s="736"/>
    </row>
    <row r="74" spans="1:5" ht="48" customHeight="1" thickBot="1">
      <c r="A74" s="382">
        <v>5</v>
      </c>
      <c r="B74" s="687" t="s">
        <v>1646</v>
      </c>
      <c r="C74" s="688" t="s">
        <v>1182</v>
      </c>
      <c r="D74" s="689">
        <v>35000</v>
      </c>
      <c r="E74" s="736"/>
    </row>
    <row r="75" spans="1:5" ht="48" customHeight="1" thickBot="1">
      <c r="A75" s="382">
        <v>6</v>
      </c>
      <c r="B75" s="687" t="s">
        <v>1544</v>
      </c>
      <c r="C75" s="688" t="s">
        <v>1182</v>
      </c>
      <c r="D75" s="689">
        <v>40000</v>
      </c>
      <c r="E75" s="736"/>
    </row>
    <row r="76" spans="1:5" ht="48" customHeight="1" thickBot="1">
      <c r="A76" s="382">
        <v>7</v>
      </c>
      <c r="B76" s="687" t="s">
        <v>1187</v>
      </c>
      <c r="C76" s="688" t="s">
        <v>1182</v>
      </c>
      <c r="D76" s="689">
        <v>120000</v>
      </c>
      <c r="E76" s="736"/>
    </row>
    <row r="77" spans="1:5" ht="48" customHeight="1" thickBot="1">
      <c r="A77" s="382">
        <v>8</v>
      </c>
      <c r="B77" s="687" t="s">
        <v>860</v>
      </c>
      <c r="C77" s="688" t="s">
        <v>1182</v>
      </c>
      <c r="D77" s="689">
        <v>20000</v>
      </c>
      <c r="E77" s="736"/>
    </row>
    <row r="78" spans="1:5" ht="48" customHeight="1" thickBot="1">
      <c r="A78" s="382">
        <v>9</v>
      </c>
      <c r="B78" s="687" t="s">
        <v>1509</v>
      </c>
      <c r="C78" s="688" t="s">
        <v>1182</v>
      </c>
      <c r="D78" s="689">
        <v>20000</v>
      </c>
      <c r="E78" s="736"/>
    </row>
    <row r="79" spans="1:5" ht="32.25" thickBot="1">
      <c r="A79" s="382">
        <v>10</v>
      </c>
      <c r="B79" s="687" t="s">
        <v>861</v>
      </c>
      <c r="C79" s="688" t="s">
        <v>1182</v>
      </c>
      <c r="D79" s="689">
        <v>10000</v>
      </c>
      <c r="E79" s="736"/>
    </row>
    <row r="80" spans="1:5" ht="32.25" thickBot="1">
      <c r="A80" s="382">
        <v>11</v>
      </c>
      <c r="B80" s="687" t="s">
        <v>1494</v>
      </c>
      <c r="C80" s="688" t="s">
        <v>1182</v>
      </c>
      <c r="D80" s="689">
        <v>10000</v>
      </c>
      <c r="E80" s="736"/>
    </row>
    <row r="81" spans="1:6" ht="48" customHeight="1" thickBot="1">
      <c r="A81" s="382">
        <v>12</v>
      </c>
      <c r="B81" s="687" t="s">
        <v>862</v>
      </c>
      <c r="C81" s="688" t="s">
        <v>1182</v>
      </c>
      <c r="D81" s="689">
        <v>30000</v>
      </c>
      <c r="E81" s="736"/>
    </row>
    <row r="82" spans="1:6" ht="48" customHeight="1" thickBot="1">
      <c r="A82" s="382">
        <v>13</v>
      </c>
      <c r="B82" s="687" t="s">
        <v>855</v>
      </c>
      <c r="C82" s="688" t="s">
        <v>1182</v>
      </c>
      <c r="D82" s="689">
        <v>15000</v>
      </c>
      <c r="E82" s="736"/>
    </row>
    <row r="83" spans="1:6" ht="48" customHeight="1" thickBot="1">
      <c r="A83" s="382">
        <v>14</v>
      </c>
      <c r="B83" s="687" t="s">
        <v>1197</v>
      </c>
      <c r="C83" s="688" t="s">
        <v>1198</v>
      </c>
      <c r="D83" s="689">
        <v>10000</v>
      </c>
      <c r="E83" s="736"/>
    </row>
    <row r="84" spans="1:6" ht="32.25" thickBot="1">
      <c r="A84" s="382">
        <v>15</v>
      </c>
      <c r="B84" s="687" t="s">
        <v>1208</v>
      </c>
      <c r="C84" s="688" t="s">
        <v>1198</v>
      </c>
      <c r="D84" s="689">
        <v>10000</v>
      </c>
      <c r="E84" s="736"/>
    </row>
    <row r="85" spans="1:6" ht="15.75" thickBot="1">
      <c r="A85" s="700" t="s">
        <v>758</v>
      </c>
      <c r="B85" s="701"/>
      <c r="C85" s="318"/>
      <c r="D85" s="695">
        <v>380000</v>
      </c>
      <c r="E85" s="1036"/>
    </row>
    <row r="86" spans="1:6">
      <c r="A86" s="244" t="s">
        <v>1755</v>
      </c>
    </row>
    <row r="87" spans="1:6">
      <c r="A87" s="284"/>
    </row>
    <row r="88" spans="1:6" ht="16.5">
      <c r="A88" s="246"/>
      <c r="B88" s="248"/>
    </row>
    <row r="89" spans="1:6" ht="15.75">
      <c r="A89" s="205" t="s">
        <v>696</v>
      </c>
    </row>
    <row r="90" spans="1:6" ht="15.75">
      <c r="A90" s="205"/>
    </row>
    <row r="91" spans="1:6">
      <c r="A91" s="686" t="s">
        <v>1720</v>
      </c>
    </row>
    <row r="92" spans="1:6" ht="16.5" thickBot="1">
      <c r="A92" s="232" t="s">
        <v>1753</v>
      </c>
    </row>
    <row r="93" spans="1:6" ht="28.5" customHeight="1" thickBot="1">
      <c r="A93" s="939" t="s">
        <v>0</v>
      </c>
      <c r="B93" s="939" t="s">
        <v>121</v>
      </c>
      <c r="C93" s="939" t="s">
        <v>632</v>
      </c>
      <c r="D93" s="941" t="s">
        <v>894</v>
      </c>
      <c r="E93" s="942"/>
      <c r="F93" s="939" t="s">
        <v>699</v>
      </c>
    </row>
    <row r="94" spans="1:6" ht="15.75" thickBot="1">
      <c r="A94" s="943"/>
      <c r="B94" s="943"/>
      <c r="C94" s="943"/>
      <c r="D94" s="940" t="s">
        <v>828</v>
      </c>
      <c r="E94" s="940" t="s">
        <v>829</v>
      </c>
      <c r="F94" s="943"/>
    </row>
    <row r="95" spans="1:6" ht="17.25" thickBot="1">
      <c r="A95" s="694">
        <v>1</v>
      </c>
      <c r="B95" s="929" t="s">
        <v>635</v>
      </c>
      <c r="C95" s="407" t="s">
        <v>636</v>
      </c>
      <c r="D95" s="930">
        <v>3000</v>
      </c>
      <c r="E95" s="726"/>
      <c r="F95" s="314"/>
    </row>
    <row r="96" spans="1:6" ht="50.25" customHeight="1" thickBot="1">
      <c r="A96" s="694">
        <v>2</v>
      </c>
      <c r="B96" s="929" t="s">
        <v>106</v>
      </c>
      <c r="C96" s="407" t="s">
        <v>636</v>
      </c>
      <c r="D96" s="312"/>
      <c r="E96" s="1064">
        <v>3000</v>
      </c>
      <c r="F96" s="314"/>
    </row>
    <row r="97" spans="1:6" ht="50.25" customHeight="1" thickBot="1">
      <c r="A97" s="694">
        <v>3</v>
      </c>
      <c r="B97" s="929" t="s">
        <v>682</v>
      </c>
      <c r="C97" s="407" t="s">
        <v>642</v>
      </c>
      <c r="D97" s="930">
        <v>21000</v>
      </c>
      <c r="E97" s="1037"/>
      <c r="F97" s="314"/>
    </row>
    <row r="98" spans="1:6" ht="66.75" customHeight="1" thickBot="1">
      <c r="A98" s="694">
        <v>4</v>
      </c>
      <c r="B98" s="929" t="s">
        <v>207</v>
      </c>
      <c r="C98" s="407" t="s">
        <v>642</v>
      </c>
      <c r="D98" s="312"/>
      <c r="E98" s="1064">
        <v>20000</v>
      </c>
      <c r="F98" s="314"/>
    </row>
    <row r="99" spans="1:6" ht="50.25" customHeight="1" thickBot="1">
      <c r="A99" s="694">
        <v>5</v>
      </c>
      <c r="B99" s="929" t="s">
        <v>65</v>
      </c>
      <c r="C99" s="407" t="s">
        <v>646</v>
      </c>
      <c r="D99" s="312"/>
      <c r="E99" s="1064">
        <v>3000</v>
      </c>
      <c r="F99" s="314"/>
    </row>
    <row r="100" spans="1:6" ht="33.75" customHeight="1" thickBot="1">
      <c r="A100" s="694">
        <v>6</v>
      </c>
      <c r="B100" s="929" t="s">
        <v>723</v>
      </c>
      <c r="C100" s="407" t="s">
        <v>646</v>
      </c>
      <c r="D100" s="930">
        <v>3000</v>
      </c>
      <c r="E100" s="1037"/>
      <c r="F100" s="314"/>
    </row>
    <row r="101" spans="1:6" ht="50.25" customHeight="1" thickBot="1">
      <c r="A101" s="694">
        <v>7</v>
      </c>
      <c r="B101" s="929" t="s">
        <v>684</v>
      </c>
      <c r="C101" s="407" t="s">
        <v>649</v>
      </c>
      <c r="D101" s="930">
        <v>13000</v>
      </c>
      <c r="E101" s="1037"/>
      <c r="F101" s="314"/>
    </row>
    <row r="102" spans="1:6" ht="50.25" customHeight="1" thickBot="1">
      <c r="A102" s="694">
        <v>8</v>
      </c>
      <c r="B102" s="929" t="s">
        <v>205</v>
      </c>
      <c r="C102" s="407" t="s">
        <v>649</v>
      </c>
      <c r="D102" s="312"/>
      <c r="E102" s="1064">
        <v>6000</v>
      </c>
      <c r="F102" s="314"/>
    </row>
    <row r="103" spans="1:6" ht="50.25" customHeight="1" thickBot="1">
      <c r="A103" s="694">
        <v>9</v>
      </c>
      <c r="B103" s="929" t="s">
        <v>686</v>
      </c>
      <c r="C103" s="407" t="s">
        <v>649</v>
      </c>
      <c r="D103" s="930">
        <v>3000</v>
      </c>
      <c r="E103" s="1037"/>
      <c r="F103" s="314"/>
    </row>
    <row r="104" spans="1:6" ht="50.25" customHeight="1" thickBot="1">
      <c r="A104" s="694">
        <v>10</v>
      </c>
      <c r="B104" s="929" t="s">
        <v>685</v>
      </c>
      <c r="C104" s="407" t="s">
        <v>649</v>
      </c>
      <c r="D104" s="930">
        <v>3000</v>
      </c>
      <c r="E104" s="1037"/>
      <c r="F104" s="314"/>
    </row>
    <row r="105" spans="1:6" ht="66.75" customHeight="1" thickBot="1">
      <c r="A105" s="694">
        <v>11</v>
      </c>
      <c r="B105" s="929" t="s">
        <v>27</v>
      </c>
      <c r="C105" s="407" t="s">
        <v>649</v>
      </c>
      <c r="D105" s="312"/>
      <c r="E105" s="1064">
        <v>3000</v>
      </c>
      <c r="F105" s="314"/>
    </row>
    <row r="106" spans="1:6" ht="50.25" customHeight="1" thickBot="1">
      <c r="A106" s="694">
        <v>12</v>
      </c>
      <c r="B106" s="929" t="s">
        <v>721</v>
      </c>
      <c r="C106" s="407" t="s">
        <v>649</v>
      </c>
      <c r="D106" s="312"/>
      <c r="E106" s="1064">
        <v>70000</v>
      </c>
      <c r="F106" s="314"/>
    </row>
    <row r="107" spans="1:6" ht="33.75" customHeight="1" thickBot="1">
      <c r="A107" s="694">
        <v>13</v>
      </c>
      <c r="B107" s="929" t="s">
        <v>152</v>
      </c>
      <c r="C107" s="407" t="s">
        <v>649</v>
      </c>
      <c r="D107" s="312"/>
      <c r="E107" s="1064">
        <v>30000</v>
      </c>
      <c r="F107" s="314"/>
    </row>
    <row r="108" spans="1:6" ht="33.75" customHeight="1" thickBot="1">
      <c r="A108" s="694">
        <v>14</v>
      </c>
      <c r="B108" s="929" t="s">
        <v>688</v>
      </c>
      <c r="C108" s="407" t="s">
        <v>650</v>
      </c>
      <c r="D108" s="930">
        <v>15000</v>
      </c>
      <c r="E108" s="726"/>
      <c r="F108" s="314"/>
    </row>
    <row r="109" spans="1:6" ht="50.25" customHeight="1" thickBot="1">
      <c r="A109" s="694">
        <v>15</v>
      </c>
      <c r="B109" s="929" t="s">
        <v>269</v>
      </c>
      <c r="C109" s="407" t="s">
        <v>650</v>
      </c>
      <c r="D109" s="312"/>
      <c r="E109" s="1064">
        <v>9000</v>
      </c>
      <c r="F109" s="314"/>
    </row>
    <row r="110" spans="1:6" ht="50.25" customHeight="1" thickBot="1">
      <c r="A110" s="694">
        <v>16</v>
      </c>
      <c r="B110" s="929" t="s">
        <v>1401</v>
      </c>
      <c r="C110" s="407" t="s">
        <v>650</v>
      </c>
      <c r="D110" s="930">
        <v>21000</v>
      </c>
      <c r="E110" s="726"/>
      <c r="F110" s="314"/>
    </row>
    <row r="111" spans="1:6" ht="50.25" customHeight="1" thickBot="1">
      <c r="A111" s="694">
        <v>17</v>
      </c>
      <c r="B111" s="929" t="s">
        <v>727</v>
      </c>
      <c r="C111" s="407" t="s">
        <v>650</v>
      </c>
      <c r="D111" s="930">
        <v>6000</v>
      </c>
      <c r="E111" s="726"/>
      <c r="F111" s="314"/>
    </row>
    <row r="112" spans="1:6" ht="33.75" customHeight="1" thickBot="1">
      <c r="A112" s="694">
        <v>18</v>
      </c>
      <c r="B112" s="929" t="s">
        <v>731</v>
      </c>
      <c r="C112" s="407" t="s">
        <v>653</v>
      </c>
      <c r="D112" s="930">
        <v>6000</v>
      </c>
      <c r="E112" s="726"/>
      <c r="F112" s="314"/>
    </row>
    <row r="113" spans="1:6" ht="50.25" customHeight="1" thickBot="1">
      <c r="A113" s="694">
        <v>19</v>
      </c>
      <c r="B113" s="929" t="s">
        <v>60</v>
      </c>
      <c r="C113" s="407" t="s">
        <v>653</v>
      </c>
      <c r="D113" s="312"/>
      <c r="E113" s="1064">
        <v>15000</v>
      </c>
      <c r="F113" s="314"/>
    </row>
    <row r="114" spans="1:6" ht="50.25" customHeight="1" thickBot="1">
      <c r="A114" s="694">
        <v>20</v>
      </c>
      <c r="B114" s="929" t="s">
        <v>146</v>
      </c>
      <c r="C114" s="407" t="s">
        <v>653</v>
      </c>
      <c r="D114" s="312"/>
      <c r="E114" s="1064">
        <v>3000</v>
      </c>
      <c r="F114" s="314"/>
    </row>
    <row r="115" spans="1:6" ht="66.75" customHeight="1" thickBot="1">
      <c r="A115" s="694">
        <v>21</v>
      </c>
      <c r="B115" s="929" t="s">
        <v>50</v>
      </c>
      <c r="C115" s="407" t="s">
        <v>653</v>
      </c>
      <c r="D115" s="312"/>
      <c r="E115" s="1064">
        <v>3000</v>
      </c>
      <c r="F115" s="314"/>
    </row>
    <row r="116" spans="1:6" ht="66.75" customHeight="1" thickBot="1">
      <c r="A116" s="694">
        <v>22</v>
      </c>
      <c r="B116" s="929" t="s">
        <v>138</v>
      </c>
      <c r="C116" s="407" t="s">
        <v>653</v>
      </c>
      <c r="D116" s="312"/>
      <c r="E116" s="1064">
        <v>3000</v>
      </c>
      <c r="F116" s="314"/>
    </row>
    <row r="117" spans="1:6" ht="50.25" customHeight="1" thickBot="1">
      <c r="A117" s="694">
        <v>23</v>
      </c>
      <c r="B117" s="929" t="s">
        <v>48</v>
      </c>
      <c r="C117" s="407" t="s">
        <v>653</v>
      </c>
      <c r="D117" s="312"/>
      <c r="E117" s="1064">
        <v>9000</v>
      </c>
      <c r="F117" s="314"/>
    </row>
    <row r="118" spans="1:6" ht="50.25" customHeight="1" thickBot="1">
      <c r="A118" s="694">
        <v>24</v>
      </c>
      <c r="B118" s="929" t="s">
        <v>147</v>
      </c>
      <c r="C118" s="407" t="s">
        <v>653</v>
      </c>
      <c r="D118" s="312"/>
      <c r="E118" s="1064">
        <v>3000</v>
      </c>
      <c r="F118" s="314"/>
    </row>
    <row r="119" spans="1:6" ht="66.75" customHeight="1" thickBot="1">
      <c r="A119" s="694">
        <v>25</v>
      </c>
      <c r="B119" s="929" t="s">
        <v>25</v>
      </c>
      <c r="C119" s="407" t="s">
        <v>668</v>
      </c>
      <c r="D119" s="312"/>
      <c r="E119" s="1064">
        <v>9000</v>
      </c>
      <c r="F119" s="314"/>
    </row>
    <row r="120" spans="1:6" ht="66.75" customHeight="1" thickBot="1">
      <c r="A120" s="694">
        <v>26</v>
      </c>
      <c r="B120" s="929" t="s">
        <v>29</v>
      </c>
      <c r="C120" s="407" t="s">
        <v>668</v>
      </c>
      <c r="D120" s="312"/>
      <c r="E120" s="1064">
        <v>9000</v>
      </c>
      <c r="F120" s="314"/>
    </row>
    <row r="121" spans="1:6" ht="50.25" customHeight="1" thickBot="1">
      <c r="A121" s="309">
        <v>27</v>
      </c>
      <c r="B121" s="929" t="s">
        <v>671</v>
      </c>
      <c r="C121" s="407" t="s">
        <v>668</v>
      </c>
      <c r="D121" s="930">
        <v>9000</v>
      </c>
      <c r="E121" s="728"/>
      <c r="F121" s="314"/>
    </row>
    <row r="122" spans="1:6" ht="66.75" customHeight="1" thickBot="1">
      <c r="A122" s="309">
        <v>28</v>
      </c>
      <c r="B122" s="929" t="s">
        <v>273</v>
      </c>
      <c r="C122" s="407" t="s">
        <v>668</v>
      </c>
      <c r="D122" s="312"/>
      <c r="E122" s="1064">
        <v>3000</v>
      </c>
      <c r="F122" s="314"/>
    </row>
    <row r="123" spans="1:6" ht="66.75" customHeight="1" thickBot="1">
      <c r="A123" s="309">
        <v>29</v>
      </c>
      <c r="B123" s="929" t="s">
        <v>435</v>
      </c>
      <c r="C123" s="407" t="s">
        <v>668</v>
      </c>
      <c r="D123" s="312"/>
      <c r="E123" s="1064">
        <v>3000</v>
      </c>
      <c r="F123" s="314"/>
    </row>
    <row r="124" spans="1:6" ht="50.25" customHeight="1" thickBot="1">
      <c r="A124" s="309">
        <v>30</v>
      </c>
      <c r="B124" s="929" t="s">
        <v>31</v>
      </c>
      <c r="C124" s="407" t="s">
        <v>668</v>
      </c>
      <c r="D124" s="312"/>
      <c r="E124" s="1064">
        <v>3000</v>
      </c>
      <c r="F124" s="314"/>
    </row>
    <row r="125" spans="1:6" ht="66.75" customHeight="1" thickBot="1">
      <c r="A125" s="309">
        <v>31</v>
      </c>
      <c r="B125" s="929" t="s">
        <v>692</v>
      </c>
      <c r="C125" s="407" t="s">
        <v>668</v>
      </c>
      <c r="D125" s="930">
        <v>3000</v>
      </c>
      <c r="E125" s="725"/>
      <c r="F125" s="314"/>
    </row>
    <row r="126" spans="1:6" ht="50.25" customHeight="1" thickBot="1">
      <c r="A126" s="309">
        <v>32</v>
      </c>
      <c r="B126" s="929" t="s">
        <v>732</v>
      </c>
      <c r="C126" s="407" t="s">
        <v>668</v>
      </c>
      <c r="D126" s="930">
        <v>6000</v>
      </c>
      <c r="E126" s="725"/>
      <c r="F126" s="314"/>
    </row>
    <row r="127" spans="1:6" ht="50.25" customHeight="1" thickBot="1">
      <c r="A127" s="309">
        <v>33</v>
      </c>
      <c r="B127" s="929" t="s">
        <v>672</v>
      </c>
      <c r="C127" s="407" t="s">
        <v>668</v>
      </c>
      <c r="D127" s="930">
        <v>3000</v>
      </c>
      <c r="E127" s="1037"/>
      <c r="F127" s="314"/>
    </row>
    <row r="128" spans="1:6" ht="50.25" customHeight="1" thickBot="1">
      <c r="A128" s="309">
        <v>34</v>
      </c>
      <c r="B128" s="929" t="s">
        <v>670</v>
      </c>
      <c r="C128" s="407" t="s">
        <v>668</v>
      </c>
      <c r="D128" s="930">
        <v>6000</v>
      </c>
      <c r="E128" s="1037"/>
      <c r="F128" s="314"/>
    </row>
    <row r="129" spans="1:6" ht="66.75" customHeight="1" thickBot="1">
      <c r="A129" s="309">
        <v>35</v>
      </c>
      <c r="B129" s="929" t="s">
        <v>1473</v>
      </c>
      <c r="C129" s="407" t="s">
        <v>674</v>
      </c>
      <c r="D129" s="312"/>
      <c r="E129" s="1064">
        <v>6000</v>
      </c>
      <c r="F129" s="314"/>
    </row>
    <row r="130" spans="1:6" ht="50.25" customHeight="1" thickBot="1">
      <c r="A130" s="309">
        <v>36</v>
      </c>
      <c r="B130" s="929" t="s">
        <v>741</v>
      </c>
      <c r="C130" s="407" t="s">
        <v>674</v>
      </c>
      <c r="D130" s="930">
        <v>6000</v>
      </c>
      <c r="E130" s="1037"/>
      <c r="F130" s="314"/>
    </row>
    <row r="131" spans="1:6" ht="50.25" customHeight="1" thickBot="1">
      <c r="A131" s="309">
        <v>37</v>
      </c>
      <c r="B131" s="929" t="s">
        <v>675</v>
      </c>
      <c r="C131" s="407" t="s">
        <v>674</v>
      </c>
      <c r="D131" s="930">
        <v>3000</v>
      </c>
      <c r="E131" s="1037"/>
      <c r="F131" s="314"/>
    </row>
    <row r="132" spans="1:6" ht="50.25" customHeight="1" thickBot="1">
      <c r="A132" s="309">
        <v>38</v>
      </c>
      <c r="B132" s="929" t="s">
        <v>17</v>
      </c>
      <c r="C132" s="407" t="s">
        <v>1224</v>
      </c>
      <c r="D132" s="312"/>
      <c r="E132" s="1064">
        <v>20000</v>
      </c>
      <c r="F132" s="314"/>
    </row>
    <row r="133" spans="1:6" ht="17.25" thickBot="1">
      <c r="A133" s="309">
        <v>39</v>
      </c>
      <c r="B133" s="929" t="s">
        <v>144</v>
      </c>
      <c r="C133" s="407" t="s">
        <v>1224</v>
      </c>
      <c r="D133" s="312"/>
      <c r="E133" s="1064">
        <v>50000</v>
      </c>
      <c r="F133" s="314"/>
    </row>
    <row r="134" spans="1:6" ht="17.25" thickBot="1">
      <c r="A134" s="700" t="s">
        <v>758</v>
      </c>
      <c r="B134" s="701"/>
      <c r="C134" s="929"/>
      <c r="D134" s="1095">
        <v>130000</v>
      </c>
      <c r="E134" s="1096">
        <v>283000</v>
      </c>
      <c r="F134" s="696"/>
    </row>
    <row r="135" spans="1:6" ht="17.25" customHeight="1" thickBot="1">
      <c r="A135" s="700" t="s">
        <v>864</v>
      </c>
      <c r="B135" s="701"/>
      <c r="C135" s="929"/>
      <c r="D135" s="1097">
        <v>413000</v>
      </c>
      <c r="E135" s="1098"/>
      <c r="F135" s="312"/>
    </row>
    <row r="136" spans="1:6">
      <c r="A136" s="244" t="s">
        <v>1756</v>
      </c>
    </row>
    <row r="137" spans="1:6">
      <c r="A137" s="244"/>
    </row>
    <row r="138" spans="1:6">
      <c r="A138" s="244"/>
    </row>
    <row r="139" spans="1:6">
      <c r="A139" s="244"/>
    </row>
    <row r="140" spans="1:6">
      <c r="A140" s="244"/>
    </row>
    <row r="141" spans="1:6">
      <c r="A141" s="244"/>
    </row>
    <row r="142" spans="1:6">
      <c r="A142" s="244"/>
    </row>
    <row r="143" spans="1:6">
      <c r="A143" s="244"/>
    </row>
    <row r="144" spans="1:6">
      <c r="A144" s="244"/>
    </row>
    <row r="145" spans="1:1">
      <c r="A145" s="244"/>
    </row>
    <row r="146" spans="1:1">
      <c r="A146" s="244"/>
    </row>
    <row r="147" spans="1:1">
      <c r="A147" s="244"/>
    </row>
    <row r="148" spans="1:1">
      <c r="A148" s="244"/>
    </row>
    <row r="149" spans="1:1">
      <c r="A149" s="244"/>
    </row>
    <row r="150" spans="1:1">
      <c r="A150" s="244"/>
    </row>
    <row r="151" spans="1:1">
      <c r="A151" s="244"/>
    </row>
    <row r="152" spans="1:1">
      <c r="A152" s="244"/>
    </row>
    <row r="153" spans="1:1">
      <c r="A153" s="244"/>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9"/>
  <sheetViews>
    <sheetView topLeftCell="A73" workbookViewId="0">
      <selection activeCell="G67" sqref="G1:G1048576"/>
    </sheetView>
  </sheetViews>
  <sheetFormatPr defaultRowHeight="15"/>
  <cols>
    <col min="2" max="2" width="53.85546875" customWidth="1"/>
    <col min="8" max="8" width="15.28515625" style="561" bestFit="1" customWidth="1"/>
  </cols>
  <sheetData>
    <row r="1" spans="1:8" ht="15.75">
      <c r="A1" s="205" t="s">
        <v>1500</v>
      </c>
    </row>
    <row r="2" spans="1:8" ht="16.5" thickBot="1">
      <c r="A2" s="232" t="s">
        <v>1757</v>
      </c>
    </row>
    <row r="3" spans="1:8" ht="15.75" customHeight="1" thickBot="1">
      <c r="A3" s="704" t="s">
        <v>0</v>
      </c>
      <c r="B3" s="704" t="s">
        <v>121</v>
      </c>
      <c r="C3" s="704" t="s">
        <v>632</v>
      </c>
      <c r="D3" s="716" t="s">
        <v>894</v>
      </c>
      <c r="E3" s="717"/>
      <c r="F3" s="704" t="s">
        <v>699</v>
      </c>
    </row>
    <row r="4" spans="1:8" ht="15.75" thickBot="1">
      <c r="A4" s="718"/>
      <c r="B4" s="718"/>
      <c r="C4" s="718"/>
      <c r="D4" s="705" t="s">
        <v>828</v>
      </c>
      <c r="E4" s="705" t="s">
        <v>829</v>
      </c>
      <c r="F4" s="718"/>
    </row>
    <row r="5" spans="1:8" ht="15.75" thickBot="1">
      <c r="A5" s="706">
        <v>1</v>
      </c>
      <c r="B5" s="707" t="s">
        <v>681</v>
      </c>
      <c r="C5" s="708" t="s">
        <v>642</v>
      </c>
      <c r="D5" s="710"/>
      <c r="E5" s="710">
        <v>30</v>
      </c>
      <c r="F5" s="710"/>
      <c r="G5">
        <v>1000</v>
      </c>
      <c r="H5" s="561">
        <f>E5*G5</f>
        <v>30000</v>
      </c>
    </row>
    <row r="6" spans="1:8" ht="26.25" customHeight="1" thickBot="1">
      <c r="A6" s="706">
        <v>2</v>
      </c>
      <c r="B6" s="707" t="s">
        <v>639</v>
      </c>
      <c r="C6" s="708" t="s">
        <v>717</v>
      </c>
      <c r="D6" s="710"/>
      <c r="E6" s="710">
        <v>30</v>
      </c>
      <c r="F6" s="710"/>
      <c r="G6">
        <v>1000</v>
      </c>
      <c r="H6" s="561">
        <f t="shared" ref="H6:H68" si="0">E6*G6</f>
        <v>30000</v>
      </c>
    </row>
    <row r="7" spans="1:8" ht="26.25" customHeight="1" thickBot="1">
      <c r="A7" s="706">
        <v>3</v>
      </c>
      <c r="B7" s="707" t="s">
        <v>721</v>
      </c>
      <c r="C7" s="708" t="s">
        <v>649</v>
      </c>
      <c r="D7" s="710"/>
      <c r="E7" s="710">
        <v>30</v>
      </c>
      <c r="F7" s="711"/>
      <c r="G7">
        <v>1000</v>
      </c>
      <c r="H7" s="561">
        <f t="shared" si="0"/>
        <v>30000</v>
      </c>
    </row>
    <row r="8" spans="1:8" ht="26.25" customHeight="1" thickBot="1">
      <c r="A8" s="706">
        <v>4</v>
      </c>
      <c r="B8" s="707" t="s">
        <v>205</v>
      </c>
      <c r="C8" s="708" t="s">
        <v>649</v>
      </c>
      <c r="D8" s="710"/>
      <c r="E8" s="710">
        <v>120</v>
      </c>
      <c r="F8" s="710"/>
      <c r="G8">
        <v>1000</v>
      </c>
      <c r="H8" s="561">
        <f t="shared" si="0"/>
        <v>120000</v>
      </c>
    </row>
    <row r="9" spans="1:8" ht="39" customHeight="1" thickBot="1">
      <c r="A9" s="706">
        <v>5</v>
      </c>
      <c r="B9" s="707" t="s">
        <v>687</v>
      </c>
      <c r="C9" s="708" t="s">
        <v>649</v>
      </c>
      <c r="D9" s="710">
        <v>120</v>
      </c>
      <c r="E9" s="312"/>
      <c r="F9" s="710"/>
      <c r="G9">
        <v>1000</v>
      </c>
      <c r="H9" s="561">
        <f t="shared" si="0"/>
        <v>0</v>
      </c>
    </row>
    <row r="10" spans="1:8" ht="39" customHeight="1" thickBot="1">
      <c r="A10" s="706">
        <v>6</v>
      </c>
      <c r="B10" s="707" t="s">
        <v>684</v>
      </c>
      <c r="C10" s="708" t="s">
        <v>649</v>
      </c>
      <c r="D10" s="710">
        <v>60</v>
      </c>
      <c r="E10" s="710"/>
      <c r="F10" s="710"/>
      <c r="G10">
        <v>1000</v>
      </c>
      <c r="H10" s="561">
        <f t="shared" si="0"/>
        <v>0</v>
      </c>
    </row>
    <row r="11" spans="1:8" ht="39" customHeight="1" thickBot="1">
      <c r="A11" s="706">
        <v>7</v>
      </c>
      <c r="B11" s="707" t="s">
        <v>686</v>
      </c>
      <c r="C11" s="708" t="s">
        <v>649</v>
      </c>
      <c r="D11" s="710">
        <v>90</v>
      </c>
      <c r="E11" s="312"/>
      <c r="F11" s="710"/>
      <c r="G11">
        <v>1000</v>
      </c>
      <c r="H11" s="561">
        <f t="shared" si="0"/>
        <v>0</v>
      </c>
    </row>
    <row r="12" spans="1:8" ht="26.25" customHeight="1" thickBot="1">
      <c r="A12" s="706">
        <v>8</v>
      </c>
      <c r="B12" s="707" t="s">
        <v>683</v>
      </c>
      <c r="C12" s="708" t="s">
        <v>646</v>
      </c>
      <c r="D12" s="710">
        <v>30</v>
      </c>
      <c r="E12" s="312"/>
      <c r="F12" s="710"/>
      <c r="G12">
        <v>1000</v>
      </c>
      <c r="H12" s="561">
        <f t="shared" si="0"/>
        <v>0</v>
      </c>
    </row>
    <row r="13" spans="1:8" ht="39" customHeight="1" thickBot="1">
      <c r="A13" s="706">
        <v>9</v>
      </c>
      <c r="B13" s="707" t="s">
        <v>732</v>
      </c>
      <c r="C13" s="708" t="s">
        <v>668</v>
      </c>
      <c r="D13" s="710">
        <v>30</v>
      </c>
      <c r="E13" s="710"/>
      <c r="F13" s="710"/>
      <c r="G13">
        <v>1000</v>
      </c>
      <c r="H13" s="561">
        <f t="shared" si="0"/>
        <v>0</v>
      </c>
    </row>
    <row r="14" spans="1:8" ht="15.75" thickBot="1">
      <c r="A14" s="706">
        <v>10</v>
      </c>
      <c r="B14" s="707" t="s">
        <v>670</v>
      </c>
      <c r="C14" s="708" t="s">
        <v>668</v>
      </c>
      <c r="D14" s="710">
        <v>30</v>
      </c>
      <c r="E14" s="710"/>
      <c r="F14" s="710"/>
      <c r="G14">
        <v>1000</v>
      </c>
      <c r="H14" s="561">
        <f t="shared" si="0"/>
        <v>0</v>
      </c>
    </row>
    <row r="15" spans="1:8" ht="15.75" thickBot="1">
      <c r="A15" s="719" t="s">
        <v>758</v>
      </c>
      <c r="B15" s="720"/>
      <c r="C15" s="712"/>
      <c r="D15" s="695">
        <v>360000</v>
      </c>
      <c r="E15" s="695">
        <v>210000</v>
      </c>
      <c r="F15" s="714"/>
      <c r="G15">
        <v>1000</v>
      </c>
    </row>
    <row r="16" spans="1:8" ht="15.75" customHeight="1" thickBot="1">
      <c r="A16" s="719" t="s">
        <v>864</v>
      </c>
      <c r="B16" s="720"/>
      <c r="C16" s="712"/>
      <c r="D16" s="702">
        <v>570000</v>
      </c>
      <c r="E16" s="703"/>
      <c r="F16" s="715"/>
      <c r="G16">
        <v>1000</v>
      </c>
      <c r="H16" s="561">
        <f t="shared" si="0"/>
        <v>0</v>
      </c>
    </row>
    <row r="17" spans="1:8">
      <c r="A17" s="244" t="s">
        <v>1758</v>
      </c>
      <c r="G17">
        <v>1000</v>
      </c>
      <c r="H17" s="561">
        <f t="shared" si="0"/>
        <v>0</v>
      </c>
    </row>
    <row r="18" spans="1:8" ht="15.75">
      <c r="A18" s="205"/>
      <c r="G18">
        <v>1000</v>
      </c>
      <c r="H18" s="561">
        <f t="shared" si="0"/>
        <v>0</v>
      </c>
    </row>
    <row r="19" spans="1:8" ht="15.75">
      <c r="A19" s="205" t="s">
        <v>1759</v>
      </c>
      <c r="G19">
        <v>1000</v>
      </c>
      <c r="H19" s="561">
        <f t="shared" si="0"/>
        <v>0</v>
      </c>
    </row>
    <row r="20" spans="1:8" ht="16.5" thickBot="1">
      <c r="A20" s="232" t="s">
        <v>1760</v>
      </c>
      <c r="G20">
        <v>1000</v>
      </c>
      <c r="H20" s="561">
        <f t="shared" si="0"/>
        <v>0</v>
      </c>
    </row>
    <row r="21" spans="1:8" ht="48" thickBot="1">
      <c r="A21" s="796" t="s">
        <v>0</v>
      </c>
      <c r="B21" s="797" t="s">
        <v>121</v>
      </c>
      <c r="C21" s="797" t="s">
        <v>632</v>
      </c>
      <c r="D21" s="797" t="s">
        <v>1761</v>
      </c>
      <c r="E21" s="797" t="s">
        <v>699</v>
      </c>
      <c r="G21">
        <v>1000</v>
      </c>
    </row>
    <row r="22" spans="1:8" ht="26.25" thickBot="1">
      <c r="A22" s="694">
        <v>1</v>
      </c>
      <c r="B22" s="707" t="s">
        <v>842</v>
      </c>
      <c r="C22" s="708" t="s">
        <v>1171</v>
      </c>
      <c r="D22" s="709">
        <v>36000</v>
      </c>
      <c r="E22" s="449"/>
      <c r="G22">
        <v>1000</v>
      </c>
      <c r="H22" s="561">
        <f t="shared" si="0"/>
        <v>0</v>
      </c>
    </row>
    <row r="23" spans="1:8" ht="39" customHeight="1" thickBot="1">
      <c r="A23" s="694">
        <v>2</v>
      </c>
      <c r="B23" s="707" t="s">
        <v>1229</v>
      </c>
      <c r="C23" s="708" t="s">
        <v>1171</v>
      </c>
      <c r="D23" s="709">
        <v>30000</v>
      </c>
      <c r="E23" s="449"/>
      <c r="G23">
        <v>1000</v>
      </c>
      <c r="H23" s="561">
        <f t="shared" si="0"/>
        <v>0</v>
      </c>
    </row>
    <row r="24" spans="1:8" ht="26.25" thickBot="1">
      <c r="A24" s="694">
        <v>3</v>
      </c>
      <c r="B24" s="707" t="s">
        <v>862</v>
      </c>
      <c r="C24" s="708" t="s">
        <v>1182</v>
      </c>
      <c r="D24" s="709">
        <v>30000</v>
      </c>
      <c r="E24" s="449"/>
      <c r="G24">
        <v>1000</v>
      </c>
      <c r="H24" s="561">
        <f t="shared" si="0"/>
        <v>0</v>
      </c>
    </row>
    <row r="25" spans="1:8" ht="26.25" thickBot="1">
      <c r="A25" s="694">
        <v>4</v>
      </c>
      <c r="B25" s="707" t="s">
        <v>1479</v>
      </c>
      <c r="C25" s="708" t="s">
        <v>1179</v>
      </c>
      <c r="D25" s="709">
        <v>30000</v>
      </c>
      <c r="E25" s="449"/>
      <c r="G25">
        <v>1000</v>
      </c>
      <c r="H25" s="561">
        <f t="shared" si="0"/>
        <v>0</v>
      </c>
    </row>
    <row r="26" spans="1:8" ht="26.25" thickBot="1">
      <c r="A26" s="694">
        <v>5</v>
      </c>
      <c r="B26" s="1099" t="s">
        <v>855</v>
      </c>
      <c r="C26" s="708" t="s">
        <v>1182</v>
      </c>
      <c r="D26" s="1100">
        <v>6000</v>
      </c>
      <c r="E26" s="449"/>
      <c r="G26">
        <v>1000</v>
      </c>
      <c r="H26" s="561">
        <f t="shared" si="0"/>
        <v>0</v>
      </c>
    </row>
    <row r="27" spans="1:8" ht="16.5" thickBot="1">
      <c r="A27" s="401" t="s">
        <v>758</v>
      </c>
      <c r="B27" s="402"/>
      <c r="C27" s="336"/>
      <c r="D27" s="388">
        <v>132000</v>
      </c>
      <c r="E27" s="696"/>
      <c r="G27">
        <v>1000</v>
      </c>
      <c r="H27" s="561">
        <f t="shared" si="0"/>
        <v>0</v>
      </c>
    </row>
    <row r="28" spans="1:8">
      <c r="A28" s="244" t="s">
        <v>1762</v>
      </c>
      <c r="G28">
        <v>1000</v>
      </c>
      <c r="H28" s="561">
        <f t="shared" si="0"/>
        <v>0</v>
      </c>
    </row>
    <row r="29" spans="1:8">
      <c r="A29" s="244"/>
      <c r="G29">
        <v>1000</v>
      </c>
      <c r="H29" s="561">
        <f t="shared" si="0"/>
        <v>0</v>
      </c>
    </row>
    <row r="30" spans="1:8">
      <c r="A30" s="244"/>
      <c r="G30">
        <v>1000</v>
      </c>
      <c r="H30" s="561">
        <f t="shared" si="0"/>
        <v>0</v>
      </c>
    </row>
    <row r="31" spans="1:8">
      <c r="A31" s="244"/>
      <c r="G31">
        <v>1000</v>
      </c>
      <c r="H31" s="561">
        <f t="shared" si="0"/>
        <v>0</v>
      </c>
    </row>
    <row r="32" spans="1:8">
      <c r="A32" s="244"/>
      <c r="G32">
        <v>1000</v>
      </c>
      <c r="H32" s="561">
        <f t="shared" si="0"/>
        <v>0</v>
      </c>
    </row>
    <row r="33" spans="1:8">
      <c r="A33" s="244"/>
      <c r="G33">
        <v>1000</v>
      </c>
      <c r="H33" s="561">
        <f t="shared" si="0"/>
        <v>0</v>
      </c>
    </row>
    <row r="34" spans="1:8" ht="15.75">
      <c r="A34" s="205"/>
      <c r="G34">
        <v>1000</v>
      </c>
      <c r="H34" s="561">
        <f t="shared" si="0"/>
        <v>0</v>
      </c>
    </row>
    <row r="35" spans="1:8" ht="15.75">
      <c r="A35" s="205" t="s">
        <v>1763</v>
      </c>
      <c r="G35">
        <v>1000</v>
      </c>
      <c r="H35" s="561">
        <f t="shared" si="0"/>
        <v>0</v>
      </c>
    </row>
    <row r="36" spans="1:8" ht="15.75">
      <c r="A36" s="205" t="s">
        <v>1764</v>
      </c>
      <c r="G36">
        <v>1000</v>
      </c>
      <c r="H36" s="561">
        <f t="shared" si="0"/>
        <v>0</v>
      </c>
    </row>
    <row r="37" spans="1:8" ht="16.5" thickBot="1">
      <c r="A37" s="232" t="s">
        <v>1760</v>
      </c>
      <c r="G37">
        <v>1000</v>
      </c>
      <c r="H37" s="561">
        <f t="shared" si="0"/>
        <v>0</v>
      </c>
    </row>
    <row r="38" spans="1:8" ht="28.5" customHeight="1" thickBot="1">
      <c r="A38" s="939" t="s">
        <v>0</v>
      </c>
      <c r="B38" s="939" t="s">
        <v>121</v>
      </c>
      <c r="C38" s="939" t="s">
        <v>632</v>
      </c>
      <c r="D38" s="941" t="s">
        <v>894</v>
      </c>
      <c r="E38" s="942"/>
      <c r="F38" s="939" t="s">
        <v>699</v>
      </c>
      <c r="G38">
        <v>1000</v>
      </c>
      <c r="H38" s="561">
        <f t="shared" si="0"/>
        <v>0</v>
      </c>
    </row>
    <row r="39" spans="1:8" ht="15.75" thickBot="1">
      <c r="A39" s="943"/>
      <c r="B39" s="943"/>
      <c r="C39" s="943"/>
      <c r="D39" s="940" t="s">
        <v>828</v>
      </c>
      <c r="E39" s="940" t="s">
        <v>829</v>
      </c>
      <c r="F39" s="943"/>
      <c r="G39">
        <v>1000</v>
      </c>
    </row>
    <row r="40" spans="1:8" ht="15.75" thickBot="1">
      <c r="A40" s="694">
        <v>1</v>
      </c>
      <c r="B40" s="707" t="s">
        <v>91</v>
      </c>
      <c r="C40" s="708" t="s">
        <v>650</v>
      </c>
      <c r="D40" s="710"/>
      <c r="E40" s="709">
        <v>155000</v>
      </c>
      <c r="F40" s="314"/>
      <c r="G40">
        <v>1000</v>
      </c>
      <c r="H40" s="561">
        <v>155000</v>
      </c>
    </row>
    <row r="41" spans="1:8" ht="26.25" customHeight="1" thickBot="1">
      <c r="A41" s="694">
        <v>2</v>
      </c>
      <c r="B41" s="707" t="s">
        <v>640</v>
      </c>
      <c r="C41" s="708" t="s">
        <v>717</v>
      </c>
      <c r="D41" s="709">
        <v>20000</v>
      </c>
      <c r="E41" s="314"/>
      <c r="F41" s="314"/>
      <c r="G41">
        <v>1000</v>
      </c>
      <c r="H41" s="561">
        <f t="shared" si="0"/>
        <v>0</v>
      </c>
    </row>
    <row r="42" spans="1:8" ht="51.75" customHeight="1" thickBot="1">
      <c r="A42" s="694">
        <v>3</v>
      </c>
      <c r="B42" s="707" t="s">
        <v>289</v>
      </c>
      <c r="C42" s="708" t="s">
        <v>646</v>
      </c>
      <c r="D42" s="710"/>
      <c r="E42" s="709">
        <v>10000</v>
      </c>
      <c r="F42" s="449"/>
      <c r="G42">
        <v>1000</v>
      </c>
      <c r="H42" s="561">
        <v>10000</v>
      </c>
    </row>
    <row r="43" spans="1:8" ht="15.75" thickBot="1">
      <c r="A43" s="694">
        <v>4</v>
      </c>
      <c r="B43" s="707" t="s">
        <v>732</v>
      </c>
      <c r="C43" s="708" t="s">
        <v>668</v>
      </c>
      <c r="D43" s="709">
        <v>10000</v>
      </c>
      <c r="E43" s="314"/>
      <c r="F43" s="314"/>
      <c r="G43">
        <v>1000</v>
      </c>
      <c r="H43" s="561">
        <f t="shared" si="0"/>
        <v>0</v>
      </c>
    </row>
    <row r="44" spans="1:8" ht="15.75" thickBot="1">
      <c r="A44" s="700" t="s">
        <v>758</v>
      </c>
      <c r="B44" s="701"/>
      <c r="C44" s="318"/>
      <c r="D44" s="695">
        <v>30000</v>
      </c>
      <c r="E44" s="695">
        <v>165000</v>
      </c>
      <c r="F44" s="696"/>
      <c r="G44">
        <v>1000</v>
      </c>
    </row>
    <row r="45" spans="1:8" ht="15.75" customHeight="1" thickBot="1">
      <c r="A45" s="700" t="s">
        <v>864</v>
      </c>
      <c r="B45" s="701"/>
      <c r="C45" s="318"/>
      <c r="D45" s="702">
        <v>195000</v>
      </c>
      <c r="E45" s="703"/>
      <c r="F45" s="697"/>
      <c r="G45">
        <v>1000</v>
      </c>
      <c r="H45" s="561">
        <f t="shared" si="0"/>
        <v>0</v>
      </c>
    </row>
    <row r="46" spans="1:8">
      <c r="A46" s="244" t="s">
        <v>1765</v>
      </c>
      <c r="G46">
        <v>1000</v>
      </c>
      <c r="H46" s="561">
        <f t="shared" si="0"/>
        <v>0</v>
      </c>
    </row>
    <row r="47" spans="1:8">
      <c r="A47" s="244"/>
      <c r="G47">
        <v>1000</v>
      </c>
      <c r="H47" s="561">
        <f t="shared" si="0"/>
        <v>0</v>
      </c>
    </row>
    <row r="48" spans="1:8">
      <c r="A48" s="244"/>
      <c r="G48">
        <v>1000</v>
      </c>
      <c r="H48" s="561">
        <f t="shared" si="0"/>
        <v>0</v>
      </c>
    </row>
    <row r="49" spans="1:8">
      <c r="A49" s="244"/>
      <c r="G49">
        <v>1000</v>
      </c>
      <c r="H49" s="561">
        <f t="shared" si="0"/>
        <v>0</v>
      </c>
    </row>
    <row r="50" spans="1:8">
      <c r="A50" s="244"/>
      <c r="G50">
        <v>1000</v>
      </c>
      <c r="H50" s="561">
        <f t="shared" si="0"/>
        <v>0</v>
      </c>
    </row>
    <row r="51" spans="1:8">
      <c r="A51" s="244"/>
      <c r="G51">
        <v>1000</v>
      </c>
      <c r="H51" s="561">
        <f t="shared" si="0"/>
        <v>0</v>
      </c>
    </row>
    <row r="52" spans="1:8">
      <c r="A52" s="244"/>
      <c r="G52">
        <v>1000</v>
      </c>
      <c r="H52" s="561">
        <f t="shared" si="0"/>
        <v>0</v>
      </c>
    </row>
    <row r="53" spans="1:8">
      <c r="A53" s="244"/>
      <c r="G53">
        <v>1000</v>
      </c>
      <c r="H53" s="561">
        <f t="shared" si="0"/>
        <v>0</v>
      </c>
    </row>
    <row r="54" spans="1:8" ht="15.75">
      <c r="A54" s="205"/>
      <c r="G54">
        <v>1000</v>
      </c>
      <c r="H54" s="561">
        <f t="shared" si="0"/>
        <v>0</v>
      </c>
    </row>
    <row r="55" spans="1:8" ht="15.75">
      <c r="A55" s="205" t="s">
        <v>1654</v>
      </c>
      <c r="G55">
        <v>1000</v>
      </c>
      <c r="H55" s="561">
        <f t="shared" si="0"/>
        <v>0</v>
      </c>
    </row>
    <row r="56" spans="1:8" ht="16.5" thickBot="1">
      <c r="A56" s="232" t="s">
        <v>1766</v>
      </c>
      <c r="G56">
        <v>1000</v>
      </c>
      <c r="H56" s="561">
        <f t="shared" si="0"/>
        <v>0</v>
      </c>
    </row>
    <row r="57" spans="1:8" ht="15.75" customHeight="1" thickBot="1">
      <c r="A57" s="704" t="s">
        <v>0</v>
      </c>
      <c r="B57" s="704" t="s">
        <v>121</v>
      </c>
      <c r="C57" s="704" t="s">
        <v>632</v>
      </c>
      <c r="D57" s="716" t="s">
        <v>894</v>
      </c>
      <c r="E57" s="717"/>
      <c r="F57" s="704" t="s">
        <v>699</v>
      </c>
      <c r="G57">
        <v>1000</v>
      </c>
      <c r="H57" s="561">
        <f t="shared" si="0"/>
        <v>0</v>
      </c>
    </row>
    <row r="58" spans="1:8" ht="15.75" thickBot="1">
      <c r="A58" s="718"/>
      <c r="B58" s="718"/>
      <c r="C58" s="718"/>
      <c r="D58" s="705" t="s">
        <v>828</v>
      </c>
      <c r="E58" s="705" t="s">
        <v>829</v>
      </c>
      <c r="F58" s="718"/>
      <c r="G58">
        <v>1000</v>
      </c>
      <c r="H58" s="561" t="e">
        <f t="shared" si="0"/>
        <v>#VALUE!</v>
      </c>
    </row>
    <row r="59" spans="1:8" ht="15.75" thickBot="1">
      <c r="A59" s="706">
        <v>1</v>
      </c>
      <c r="B59" s="707" t="s">
        <v>640</v>
      </c>
      <c r="C59" s="708" t="s">
        <v>636</v>
      </c>
      <c r="D59" s="709">
        <v>12000</v>
      </c>
      <c r="E59" s="710"/>
      <c r="F59" s="710"/>
      <c r="G59">
        <v>1000</v>
      </c>
      <c r="H59" s="561">
        <f t="shared" si="0"/>
        <v>0</v>
      </c>
    </row>
    <row r="60" spans="1:8" ht="39" customHeight="1" thickBot="1">
      <c r="A60" s="706">
        <v>2</v>
      </c>
      <c r="B60" s="707" t="s">
        <v>154</v>
      </c>
      <c r="C60" s="708" t="s">
        <v>636</v>
      </c>
      <c r="D60" s="710"/>
      <c r="E60" s="709">
        <v>6000</v>
      </c>
      <c r="F60" s="710"/>
      <c r="G60">
        <v>1000</v>
      </c>
      <c r="H60" s="561">
        <v>6000</v>
      </c>
    </row>
    <row r="61" spans="1:8" ht="39" customHeight="1" thickBot="1">
      <c r="A61" s="706">
        <v>3</v>
      </c>
      <c r="B61" s="707" t="s">
        <v>776</v>
      </c>
      <c r="C61" s="708" t="s">
        <v>642</v>
      </c>
      <c r="D61" s="710"/>
      <c r="E61" s="709">
        <v>6000</v>
      </c>
      <c r="F61" s="711"/>
      <c r="G61">
        <v>1000</v>
      </c>
      <c r="H61" s="561">
        <v>6000</v>
      </c>
    </row>
    <row r="62" spans="1:8" ht="26.25" customHeight="1" thickBot="1">
      <c r="A62" s="706">
        <v>4</v>
      </c>
      <c r="B62" s="707" t="s">
        <v>778</v>
      </c>
      <c r="C62" s="708" t="s">
        <v>642</v>
      </c>
      <c r="D62" s="710"/>
      <c r="E62" s="709">
        <v>12000</v>
      </c>
      <c r="F62" s="710"/>
      <c r="G62">
        <v>1000</v>
      </c>
      <c r="H62" s="561">
        <v>12000</v>
      </c>
    </row>
    <row r="63" spans="1:8" ht="39" customHeight="1" thickBot="1">
      <c r="A63" s="706">
        <v>5</v>
      </c>
      <c r="B63" s="707" t="s">
        <v>681</v>
      </c>
      <c r="C63" s="708" t="s">
        <v>642</v>
      </c>
      <c r="D63" s="710"/>
      <c r="E63" s="709">
        <v>6000</v>
      </c>
      <c r="F63" s="710"/>
      <c r="G63">
        <v>1000</v>
      </c>
      <c r="H63" s="561">
        <v>6000</v>
      </c>
    </row>
    <row r="64" spans="1:8" ht="39" customHeight="1" thickBot="1">
      <c r="A64" s="706">
        <v>6</v>
      </c>
      <c r="B64" s="707" t="s">
        <v>65</v>
      </c>
      <c r="C64" s="708" t="s">
        <v>646</v>
      </c>
      <c r="D64" s="710"/>
      <c r="E64" s="709">
        <v>12000</v>
      </c>
      <c r="F64" s="710"/>
      <c r="G64">
        <v>1000</v>
      </c>
      <c r="H64" s="561">
        <v>12000</v>
      </c>
    </row>
    <row r="65" spans="1:8" ht="39" customHeight="1" thickBot="1">
      <c r="A65" s="706">
        <v>7</v>
      </c>
      <c r="B65" s="707" t="s">
        <v>1434</v>
      </c>
      <c r="C65" s="708" t="s">
        <v>646</v>
      </c>
      <c r="D65" s="710"/>
      <c r="E65" s="709">
        <v>6000</v>
      </c>
      <c r="F65" s="710"/>
      <c r="G65">
        <v>1000</v>
      </c>
      <c r="H65" s="561">
        <v>6000</v>
      </c>
    </row>
    <row r="66" spans="1:8" ht="26.25" customHeight="1" thickBot="1">
      <c r="A66" s="706">
        <v>8</v>
      </c>
      <c r="B66" s="707" t="s">
        <v>723</v>
      </c>
      <c r="C66" s="708" t="s">
        <v>646</v>
      </c>
      <c r="D66" s="709">
        <v>6000</v>
      </c>
      <c r="E66" s="312"/>
      <c r="F66" s="710"/>
      <c r="G66">
        <v>1000</v>
      </c>
      <c r="H66" s="561">
        <f t="shared" si="0"/>
        <v>0</v>
      </c>
    </row>
    <row r="67" spans="1:8" ht="26.25" customHeight="1" thickBot="1">
      <c r="A67" s="706">
        <v>9</v>
      </c>
      <c r="B67" s="707" t="s">
        <v>205</v>
      </c>
      <c r="C67" s="708" t="s">
        <v>649</v>
      </c>
      <c r="D67" s="710"/>
      <c r="E67" s="709">
        <v>12000</v>
      </c>
      <c r="F67" s="710"/>
      <c r="G67">
        <v>1000</v>
      </c>
      <c r="H67" s="561">
        <v>12000</v>
      </c>
    </row>
    <row r="68" spans="1:8" ht="39" customHeight="1" thickBot="1">
      <c r="A68" s="706">
        <v>10</v>
      </c>
      <c r="B68" s="707" t="s">
        <v>638</v>
      </c>
      <c r="C68" s="708" t="s">
        <v>649</v>
      </c>
      <c r="D68" s="709">
        <v>6000</v>
      </c>
      <c r="E68" s="710"/>
      <c r="F68" s="710"/>
      <c r="G68">
        <v>1000</v>
      </c>
      <c r="H68" s="561">
        <f t="shared" si="0"/>
        <v>0</v>
      </c>
    </row>
    <row r="69" spans="1:8" ht="39" customHeight="1" thickBot="1">
      <c r="A69" s="706">
        <v>11</v>
      </c>
      <c r="B69" s="707" t="s">
        <v>81</v>
      </c>
      <c r="C69" s="708" t="s">
        <v>649</v>
      </c>
      <c r="D69" s="710"/>
      <c r="E69" s="709">
        <v>6000</v>
      </c>
      <c r="F69" s="710"/>
      <c r="G69">
        <v>1000</v>
      </c>
      <c r="H69" s="561">
        <v>6000</v>
      </c>
    </row>
    <row r="70" spans="1:8" ht="26.25" customHeight="1" thickBot="1">
      <c r="A70" s="706">
        <v>12</v>
      </c>
      <c r="B70" s="707" t="s">
        <v>91</v>
      </c>
      <c r="C70" s="708" t="s">
        <v>650</v>
      </c>
      <c r="D70" s="710"/>
      <c r="E70" s="709">
        <v>36000</v>
      </c>
      <c r="F70" s="710"/>
      <c r="G70">
        <v>1000</v>
      </c>
      <c r="H70" s="561">
        <v>36000</v>
      </c>
    </row>
    <row r="71" spans="1:8" ht="39" customHeight="1" thickBot="1">
      <c r="A71" s="706">
        <v>13</v>
      </c>
      <c r="B71" s="707" t="s">
        <v>83</v>
      </c>
      <c r="C71" s="708" t="s">
        <v>650</v>
      </c>
      <c r="D71" s="710"/>
      <c r="E71" s="709">
        <v>6000</v>
      </c>
      <c r="F71" s="710"/>
      <c r="G71">
        <v>1000</v>
      </c>
      <c r="H71" s="561">
        <v>6000</v>
      </c>
    </row>
    <row r="72" spans="1:8" ht="26.25" customHeight="1" thickBot="1">
      <c r="A72" s="706">
        <v>14</v>
      </c>
      <c r="B72" s="707" t="s">
        <v>48</v>
      </c>
      <c r="C72" s="708" t="s">
        <v>653</v>
      </c>
      <c r="D72" s="710"/>
      <c r="E72" s="709">
        <v>6000</v>
      </c>
      <c r="F72" s="710"/>
      <c r="G72">
        <v>1000</v>
      </c>
      <c r="H72" s="561">
        <v>6000</v>
      </c>
    </row>
    <row r="73" spans="1:8" ht="26.25" customHeight="1" thickBot="1">
      <c r="A73" s="706">
        <v>15</v>
      </c>
      <c r="B73" s="707" t="s">
        <v>146</v>
      </c>
      <c r="C73" s="708" t="s">
        <v>653</v>
      </c>
      <c r="D73" s="710"/>
      <c r="E73" s="709">
        <v>6000</v>
      </c>
      <c r="F73" s="710"/>
      <c r="G73">
        <v>1000</v>
      </c>
      <c r="H73" s="561">
        <v>6000</v>
      </c>
    </row>
    <row r="74" spans="1:8" ht="39" customHeight="1" thickBot="1">
      <c r="A74" s="706">
        <v>16</v>
      </c>
      <c r="B74" s="707" t="s">
        <v>56</v>
      </c>
      <c r="C74" s="708" t="s">
        <v>653</v>
      </c>
      <c r="D74" s="710"/>
      <c r="E74" s="709">
        <v>12000</v>
      </c>
      <c r="F74" s="710"/>
      <c r="G74">
        <v>1000</v>
      </c>
      <c r="H74" s="561">
        <v>12000</v>
      </c>
    </row>
    <row r="75" spans="1:8" ht="39" customHeight="1" thickBot="1">
      <c r="A75" s="706">
        <v>17</v>
      </c>
      <c r="B75" s="707" t="s">
        <v>50</v>
      </c>
      <c r="C75" s="708" t="s">
        <v>653</v>
      </c>
      <c r="D75" s="710"/>
      <c r="E75" s="709">
        <v>6000</v>
      </c>
      <c r="F75" s="710"/>
      <c r="G75">
        <v>1000</v>
      </c>
      <c r="H75" s="561">
        <v>6000</v>
      </c>
    </row>
    <row r="76" spans="1:8" ht="39" customHeight="1" thickBot="1">
      <c r="A76" s="706">
        <v>18</v>
      </c>
      <c r="B76" s="707" t="s">
        <v>295</v>
      </c>
      <c r="C76" s="708" t="s">
        <v>668</v>
      </c>
      <c r="D76" s="710"/>
      <c r="E76" s="709">
        <v>6000</v>
      </c>
      <c r="F76" s="710"/>
      <c r="G76">
        <v>1000</v>
      </c>
      <c r="H76" s="561">
        <v>6000</v>
      </c>
    </row>
    <row r="77" spans="1:8" ht="26.25" customHeight="1" thickBot="1">
      <c r="A77" s="706">
        <v>19</v>
      </c>
      <c r="B77" s="707" t="s">
        <v>693</v>
      </c>
      <c r="C77" s="708" t="s">
        <v>668</v>
      </c>
      <c r="D77" s="709">
        <v>12000</v>
      </c>
      <c r="E77" s="710"/>
      <c r="F77" s="710"/>
      <c r="G77">
        <v>1000</v>
      </c>
      <c r="H77" s="561">
        <f t="shared" ref="H77:H89" si="1">E77*G77</f>
        <v>0</v>
      </c>
    </row>
    <row r="78" spans="1:8" ht="26.25" customHeight="1" thickBot="1">
      <c r="A78" s="706">
        <v>20</v>
      </c>
      <c r="B78" s="707" t="s">
        <v>1316</v>
      </c>
      <c r="C78" s="708" t="s">
        <v>668</v>
      </c>
      <c r="D78" s="710"/>
      <c r="E78" s="709">
        <v>6000</v>
      </c>
      <c r="F78" s="710"/>
      <c r="G78">
        <v>1000</v>
      </c>
      <c r="H78" s="561">
        <v>6000</v>
      </c>
    </row>
    <row r="79" spans="1:8" ht="39" customHeight="1" thickBot="1">
      <c r="A79" s="706">
        <v>21</v>
      </c>
      <c r="B79" s="707" t="s">
        <v>672</v>
      </c>
      <c r="C79" s="708" t="s">
        <v>668</v>
      </c>
      <c r="D79" s="709">
        <v>6000</v>
      </c>
      <c r="E79" s="710"/>
      <c r="F79" s="710"/>
      <c r="G79">
        <v>1000</v>
      </c>
      <c r="H79" s="561">
        <f t="shared" si="1"/>
        <v>0</v>
      </c>
    </row>
    <row r="80" spans="1:8" ht="39" customHeight="1" thickBot="1">
      <c r="A80" s="706">
        <v>22</v>
      </c>
      <c r="B80" s="707" t="s">
        <v>39</v>
      </c>
      <c r="C80" s="708" t="s">
        <v>668</v>
      </c>
      <c r="D80" s="710"/>
      <c r="E80" s="709">
        <v>6000</v>
      </c>
      <c r="F80" s="710"/>
      <c r="G80">
        <v>1000</v>
      </c>
      <c r="H80" s="561">
        <v>6000</v>
      </c>
    </row>
    <row r="81" spans="1:8" ht="26.25" customHeight="1" thickBot="1">
      <c r="A81" s="706">
        <v>23</v>
      </c>
      <c r="B81" s="707" t="s">
        <v>213</v>
      </c>
      <c r="C81" s="708" t="s">
        <v>668</v>
      </c>
      <c r="D81" s="710"/>
      <c r="E81" s="709">
        <v>6000</v>
      </c>
      <c r="F81" s="710"/>
      <c r="G81">
        <v>1000</v>
      </c>
      <c r="H81" s="561">
        <v>6000</v>
      </c>
    </row>
    <row r="82" spans="1:8" ht="39" customHeight="1" thickBot="1">
      <c r="A82" s="706">
        <v>24</v>
      </c>
      <c r="B82" s="707" t="s">
        <v>150</v>
      </c>
      <c r="C82" s="708" t="s">
        <v>674</v>
      </c>
      <c r="D82" s="710"/>
      <c r="E82" s="709">
        <v>18000</v>
      </c>
      <c r="F82" s="710"/>
      <c r="G82">
        <v>1000</v>
      </c>
      <c r="H82" s="561">
        <v>18000</v>
      </c>
    </row>
    <row r="83" spans="1:8" ht="26.25" customHeight="1" thickBot="1">
      <c r="A83" s="706">
        <v>25</v>
      </c>
      <c r="B83" s="707" t="s">
        <v>741</v>
      </c>
      <c r="C83" s="708" t="s">
        <v>674</v>
      </c>
      <c r="D83" s="709">
        <v>18000</v>
      </c>
      <c r="E83" s="710"/>
      <c r="F83" s="710"/>
      <c r="G83">
        <v>1000</v>
      </c>
      <c r="H83" s="561">
        <f t="shared" si="1"/>
        <v>0</v>
      </c>
    </row>
    <row r="84" spans="1:8" ht="15.75" thickBot="1">
      <c r="A84" s="706">
        <v>26</v>
      </c>
      <c r="B84" s="707" t="s">
        <v>675</v>
      </c>
      <c r="C84" s="708" t="s">
        <v>674</v>
      </c>
      <c r="D84" s="709">
        <v>6000</v>
      </c>
      <c r="E84" s="710"/>
      <c r="F84" s="710"/>
      <c r="G84">
        <v>1000</v>
      </c>
      <c r="H84" s="561">
        <f t="shared" si="1"/>
        <v>0</v>
      </c>
    </row>
    <row r="85" spans="1:8" ht="15.75" thickBot="1">
      <c r="A85" s="719" t="s">
        <v>758</v>
      </c>
      <c r="B85" s="720"/>
      <c r="C85" s="712"/>
      <c r="D85" s="695">
        <v>66000</v>
      </c>
      <c r="E85" s="695">
        <v>180000</v>
      </c>
      <c r="F85" s="714"/>
      <c r="G85">
        <v>1000</v>
      </c>
    </row>
    <row r="86" spans="1:8" ht="15.75" customHeight="1" thickBot="1">
      <c r="A86" s="719" t="s">
        <v>864</v>
      </c>
      <c r="B86" s="720"/>
      <c r="C86" s="712"/>
      <c r="D86" s="702">
        <v>246000</v>
      </c>
      <c r="E86" s="703"/>
      <c r="F86" s="715"/>
      <c r="G86">
        <v>1000</v>
      </c>
      <c r="H86" s="561">
        <f t="shared" si="1"/>
        <v>0</v>
      </c>
    </row>
    <row r="87" spans="1:8">
      <c r="A87" s="244" t="s">
        <v>1767</v>
      </c>
      <c r="G87">
        <v>1000</v>
      </c>
      <c r="H87" s="561">
        <f t="shared" si="1"/>
        <v>0</v>
      </c>
    </row>
    <row r="88" spans="1:8">
      <c r="A88" s="244"/>
      <c r="G88">
        <v>1000</v>
      </c>
      <c r="H88" s="561">
        <f t="shared" si="1"/>
        <v>0</v>
      </c>
    </row>
    <row r="89" spans="1:8">
      <c r="A89" s="244"/>
      <c r="H89" s="561">
        <f t="shared" si="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2"/>
  <sheetViews>
    <sheetView topLeftCell="A96" workbookViewId="0">
      <selection activeCell="G67" sqref="G1:G1048576"/>
    </sheetView>
  </sheetViews>
  <sheetFormatPr defaultRowHeight="15"/>
  <cols>
    <col min="2" max="2" width="39.140625" customWidth="1"/>
    <col min="4" max="4" width="13.28515625" customWidth="1"/>
    <col min="5" max="5" width="9.140625" style="68"/>
  </cols>
  <sheetData>
    <row r="1" spans="1:6" ht="16.5">
      <c r="A1" s="246"/>
      <c r="B1" s="248"/>
    </row>
    <row r="2" spans="1:6" ht="15.75">
      <c r="A2" s="205" t="s">
        <v>868</v>
      </c>
    </row>
    <row r="3" spans="1:6" ht="15.75">
      <c r="A3" s="205"/>
    </row>
    <row r="4" spans="1:6">
      <c r="A4" s="686" t="s">
        <v>1648</v>
      </c>
    </row>
    <row r="5" spans="1:6" ht="16.5" thickBot="1">
      <c r="A5" s="232" t="s">
        <v>1768</v>
      </c>
    </row>
    <row r="6" spans="1:6" ht="28.5" customHeight="1" thickBot="1">
      <c r="A6" s="939" t="s">
        <v>0</v>
      </c>
      <c r="B6" s="939" t="s">
        <v>121</v>
      </c>
      <c r="C6" s="939" t="s">
        <v>632</v>
      </c>
      <c r="D6" s="941" t="s">
        <v>894</v>
      </c>
      <c r="E6" s="942"/>
      <c r="F6" s="939" t="s">
        <v>699</v>
      </c>
    </row>
    <row r="7" spans="1:6" ht="15.75" thickBot="1">
      <c r="A7" s="943"/>
      <c r="B7" s="943"/>
      <c r="C7" s="943"/>
      <c r="D7" s="940" t="s">
        <v>828</v>
      </c>
      <c r="E7" s="940" t="s">
        <v>829</v>
      </c>
      <c r="F7" s="943"/>
    </row>
    <row r="8" spans="1:6" ht="16.5" thickBot="1">
      <c r="A8" s="382">
        <v>1</v>
      </c>
      <c r="B8" s="687" t="s">
        <v>39</v>
      </c>
      <c r="C8" s="688" t="s">
        <v>668</v>
      </c>
      <c r="D8" s="386"/>
      <c r="E8" s="739">
        <v>65000</v>
      </c>
      <c r="F8" s="386"/>
    </row>
    <row r="9" spans="1:6" ht="32.25" customHeight="1" thickBot="1">
      <c r="A9" s="382">
        <v>2</v>
      </c>
      <c r="B9" s="687" t="s">
        <v>29</v>
      </c>
      <c r="C9" s="688" t="s">
        <v>668</v>
      </c>
      <c r="D9" s="386"/>
      <c r="E9" s="739">
        <v>95000</v>
      </c>
      <c r="F9" s="386"/>
    </row>
    <row r="10" spans="1:6" ht="63.75" customHeight="1" thickBot="1">
      <c r="A10" s="382">
        <v>3</v>
      </c>
      <c r="B10" s="687" t="s">
        <v>435</v>
      </c>
      <c r="C10" s="688" t="s">
        <v>668</v>
      </c>
      <c r="D10" s="386"/>
      <c r="E10" s="739">
        <v>95000</v>
      </c>
      <c r="F10" s="386"/>
    </row>
    <row r="11" spans="1:6" ht="32.25" customHeight="1" thickBot="1">
      <c r="A11" s="382">
        <v>4</v>
      </c>
      <c r="B11" s="687" t="s">
        <v>1316</v>
      </c>
      <c r="C11" s="688" t="s">
        <v>668</v>
      </c>
      <c r="D11" s="386"/>
      <c r="E11" s="739">
        <v>85000</v>
      </c>
      <c r="F11" s="386"/>
    </row>
    <row r="12" spans="1:6" ht="48" customHeight="1" thickBot="1">
      <c r="A12" s="382">
        <v>5</v>
      </c>
      <c r="B12" s="687" t="s">
        <v>672</v>
      </c>
      <c r="C12" s="688" t="s">
        <v>668</v>
      </c>
      <c r="D12" s="689">
        <v>15000</v>
      </c>
      <c r="E12" s="738"/>
      <c r="F12" s="386"/>
    </row>
    <row r="13" spans="1:6" ht="48" customHeight="1" thickBot="1">
      <c r="A13" s="382">
        <v>6</v>
      </c>
      <c r="B13" s="687" t="s">
        <v>732</v>
      </c>
      <c r="C13" s="688" t="s">
        <v>668</v>
      </c>
      <c r="D13" s="689">
        <v>30000</v>
      </c>
      <c r="E13" s="738"/>
      <c r="F13" s="386"/>
    </row>
    <row r="14" spans="1:6" ht="63.75" customHeight="1" thickBot="1">
      <c r="A14" s="382">
        <v>7</v>
      </c>
      <c r="B14" s="687" t="s">
        <v>692</v>
      </c>
      <c r="C14" s="688" t="s">
        <v>668</v>
      </c>
      <c r="D14" s="689">
        <v>45000</v>
      </c>
      <c r="E14" s="738"/>
      <c r="F14" s="386"/>
    </row>
    <row r="15" spans="1:6" ht="48" customHeight="1" thickBot="1">
      <c r="A15" s="382">
        <v>8</v>
      </c>
      <c r="B15" s="687" t="s">
        <v>48</v>
      </c>
      <c r="C15" s="688" t="s">
        <v>653</v>
      </c>
      <c r="D15" s="386"/>
      <c r="E15" s="739">
        <v>95000</v>
      </c>
      <c r="F15" s="386"/>
    </row>
    <row r="16" spans="1:6" ht="48" customHeight="1" thickBot="1">
      <c r="A16" s="382">
        <v>9</v>
      </c>
      <c r="B16" s="687" t="s">
        <v>52</v>
      </c>
      <c r="C16" s="688" t="s">
        <v>653</v>
      </c>
      <c r="D16" s="386"/>
      <c r="E16" s="739">
        <v>260000</v>
      </c>
      <c r="F16" s="386"/>
    </row>
    <row r="17" spans="1:6" ht="48" customHeight="1" thickBot="1">
      <c r="A17" s="382">
        <v>10</v>
      </c>
      <c r="B17" s="687" t="s">
        <v>46</v>
      </c>
      <c r="C17" s="688" t="s">
        <v>653</v>
      </c>
      <c r="D17" s="386"/>
      <c r="E17" s="739">
        <v>30000</v>
      </c>
      <c r="F17" s="386"/>
    </row>
    <row r="18" spans="1:6" ht="48" customHeight="1" thickBot="1">
      <c r="A18" s="382">
        <v>11</v>
      </c>
      <c r="B18" s="687" t="s">
        <v>147</v>
      </c>
      <c r="C18" s="688" t="s">
        <v>653</v>
      </c>
      <c r="D18" s="386"/>
      <c r="E18" s="739">
        <v>30000</v>
      </c>
      <c r="F18" s="386"/>
    </row>
    <row r="19" spans="1:6" ht="48" customHeight="1" thickBot="1">
      <c r="A19" s="382">
        <v>12</v>
      </c>
      <c r="B19" s="687" t="s">
        <v>65</v>
      </c>
      <c r="C19" s="688" t="s">
        <v>646</v>
      </c>
      <c r="D19" s="386"/>
      <c r="E19" s="739">
        <v>60000</v>
      </c>
      <c r="F19" s="386"/>
    </row>
    <row r="20" spans="1:6" ht="48" customHeight="1" thickBot="1">
      <c r="A20" s="382">
        <v>13</v>
      </c>
      <c r="B20" s="687" t="s">
        <v>683</v>
      </c>
      <c r="C20" s="688" t="s">
        <v>646</v>
      </c>
      <c r="D20" s="689">
        <v>30000</v>
      </c>
      <c r="E20" s="738"/>
      <c r="F20" s="386"/>
    </row>
    <row r="21" spans="1:6" ht="48" customHeight="1" thickBot="1">
      <c r="A21" s="382">
        <v>14</v>
      </c>
      <c r="B21" s="687" t="s">
        <v>148</v>
      </c>
      <c r="C21" s="688" t="s">
        <v>646</v>
      </c>
      <c r="D21" s="386" t="s">
        <v>697</v>
      </c>
      <c r="E21" s="739">
        <v>155000</v>
      </c>
      <c r="F21" s="386"/>
    </row>
    <row r="22" spans="1:6" ht="32.25" customHeight="1" thickBot="1">
      <c r="A22" s="382">
        <v>15</v>
      </c>
      <c r="B22" s="687" t="s">
        <v>723</v>
      </c>
      <c r="C22" s="688" t="s">
        <v>646</v>
      </c>
      <c r="D22" s="689">
        <v>30000</v>
      </c>
      <c r="E22" s="738"/>
      <c r="F22" s="386"/>
    </row>
    <row r="23" spans="1:6" ht="48" customHeight="1" thickBot="1">
      <c r="A23" s="382">
        <v>16</v>
      </c>
      <c r="B23" s="687" t="s">
        <v>647</v>
      </c>
      <c r="C23" s="688" t="s">
        <v>646</v>
      </c>
      <c r="D23" s="689">
        <v>40000</v>
      </c>
      <c r="E23" s="738"/>
      <c r="F23" s="386"/>
    </row>
    <row r="24" spans="1:6" ht="48" customHeight="1" thickBot="1">
      <c r="A24" s="382">
        <v>17</v>
      </c>
      <c r="B24" s="687" t="s">
        <v>168</v>
      </c>
      <c r="C24" s="688" t="s">
        <v>646</v>
      </c>
      <c r="D24" s="386" t="s">
        <v>1299</v>
      </c>
      <c r="E24" s="739">
        <v>55000</v>
      </c>
      <c r="F24" s="386"/>
    </row>
    <row r="25" spans="1:6" ht="32.25" customHeight="1" thickBot="1">
      <c r="A25" s="382">
        <v>18</v>
      </c>
      <c r="B25" s="687" t="s">
        <v>742</v>
      </c>
      <c r="C25" s="688" t="s">
        <v>674</v>
      </c>
      <c r="D25" s="689">
        <v>150000</v>
      </c>
      <c r="E25" s="738"/>
      <c r="F25" s="386"/>
    </row>
    <row r="26" spans="1:6" ht="48" customHeight="1" thickBot="1">
      <c r="A26" s="382">
        <v>19</v>
      </c>
      <c r="B26" s="687" t="s">
        <v>27</v>
      </c>
      <c r="C26" s="688" t="s">
        <v>649</v>
      </c>
      <c r="D26" s="386"/>
      <c r="E26" s="739">
        <v>90000</v>
      </c>
      <c r="F26" s="386"/>
    </row>
    <row r="27" spans="1:6" ht="48" customHeight="1" thickBot="1">
      <c r="A27" s="382">
        <v>20</v>
      </c>
      <c r="B27" s="687" t="s">
        <v>831</v>
      </c>
      <c r="C27" s="688" t="s">
        <v>649</v>
      </c>
      <c r="D27" s="386"/>
      <c r="E27" s="739">
        <v>150000</v>
      </c>
      <c r="F27" s="386"/>
    </row>
    <row r="28" spans="1:6" ht="48" customHeight="1" thickBot="1">
      <c r="A28" s="382">
        <v>21</v>
      </c>
      <c r="B28" s="687" t="s">
        <v>684</v>
      </c>
      <c r="C28" s="688" t="s">
        <v>649</v>
      </c>
      <c r="D28" s="689">
        <v>45000</v>
      </c>
      <c r="E28" s="738"/>
      <c r="F28" s="386"/>
    </row>
    <row r="29" spans="1:6" ht="48" customHeight="1" thickBot="1">
      <c r="A29" s="382">
        <v>22</v>
      </c>
      <c r="B29" s="687" t="s">
        <v>687</v>
      </c>
      <c r="C29" s="688" t="s">
        <v>649</v>
      </c>
      <c r="D29" s="689">
        <v>105000</v>
      </c>
      <c r="E29" s="738"/>
      <c r="F29" s="386"/>
    </row>
    <row r="30" spans="1:6" ht="48" customHeight="1" thickBot="1">
      <c r="A30" s="382">
        <v>23</v>
      </c>
      <c r="B30" s="687" t="s">
        <v>205</v>
      </c>
      <c r="C30" s="688" t="s">
        <v>649</v>
      </c>
      <c r="D30" s="386"/>
      <c r="E30" s="739">
        <v>195000</v>
      </c>
      <c r="F30" s="386"/>
    </row>
    <row r="31" spans="1:6" ht="48" customHeight="1" thickBot="1">
      <c r="A31" s="382">
        <v>24</v>
      </c>
      <c r="B31" s="687" t="s">
        <v>685</v>
      </c>
      <c r="C31" s="688" t="s">
        <v>649</v>
      </c>
      <c r="D31" s="689">
        <v>60000</v>
      </c>
      <c r="E31" s="738"/>
      <c r="F31" s="386"/>
    </row>
    <row r="32" spans="1:6" ht="48" customHeight="1" thickBot="1">
      <c r="A32" s="382">
        <v>25</v>
      </c>
      <c r="B32" s="687" t="s">
        <v>686</v>
      </c>
      <c r="C32" s="688" t="s">
        <v>649</v>
      </c>
      <c r="D32" s="689">
        <v>105000</v>
      </c>
      <c r="E32" s="740"/>
      <c r="F32" s="386"/>
    </row>
    <row r="33" spans="1:6" ht="48" customHeight="1" thickBot="1">
      <c r="A33" s="382">
        <v>26</v>
      </c>
      <c r="B33" s="687" t="s">
        <v>721</v>
      </c>
      <c r="C33" s="688" t="s">
        <v>649</v>
      </c>
      <c r="D33" s="386"/>
      <c r="E33" s="739">
        <v>120000</v>
      </c>
      <c r="F33" s="386"/>
    </row>
    <row r="34" spans="1:6" ht="48" customHeight="1" thickBot="1">
      <c r="A34" s="746">
        <v>27</v>
      </c>
      <c r="B34" s="687" t="s">
        <v>638</v>
      </c>
      <c r="C34" s="688" t="s">
        <v>649</v>
      </c>
      <c r="D34" s="689">
        <v>45000</v>
      </c>
      <c r="E34" s="740"/>
      <c r="F34" s="386"/>
    </row>
    <row r="35" spans="1:6" ht="48" customHeight="1" thickBot="1">
      <c r="A35" s="746">
        <v>28</v>
      </c>
      <c r="B35" s="687" t="s">
        <v>187</v>
      </c>
      <c r="C35" s="688" t="s">
        <v>649</v>
      </c>
      <c r="D35" s="386"/>
      <c r="E35" s="739">
        <v>232500</v>
      </c>
      <c r="F35" s="386"/>
    </row>
    <row r="36" spans="1:6" ht="32.25" customHeight="1" thickBot="1">
      <c r="A36" s="746">
        <v>29</v>
      </c>
      <c r="B36" s="687" t="s">
        <v>152</v>
      </c>
      <c r="C36" s="688" t="s">
        <v>649</v>
      </c>
      <c r="D36" s="386"/>
      <c r="E36" s="739">
        <v>167500</v>
      </c>
      <c r="F36" s="386"/>
    </row>
    <row r="37" spans="1:6" ht="32.25" customHeight="1" thickBot="1">
      <c r="A37" s="746">
        <v>30</v>
      </c>
      <c r="B37" s="687" t="s">
        <v>91</v>
      </c>
      <c r="C37" s="688" t="s">
        <v>650</v>
      </c>
      <c r="D37" s="386"/>
      <c r="E37" s="739">
        <v>80000</v>
      </c>
      <c r="F37" s="386"/>
    </row>
    <row r="38" spans="1:6" ht="63.75" customHeight="1" thickBot="1">
      <c r="A38" s="746">
        <v>31</v>
      </c>
      <c r="B38" s="687" t="s">
        <v>83</v>
      </c>
      <c r="C38" s="688" t="s">
        <v>650</v>
      </c>
      <c r="D38" s="386"/>
      <c r="E38" s="739">
        <v>90000</v>
      </c>
      <c r="F38" s="386"/>
    </row>
    <row r="39" spans="1:6" ht="48" customHeight="1" thickBot="1">
      <c r="A39" s="746">
        <v>32</v>
      </c>
      <c r="B39" s="687" t="s">
        <v>727</v>
      </c>
      <c r="C39" s="688" t="s">
        <v>650</v>
      </c>
      <c r="D39" s="689">
        <v>70000</v>
      </c>
      <c r="E39" s="738"/>
      <c r="F39" s="386"/>
    </row>
    <row r="40" spans="1:6" ht="48" customHeight="1" thickBot="1">
      <c r="A40" s="746">
        <v>33</v>
      </c>
      <c r="B40" s="687" t="s">
        <v>715</v>
      </c>
      <c r="C40" s="688" t="s">
        <v>642</v>
      </c>
      <c r="D40" s="689">
        <v>60000</v>
      </c>
      <c r="E40" s="738"/>
      <c r="F40" s="386"/>
    </row>
    <row r="41" spans="1:6" ht="48" customHeight="1" thickBot="1">
      <c r="A41" s="746">
        <v>34</v>
      </c>
      <c r="B41" s="687" t="s">
        <v>106</v>
      </c>
      <c r="C41" s="688" t="s">
        <v>636</v>
      </c>
      <c r="D41" s="386"/>
      <c r="E41" s="739">
        <v>50000</v>
      </c>
      <c r="F41" s="386"/>
    </row>
    <row r="42" spans="1:6" ht="48" customHeight="1" thickBot="1">
      <c r="A42" s="746">
        <v>35</v>
      </c>
      <c r="B42" s="687" t="s">
        <v>210</v>
      </c>
      <c r="C42" s="688" t="s">
        <v>636</v>
      </c>
      <c r="D42" s="386"/>
      <c r="E42" s="739">
        <v>45000</v>
      </c>
      <c r="F42" s="386"/>
    </row>
    <row r="43" spans="1:6" ht="48" customHeight="1" thickBot="1">
      <c r="A43" s="746">
        <v>36</v>
      </c>
      <c r="B43" s="687" t="s">
        <v>640</v>
      </c>
      <c r="C43" s="688" t="s">
        <v>636</v>
      </c>
      <c r="D43" s="689">
        <v>145000</v>
      </c>
      <c r="E43" s="738"/>
      <c r="F43" s="386"/>
    </row>
    <row r="44" spans="1:6" ht="48" customHeight="1" thickBot="1">
      <c r="A44" s="746">
        <v>37</v>
      </c>
      <c r="B44" s="687" t="s">
        <v>96</v>
      </c>
      <c r="C44" s="688" t="s">
        <v>636</v>
      </c>
      <c r="D44" s="386"/>
      <c r="E44" s="739">
        <v>30000</v>
      </c>
      <c r="F44" s="386"/>
    </row>
    <row r="45" spans="1:6" ht="32.25" customHeight="1" thickBot="1">
      <c r="A45" s="746">
        <v>38</v>
      </c>
      <c r="B45" s="687" t="s">
        <v>744</v>
      </c>
      <c r="C45" s="688" t="s">
        <v>636</v>
      </c>
      <c r="D45" s="689">
        <v>30000</v>
      </c>
      <c r="E45" s="738"/>
      <c r="F45" s="386"/>
    </row>
    <row r="46" spans="1:6" ht="63.75" customHeight="1" thickBot="1">
      <c r="A46" s="746">
        <v>39</v>
      </c>
      <c r="B46" s="687" t="s">
        <v>747</v>
      </c>
      <c r="C46" s="688" t="s">
        <v>746</v>
      </c>
      <c r="D46" s="689">
        <v>30000</v>
      </c>
      <c r="E46" s="1101"/>
      <c r="F46" s="386"/>
    </row>
    <row r="47" spans="1:6" ht="32.25" customHeight="1" thickBot="1">
      <c r="A47" s="746">
        <v>40</v>
      </c>
      <c r="B47" s="687" t="s">
        <v>143</v>
      </c>
      <c r="C47" s="688" t="s">
        <v>746</v>
      </c>
      <c r="D47" s="386"/>
      <c r="E47" s="739">
        <v>40000</v>
      </c>
      <c r="F47" s="386"/>
    </row>
    <row r="48" spans="1:6" ht="48" customHeight="1" thickBot="1">
      <c r="A48" s="746">
        <v>41</v>
      </c>
      <c r="B48" s="687" t="s">
        <v>734</v>
      </c>
      <c r="C48" s="688" t="s">
        <v>756</v>
      </c>
      <c r="D48" s="689">
        <v>30000</v>
      </c>
      <c r="E48" s="738"/>
      <c r="F48" s="386"/>
    </row>
    <row r="49" spans="1:6" ht="16.5" thickBot="1">
      <c r="A49" s="746">
        <v>42</v>
      </c>
      <c r="B49" s="687" t="s">
        <v>144</v>
      </c>
      <c r="C49" s="688" t="s">
        <v>1224</v>
      </c>
      <c r="D49" s="386"/>
      <c r="E49" s="1102">
        <v>60000</v>
      </c>
      <c r="F49" s="386"/>
    </row>
    <row r="50" spans="1:6" ht="16.5" thickBot="1">
      <c r="A50" s="401" t="s">
        <v>758</v>
      </c>
      <c r="B50" s="402"/>
      <c r="C50" s="336"/>
      <c r="D50" s="388">
        <v>1065000</v>
      </c>
      <c r="E50" s="1038">
        <v>2375000</v>
      </c>
      <c r="F50" s="389"/>
    </row>
    <row r="51" spans="1:6" ht="16.5" customHeight="1" thickBot="1">
      <c r="A51" s="401" t="s">
        <v>864</v>
      </c>
      <c r="B51" s="402"/>
      <c r="C51" s="336"/>
      <c r="D51" s="403">
        <v>3440000</v>
      </c>
      <c r="E51" s="404"/>
      <c r="F51" s="390"/>
    </row>
    <row r="52" spans="1:6">
      <c r="A52" s="244" t="s">
        <v>1769</v>
      </c>
    </row>
    <row r="53" spans="1:6">
      <c r="A53" s="284"/>
    </row>
    <row r="54" spans="1:6" ht="16.5">
      <c r="A54" s="246"/>
      <c r="B54" s="248"/>
    </row>
    <row r="55" spans="1:6" ht="15.75">
      <c r="A55" s="205" t="s">
        <v>1649</v>
      </c>
    </row>
    <row r="56" spans="1:6" ht="15.75">
      <c r="A56" s="205"/>
    </row>
    <row r="57" spans="1:6">
      <c r="A57" s="686" t="s">
        <v>1650</v>
      </c>
    </row>
    <row r="58" spans="1:6" ht="15.75">
      <c r="A58" s="232" t="s">
        <v>1768</v>
      </c>
    </row>
    <row r="59" spans="1:6" ht="16.5" thickBot="1">
      <c r="A59" s="232"/>
    </row>
    <row r="60" spans="1:6" ht="43.5" customHeight="1" thickBot="1">
      <c r="A60" s="1004" t="s">
        <v>0</v>
      </c>
      <c r="B60" s="1005" t="s">
        <v>121</v>
      </c>
      <c r="C60" s="1005" t="s">
        <v>632</v>
      </c>
      <c r="D60" s="1005" t="s">
        <v>894</v>
      </c>
      <c r="E60" s="1005" t="s">
        <v>699</v>
      </c>
    </row>
    <row r="61" spans="1:6" ht="48" thickBot="1">
      <c r="A61" s="382">
        <v>1</v>
      </c>
      <c r="B61" s="687" t="s">
        <v>1552</v>
      </c>
      <c r="C61" s="688" t="s">
        <v>1171</v>
      </c>
      <c r="D61" s="689">
        <v>20000</v>
      </c>
      <c r="E61" s="736"/>
    </row>
    <row r="62" spans="1:6" ht="48" thickBot="1">
      <c r="A62" s="382">
        <v>2</v>
      </c>
      <c r="B62" s="687" t="s">
        <v>844</v>
      </c>
      <c r="C62" s="688" t="s">
        <v>1171</v>
      </c>
      <c r="D62" s="689">
        <v>10000</v>
      </c>
      <c r="E62" s="736"/>
    </row>
    <row r="63" spans="1:6" ht="48" customHeight="1" thickBot="1">
      <c r="A63" s="382">
        <v>3</v>
      </c>
      <c r="B63" s="690" t="s">
        <v>771</v>
      </c>
      <c r="C63" s="688" t="s">
        <v>1179</v>
      </c>
      <c r="D63" s="689">
        <v>20000</v>
      </c>
      <c r="E63" s="736"/>
    </row>
    <row r="64" spans="1:6" ht="48" customHeight="1" thickBot="1">
      <c r="A64" s="382">
        <v>4</v>
      </c>
      <c r="B64" s="687" t="s">
        <v>1185</v>
      </c>
      <c r="C64" s="688" t="s">
        <v>1182</v>
      </c>
      <c r="D64" s="689">
        <v>20000</v>
      </c>
      <c r="E64" s="736"/>
    </row>
    <row r="65" spans="1:6" ht="48" customHeight="1" thickBot="1">
      <c r="A65" s="382">
        <v>5</v>
      </c>
      <c r="B65" s="687" t="s">
        <v>1187</v>
      </c>
      <c r="C65" s="688" t="s">
        <v>1182</v>
      </c>
      <c r="D65" s="689">
        <v>40000</v>
      </c>
      <c r="E65" s="736"/>
    </row>
    <row r="66" spans="1:6" ht="48" customHeight="1" thickBot="1">
      <c r="A66" s="382">
        <v>6</v>
      </c>
      <c r="B66" s="687" t="s">
        <v>860</v>
      </c>
      <c r="C66" s="688" t="s">
        <v>1182</v>
      </c>
      <c r="D66" s="689">
        <v>10000</v>
      </c>
      <c r="E66" s="736"/>
    </row>
    <row r="67" spans="1:6" ht="48" customHeight="1" thickBot="1">
      <c r="A67" s="382">
        <v>7</v>
      </c>
      <c r="B67" s="687" t="s">
        <v>1199</v>
      </c>
      <c r="C67" s="688" t="s">
        <v>1198</v>
      </c>
      <c r="D67" s="689">
        <v>10000</v>
      </c>
      <c r="E67" s="736"/>
    </row>
    <row r="68" spans="1:6" ht="48" customHeight="1" thickBot="1">
      <c r="A68" s="382">
        <v>8</v>
      </c>
      <c r="B68" s="687" t="s">
        <v>879</v>
      </c>
      <c r="C68" s="688" t="s">
        <v>1198</v>
      </c>
      <c r="D68" s="689">
        <v>10000</v>
      </c>
      <c r="E68" s="736"/>
    </row>
    <row r="69" spans="1:6" ht="48" thickBot="1">
      <c r="A69" s="382">
        <v>9</v>
      </c>
      <c r="B69" s="687" t="s">
        <v>842</v>
      </c>
      <c r="C69" s="688" t="s">
        <v>1171</v>
      </c>
      <c r="D69" s="689">
        <v>3000</v>
      </c>
      <c r="E69" s="736"/>
    </row>
    <row r="70" spans="1:6" ht="16.5" thickBot="1">
      <c r="A70" s="401" t="s">
        <v>758</v>
      </c>
      <c r="B70" s="402"/>
      <c r="C70" s="336"/>
      <c r="D70" s="388">
        <v>143000</v>
      </c>
      <c r="E70" s="1103"/>
    </row>
    <row r="71" spans="1:6">
      <c r="A71" s="244" t="s">
        <v>1770</v>
      </c>
    </row>
    <row r="72" spans="1:6" ht="82.5">
      <c r="A72" s="594" t="s">
        <v>113</v>
      </c>
      <c r="B72" s="588" t="s">
        <v>114</v>
      </c>
    </row>
    <row r="73" spans="1:6" ht="15.75">
      <c r="A73" s="205" t="s">
        <v>696</v>
      </c>
    </row>
    <row r="74" spans="1:6" ht="15.75">
      <c r="A74" s="205"/>
    </row>
    <row r="75" spans="1:6">
      <c r="A75" s="686" t="s">
        <v>1720</v>
      </c>
    </row>
    <row r="76" spans="1:6" ht="16.5" thickBot="1">
      <c r="A76" s="232" t="s">
        <v>1768</v>
      </c>
    </row>
    <row r="77" spans="1:6" ht="28.5" customHeight="1" thickBot="1">
      <c r="A77" s="939" t="s">
        <v>0</v>
      </c>
      <c r="B77" s="939" t="s">
        <v>121</v>
      </c>
      <c r="C77" s="939" t="s">
        <v>632</v>
      </c>
      <c r="D77" s="941" t="s">
        <v>894</v>
      </c>
      <c r="E77" s="942"/>
      <c r="F77" s="939" t="s">
        <v>699</v>
      </c>
    </row>
    <row r="78" spans="1:6" ht="15.75" thickBot="1">
      <c r="A78" s="943"/>
      <c r="B78" s="943"/>
      <c r="C78" s="943"/>
      <c r="D78" s="940" t="s">
        <v>828</v>
      </c>
      <c r="E78" s="940" t="s">
        <v>829</v>
      </c>
      <c r="F78" s="943"/>
    </row>
    <row r="79" spans="1:6" ht="17.25" thickBot="1">
      <c r="A79" s="694">
        <v>1</v>
      </c>
      <c r="B79" s="929" t="s">
        <v>210</v>
      </c>
      <c r="C79" s="407" t="s">
        <v>636</v>
      </c>
      <c r="D79" s="312"/>
      <c r="E79" s="1064">
        <v>3000</v>
      </c>
      <c r="F79" s="314"/>
    </row>
    <row r="80" spans="1:6" ht="50.25" customHeight="1" thickBot="1">
      <c r="A80" s="694">
        <v>2</v>
      </c>
      <c r="B80" s="929" t="s">
        <v>776</v>
      </c>
      <c r="C80" s="407" t="s">
        <v>642</v>
      </c>
      <c r="D80" s="312"/>
      <c r="E80" s="1064">
        <v>3000</v>
      </c>
      <c r="F80" s="314"/>
    </row>
    <row r="81" spans="1:6" ht="50.25" customHeight="1" thickBot="1">
      <c r="A81" s="694">
        <v>3</v>
      </c>
      <c r="B81" s="929" t="s">
        <v>645</v>
      </c>
      <c r="C81" s="407" t="s">
        <v>642</v>
      </c>
      <c r="D81" s="930">
        <v>3000</v>
      </c>
      <c r="E81" s="1037"/>
      <c r="F81" s="314"/>
    </row>
    <row r="82" spans="1:6" ht="50.25" customHeight="1" thickBot="1">
      <c r="A82" s="694">
        <v>4</v>
      </c>
      <c r="B82" s="929" t="s">
        <v>778</v>
      </c>
      <c r="C82" s="407" t="s">
        <v>642</v>
      </c>
      <c r="D82" s="312"/>
      <c r="E82" s="1064">
        <v>6000</v>
      </c>
      <c r="F82" s="314"/>
    </row>
    <row r="83" spans="1:6" ht="50.25" customHeight="1" thickBot="1">
      <c r="A83" s="694">
        <v>5</v>
      </c>
      <c r="B83" s="929" t="s">
        <v>755</v>
      </c>
      <c r="C83" s="407" t="s">
        <v>642</v>
      </c>
      <c r="D83" s="930">
        <v>12000</v>
      </c>
      <c r="E83" s="1037"/>
      <c r="F83" s="314"/>
    </row>
    <row r="84" spans="1:6" ht="50.25" customHeight="1" thickBot="1">
      <c r="A84" s="694">
        <v>6</v>
      </c>
      <c r="B84" s="929" t="s">
        <v>168</v>
      </c>
      <c r="C84" s="407" t="s">
        <v>646</v>
      </c>
      <c r="D84" s="312"/>
      <c r="E84" s="1064">
        <v>6000</v>
      </c>
      <c r="F84" s="314"/>
    </row>
    <row r="85" spans="1:6" ht="50.25" customHeight="1" thickBot="1">
      <c r="A85" s="694">
        <v>7</v>
      </c>
      <c r="B85" s="929" t="s">
        <v>148</v>
      </c>
      <c r="C85" s="407" t="s">
        <v>646</v>
      </c>
      <c r="D85" s="312"/>
      <c r="E85" s="1064">
        <v>3000</v>
      </c>
      <c r="F85" s="314"/>
    </row>
    <row r="86" spans="1:6" ht="66.75" customHeight="1" thickBot="1">
      <c r="A86" s="694">
        <v>8</v>
      </c>
      <c r="B86" s="929" t="s">
        <v>1434</v>
      </c>
      <c r="C86" s="407" t="s">
        <v>646</v>
      </c>
      <c r="D86" s="312"/>
      <c r="E86" s="1064">
        <v>12000</v>
      </c>
      <c r="F86" s="314"/>
    </row>
    <row r="87" spans="1:6" ht="50.25" customHeight="1" thickBot="1">
      <c r="A87" s="694">
        <v>9</v>
      </c>
      <c r="B87" s="929" t="s">
        <v>647</v>
      </c>
      <c r="C87" s="407" t="s">
        <v>646</v>
      </c>
      <c r="D87" s="930">
        <v>21000</v>
      </c>
      <c r="E87" s="1037"/>
      <c r="F87" s="314"/>
    </row>
    <row r="88" spans="1:6" ht="50.25" customHeight="1" thickBot="1">
      <c r="A88" s="694">
        <v>10</v>
      </c>
      <c r="B88" s="929" t="s">
        <v>686</v>
      </c>
      <c r="C88" s="407" t="s">
        <v>649</v>
      </c>
      <c r="D88" s="930">
        <v>18000</v>
      </c>
      <c r="E88" s="1037"/>
      <c r="F88" s="314"/>
    </row>
    <row r="89" spans="1:6" ht="50.25" customHeight="1" thickBot="1">
      <c r="A89" s="694">
        <v>11</v>
      </c>
      <c r="B89" s="929" t="s">
        <v>831</v>
      </c>
      <c r="C89" s="407" t="s">
        <v>649</v>
      </c>
      <c r="D89" s="312"/>
      <c r="E89" s="1064">
        <v>24000</v>
      </c>
      <c r="F89" s="314"/>
    </row>
    <row r="90" spans="1:6" ht="50.25" customHeight="1" thickBot="1">
      <c r="A90" s="694">
        <v>12</v>
      </c>
      <c r="B90" s="929" t="s">
        <v>721</v>
      </c>
      <c r="C90" s="407" t="s">
        <v>649</v>
      </c>
      <c r="D90" s="312"/>
      <c r="E90" s="1064">
        <v>18000</v>
      </c>
      <c r="F90" s="314"/>
    </row>
    <row r="91" spans="1:6" ht="50.25" customHeight="1" thickBot="1">
      <c r="A91" s="694">
        <v>13</v>
      </c>
      <c r="B91" s="929" t="s">
        <v>205</v>
      </c>
      <c r="C91" s="407" t="s">
        <v>649</v>
      </c>
      <c r="D91" s="312"/>
      <c r="E91" s="1064">
        <v>21000</v>
      </c>
      <c r="F91" s="314"/>
    </row>
    <row r="92" spans="1:6" ht="50.25" customHeight="1" thickBot="1">
      <c r="A92" s="694">
        <v>14</v>
      </c>
      <c r="B92" s="929" t="s">
        <v>687</v>
      </c>
      <c r="C92" s="407" t="s">
        <v>649</v>
      </c>
      <c r="D92" s="930">
        <v>12000</v>
      </c>
      <c r="E92" s="726"/>
      <c r="F92" s="314"/>
    </row>
    <row r="93" spans="1:6" ht="50.25" customHeight="1" thickBot="1">
      <c r="A93" s="694">
        <v>15</v>
      </c>
      <c r="B93" s="929" t="s">
        <v>684</v>
      </c>
      <c r="C93" s="407" t="s">
        <v>649</v>
      </c>
      <c r="D93" s="930">
        <v>3000</v>
      </c>
      <c r="E93" s="726"/>
      <c r="F93" s="314"/>
    </row>
    <row r="94" spans="1:6" ht="50.25" customHeight="1" thickBot="1">
      <c r="A94" s="694">
        <v>16</v>
      </c>
      <c r="B94" s="929" t="s">
        <v>638</v>
      </c>
      <c r="C94" s="407" t="s">
        <v>649</v>
      </c>
      <c r="D94" s="930">
        <v>12000</v>
      </c>
      <c r="E94" s="726"/>
      <c r="F94" s="314"/>
    </row>
    <row r="95" spans="1:6" ht="66.75" customHeight="1" thickBot="1">
      <c r="A95" s="694">
        <v>17</v>
      </c>
      <c r="B95" s="929" t="s">
        <v>83</v>
      </c>
      <c r="C95" s="407" t="s">
        <v>650</v>
      </c>
      <c r="D95" s="312"/>
      <c r="E95" s="1064">
        <v>6000</v>
      </c>
      <c r="F95" s="314"/>
    </row>
    <row r="96" spans="1:6" ht="33.75" customHeight="1" thickBot="1">
      <c r="A96" s="694">
        <v>18</v>
      </c>
      <c r="B96" s="929" t="s">
        <v>651</v>
      </c>
      <c r="C96" s="407" t="s">
        <v>650</v>
      </c>
      <c r="D96" s="930">
        <v>3000</v>
      </c>
      <c r="E96" s="726"/>
      <c r="F96" s="314"/>
    </row>
    <row r="97" spans="1:6" ht="50.25" customHeight="1" thickBot="1">
      <c r="A97" s="694">
        <v>19</v>
      </c>
      <c r="B97" s="929" t="s">
        <v>46</v>
      </c>
      <c r="C97" s="407" t="s">
        <v>653</v>
      </c>
      <c r="D97" s="312"/>
      <c r="E97" s="1064">
        <v>3000</v>
      </c>
      <c r="F97" s="314"/>
    </row>
    <row r="98" spans="1:6" ht="50.25" customHeight="1" thickBot="1">
      <c r="A98" s="694">
        <v>20</v>
      </c>
      <c r="B98" s="929" t="s">
        <v>659</v>
      </c>
      <c r="C98" s="407" t="s">
        <v>653</v>
      </c>
      <c r="D98" s="930">
        <v>3000</v>
      </c>
      <c r="E98" s="1037"/>
      <c r="F98" s="314"/>
    </row>
    <row r="99" spans="1:6" ht="50.25" customHeight="1" thickBot="1">
      <c r="A99" s="694">
        <v>21</v>
      </c>
      <c r="B99" s="929" t="s">
        <v>146</v>
      </c>
      <c r="C99" s="407" t="s">
        <v>653</v>
      </c>
      <c r="D99" s="312"/>
      <c r="E99" s="1064">
        <v>3000</v>
      </c>
      <c r="F99" s="314"/>
    </row>
    <row r="100" spans="1:6" ht="50.25" customHeight="1" thickBot="1">
      <c r="A100" s="694">
        <v>22</v>
      </c>
      <c r="B100" s="929" t="s">
        <v>689</v>
      </c>
      <c r="C100" s="407" t="s">
        <v>653</v>
      </c>
      <c r="D100" s="930">
        <v>3000</v>
      </c>
      <c r="E100" s="1037"/>
      <c r="F100" s="314"/>
    </row>
    <row r="101" spans="1:6" ht="50.25" customHeight="1" thickBot="1">
      <c r="A101" s="694">
        <v>23</v>
      </c>
      <c r="B101" s="929" t="s">
        <v>655</v>
      </c>
      <c r="C101" s="407" t="s">
        <v>653</v>
      </c>
      <c r="D101" s="930">
        <v>3000</v>
      </c>
      <c r="E101" s="1037"/>
      <c r="F101" s="314"/>
    </row>
    <row r="102" spans="1:6" ht="50.25" customHeight="1" thickBot="1">
      <c r="A102" s="694">
        <v>24</v>
      </c>
      <c r="B102" s="929" t="s">
        <v>745</v>
      </c>
      <c r="C102" s="407" t="s">
        <v>1653</v>
      </c>
      <c r="D102" s="930">
        <v>3000</v>
      </c>
      <c r="E102" s="1037"/>
      <c r="F102" s="314"/>
    </row>
    <row r="103" spans="1:6" ht="66.75" customHeight="1" thickBot="1">
      <c r="A103" s="694">
        <v>25</v>
      </c>
      <c r="B103" s="929" t="s">
        <v>29</v>
      </c>
      <c r="C103" s="407" t="s">
        <v>668</v>
      </c>
      <c r="D103" s="312"/>
      <c r="E103" s="1064">
        <v>15000</v>
      </c>
      <c r="F103" s="314"/>
    </row>
    <row r="104" spans="1:6" ht="50.25" customHeight="1" thickBot="1">
      <c r="A104" s="694">
        <v>26</v>
      </c>
      <c r="B104" s="929" t="s">
        <v>671</v>
      </c>
      <c r="C104" s="407" t="s">
        <v>668</v>
      </c>
      <c r="D104" s="930">
        <v>6000</v>
      </c>
      <c r="E104" s="1037"/>
      <c r="F104" s="314"/>
    </row>
    <row r="105" spans="1:6" ht="50.25" customHeight="1" thickBot="1">
      <c r="A105" s="309">
        <v>27</v>
      </c>
      <c r="B105" s="929" t="s">
        <v>39</v>
      </c>
      <c r="C105" s="407" t="s">
        <v>668</v>
      </c>
      <c r="D105" s="312"/>
      <c r="E105" s="1064">
        <v>3000</v>
      </c>
      <c r="F105" s="314"/>
    </row>
    <row r="106" spans="1:6" ht="66.75" customHeight="1" thickBot="1">
      <c r="A106" s="309">
        <v>28</v>
      </c>
      <c r="B106" s="929" t="s">
        <v>435</v>
      </c>
      <c r="C106" s="407" t="s">
        <v>668</v>
      </c>
      <c r="D106" s="312"/>
      <c r="E106" s="1064">
        <v>6000</v>
      </c>
      <c r="F106" s="314"/>
    </row>
    <row r="107" spans="1:6" ht="66.75" customHeight="1" thickBot="1">
      <c r="A107" s="309">
        <v>29</v>
      </c>
      <c r="B107" s="929" t="s">
        <v>262</v>
      </c>
      <c r="C107" s="407" t="s">
        <v>668</v>
      </c>
      <c r="D107" s="312"/>
      <c r="E107" s="1064">
        <v>3000</v>
      </c>
      <c r="F107" s="314"/>
    </row>
    <row r="108" spans="1:6" ht="50.25" customHeight="1" thickBot="1">
      <c r="A108" s="309">
        <v>30</v>
      </c>
      <c r="B108" s="929" t="s">
        <v>691</v>
      </c>
      <c r="C108" s="407" t="s">
        <v>668</v>
      </c>
      <c r="D108" s="930">
        <v>9000</v>
      </c>
      <c r="E108" s="1037"/>
      <c r="F108" s="314"/>
    </row>
    <row r="109" spans="1:6" ht="33.75" customHeight="1" thickBot="1">
      <c r="A109" s="309">
        <v>31</v>
      </c>
      <c r="B109" s="929" t="s">
        <v>149</v>
      </c>
      <c r="C109" s="407" t="s">
        <v>674</v>
      </c>
      <c r="D109" s="312"/>
      <c r="E109" s="1065">
        <v>12000</v>
      </c>
      <c r="F109" s="314"/>
    </row>
    <row r="110" spans="1:6" ht="17.25" thickBot="1">
      <c r="A110" s="309">
        <v>32</v>
      </c>
      <c r="B110" s="929" t="s">
        <v>822</v>
      </c>
      <c r="C110" s="407" t="s">
        <v>674</v>
      </c>
      <c r="D110" s="930">
        <v>6000</v>
      </c>
      <c r="E110" s="725"/>
      <c r="F110" s="314"/>
    </row>
    <row r="111" spans="1:6" ht="17.25" thickBot="1">
      <c r="A111" s="700" t="s">
        <v>758</v>
      </c>
      <c r="B111" s="701"/>
      <c r="C111" s="929"/>
      <c r="D111" s="1095">
        <v>117000</v>
      </c>
      <c r="E111" s="1096">
        <v>147000</v>
      </c>
      <c r="F111" s="696"/>
    </row>
    <row r="112" spans="1:6" ht="17.25" customHeight="1" thickBot="1">
      <c r="A112" s="700" t="s">
        <v>864</v>
      </c>
      <c r="B112" s="701"/>
      <c r="C112" s="929"/>
      <c r="D112" s="1097">
        <v>264000</v>
      </c>
      <c r="E112" s="1098"/>
      <c r="F112" s="312"/>
    </row>
    <row r="113" spans="1:4">
      <c r="A113" s="244" t="s">
        <v>1771</v>
      </c>
    </row>
    <row r="114" spans="1:4">
      <c r="A114" s="244"/>
    </row>
    <row r="115" spans="1:4">
      <c r="A115" s="244"/>
    </row>
    <row r="116" spans="1:4">
      <c r="A116" s="244"/>
    </row>
    <row r="117" spans="1:4">
      <c r="A117" s="244"/>
    </row>
    <row r="118" spans="1:4">
      <c r="A118" s="244"/>
    </row>
    <row r="119" spans="1:4" ht="16.5">
      <c r="A119" s="246"/>
      <c r="B119" s="248"/>
    </row>
    <row r="120" spans="1:4" ht="15.75">
      <c r="A120" s="205" t="s">
        <v>704</v>
      </c>
    </row>
    <row r="121" spans="1:4" ht="15.75">
      <c r="A121" s="205"/>
    </row>
    <row r="122" spans="1:4" ht="15.75">
      <c r="A122" s="205" t="s">
        <v>1717</v>
      </c>
    </row>
    <row r="123" spans="1:4" ht="15.75">
      <c r="A123" s="232" t="s">
        <v>1772</v>
      </c>
    </row>
    <row r="124" spans="1:4" ht="15.75" thickBot="1">
      <c r="A124" s="987"/>
    </row>
    <row r="125" spans="1:4" ht="48" thickBot="1">
      <c r="A125" s="252" t="s">
        <v>0</v>
      </c>
      <c r="B125" s="253" t="s">
        <v>632</v>
      </c>
      <c r="C125" s="988" t="s">
        <v>894</v>
      </c>
      <c r="D125" s="989" t="s">
        <v>634</v>
      </c>
    </row>
    <row r="126" spans="1:4" ht="32.25" thickBot="1">
      <c r="A126" s="273">
        <v>1</v>
      </c>
      <c r="B126" s="256" t="s">
        <v>708</v>
      </c>
      <c r="C126" s="1034" t="s">
        <v>707</v>
      </c>
      <c r="D126" s="413"/>
    </row>
    <row r="127" spans="1:4" ht="32.25" thickBot="1">
      <c r="A127" s="288" t="s">
        <v>758</v>
      </c>
      <c r="B127" s="289"/>
      <c r="C127" s="283" t="s">
        <v>707</v>
      </c>
      <c r="D127" s="418"/>
    </row>
    <row r="128" spans="1:4">
      <c r="A128" s="244" t="s">
        <v>1773</v>
      </c>
    </row>
    <row r="129" spans="1:1">
      <c r="A129" s="244"/>
    </row>
    <row r="130" spans="1:1">
      <c r="A130" s="244"/>
    </row>
    <row r="131" spans="1:1">
      <c r="A131" s="244"/>
    </row>
    <row r="132" spans="1:1">
      <c r="A132" s="244"/>
    </row>
    <row r="133" spans="1:1">
      <c r="A133" s="244"/>
    </row>
    <row r="134" spans="1:1">
      <c r="A134" s="244"/>
    </row>
    <row r="135" spans="1:1">
      <c r="A135" s="244"/>
    </row>
    <row r="136" spans="1:1">
      <c r="A136" s="244"/>
    </row>
    <row r="137" spans="1:1">
      <c r="A137" s="244"/>
    </row>
    <row r="138" spans="1:1">
      <c r="A138" s="244"/>
    </row>
    <row r="139" spans="1:1">
      <c r="A139" s="244"/>
    </row>
    <row r="140" spans="1:1">
      <c r="A140" s="244"/>
    </row>
    <row r="141" spans="1:1">
      <c r="A141" s="244"/>
    </row>
    <row r="142" spans="1:1">
      <c r="A142" s="244"/>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6"/>
  <sheetViews>
    <sheetView topLeftCell="A118" workbookViewId="0">
      <selection activeCell="F24" sqref="F24"/>
    </sheetView>
  </sheetViews>
  <sheetFormatPr defaultRowHeight="15"/>
  <cols>
    <col min="2" max="2" width="30.7109375" customWidth="1"/>
    <col min="3" max="3" width="13.7109375" customWidth="1"/>
    <col min="4" max="4" width="16.28515625" customWidth="1"/>
    <col min="5" max="5" width="11.85546875" customWidth="1"/>
  </cols>
  <sheetData>
    <row r="1" spans="1:6" ht="15.75">
      <c r="A1" s="205" t="s">
        <v>868</v>
      </c>
    </row>
    <row r="2" spans="1:6">
      <c r="A2" s="1133"/>
    </row>
    <row r="3" spans="1:6">
      <c r="A3" s="686" t="s">
        <v>1905</v>
      </c>
    </row>
    <row r="4" spans="1:6">
      <c r="A4" s="686" t="s">
        <v>1906</v>
      </c>
    </row>
    <row r="5" spans="1:6" ht="16.5" thickBot="1">
      <c r="A5" s="232" t="s">
        <v>1907</v>
      </c>
    </row>
    <row r="6" spans="1:6" ht="28.5" customHeight="1" thickBot="1">
      <c r="A6" s="939" t="s">
        <v>0</v>
      </c>
      <c r="B6" s="939" t="s">
        <v>121</v>
      </c>
      <c r="C6" s="939" t="s">
        <v>632</v>
      </c>
      <c r="D6" s="941" t="s">
        <v>894</v>
      </c>
      <c r="E6" s="942"/>
      <c r="F6" s="939" t="s">
        <v>699</v>
      </c>
    </row>
    <row r="7" spans="1:6" ht="15.75" thickBot="1">
      <c r="A7" s="943"/>
      <c r="B7" s="943"/>
      <c r="C7" s="943"/>
      <c r="D7" s="940" t="s">
        <v>828</v>
      </c>
      <c r="E7" s="940" t="s">
        <v>829</v>
      </c>
      <c r="F7" s="943"/>
    </row>
    <row r="8" spans="1:6" ht="15.75" thickBot="1">
      <c r="A8" s="694">
        <v>1</v>
      </c>
      <c r="B8" s="383" t="s">
        <v>641</v>
      </c>
      <c r="C8" s="384" t="s">
        <v>636</v>
      </c>
      <c r="D8" s="313">
        <v>700000</v>
      </c>
      <c r="E8" s="314"/>
      <c r="F8" s="314"/>
    </row>
    <row r="9" spans="1:6" ht="45.75" customHeight="1" thickBot="1">
      <c r="A9" s="694">
        <v>2</v>
      </c>
      <c r="B9" s="383" t="s">
        <v>640</v>
      </c>
      <c r="C9" s="384" t="s">
        <v>636</v>
      </c>
      <c r="D9" s="313">
        <v>1050000</v>
      </c>
      <c r="E9" s="314"/>
      <c r="F9" s="314"/>
    </row>
    <row r="10" spans="1:6" ht="30.75" customHeight="1" thickBot="1">
      <c r="A10" s="694">
        <v>3</v>
      </c>
      <c r="B10" s="383" t="s">
        <v>744</v>
      </c>
      <c r="C10" s="384" t="s">
        <v>636</v>
      </c>
      <c r="D10" s="313">
        <v>700000</v>
      </c>
      <c r="E10" s="314"/>
      <c r="F10" s="314"/>
    </row>
    <row r="11" spans="1:6" ht="45.75" customHeight="1" thickBot="1">
      <c r="A11" s="694">
        <v>4</v>
      </c>
      <c r="B11" s="383" t="s">
        <v>96</v>
      </c>
      <c r="C11" s="384" t="s">
        <v>636</v>
      </c>
      <c r="D11" s="314"/>
      <c r="E11" s="313">
        <v>900000</v>
      </c>
      <c r="F11" s="314"/>
    </row>
    <row r="12" spans="1:6" ht="45.75" customHeight="1" thickBot="1">
      <c r="A12" s="694">
        <v>5</v>
      </c>
      <c r="B12" s="383" t="s">
        <v>210</v>
      </c>
      <c r="C12" s="384" t="s">
        <v>636</v>
      </c>
      <c r="D12" s="314"/>
      <c r="E12" s="313">
        <v>500000</v>
      </c>
      <c r="F12" s="314"/>
    </row>
    <row r="13" spans="1:6" ht="60.75" customHeight="1" thickBot="1">
      <c r="A13" s="694">
        <v>6</v>
      </c>
      <c r="B13" s="383" t="s">
        <v>154</v>
      </c>
      <c r="C13" s="384" t="s">
        <v>636</v>
      </c>
      <c r="D13" s="314"/>
      <c r="E13" s="313">
        <v>550000</v>
      </c>
      <c r="F13" s="314"/>
    </row>
    <row r="14" spans="1:6" ht="45.75" customHeight="1" thickBot="1">
      <c r="A14" s="694">
        <v>7</v>
      </c>
      <c r="B14" s="383" t="s">
        <v>682</v>
      </c>
      <c r="C14" s="384" t="s">
        <v>642</v>
      </c>
      <c r="D14" s="313">
        <v>1350000</v>
      </c>
      <c r="E14" s="314"/>
      <c r="F14" s="314"/>
    </row>
    <row r="15" spans="1:6" ht="60.75" customHeight="1" thickBot="1">
      <c r="A15" s="694">
        <v>8</v>
      </c>
      <c r="B15" s="383" t="s">
        <v>1651</v>
      </c>
      <c r="C15" s="384" t="s">
        <v>642</v>
      </c>
      <c r="D15" s="314"/>
      <c r="E15" s="313">
        <v>550000</v>
      </c>
      <c r="F15" s="314"/>
    </row>
    <row r="16" spans="1:6" ht="45.75" customHeight="1" thickBot="1">
      <c r="A16" s="694">
        <v>9</v>
      </c>
      <c r="B16" s="383" t="s">
        <v>207</v>
      </c>
      <c r="C16" s="384" t="s">
        <v>642</v>
      </c>
      <c r="D16" s="314"/>
      <c r="E16" s="313">
        <v>100000</v>
      </c>
      <c r="F16" s="314"/>
    </row>
    <row r="17" spans="1:6" ht="45.75" customHeight="1" thickBot="1">
      <c r="A17" s="694">
        <v>10</v>
      </c>
      <c r="B17" s="383" t="s">
        <v>728</v>
      </c>
      <c r="C17" s="384" t="s">
        <v>642</v>
      </c>
      <c r="D17" s="313">
        <v>50000</v>
      </c>
      <c r="E17" s="314"/>
      <c r="F17" s="314"/>
    </row>
    <row r="18" spans="1:6" ht="45.75" customHeight="1" thickBot="1">
      <c r="A18" s="694">
        <v>11</v>
      </c>
      <c r="B18" s="383" t="s">
        <v>715</v>
      </c>
      <c r="C18" s="384" t="s">
        <v>642</v>
      </c>
      <c r="D18" s="313">
        <v>300000</v>
      </c>
      <c r="E18" s="314"/>
      <c r="F18" s="314"/>
    </row>
    <row r="19" spans="1:6" ht="45.75" customHeight="1" thickBot="1">
      <c r="A19" s="694">
        <v>12</v>
      </c>
      <c r="B19" s="383" t="s">
        <v>1458</v>
      </c>
      <c r="C19" s="384" t="s">
        <v>642</v>
      </c>
      <c r="D19" s="314"/>
      <c r="E19" s="313">
        <v>50000</v>
      </c>
      <c r="F19" s="314"/>
    </row>
    <row r="20" spans="1:6" ht="60.75" customHeight="1" thickBot="1">
      <c r="A20" s="694">
        <v>13</v>
      </c>
      <c r="B20" s="383" t="s">
        <v>681</v>
      </c>
      <c r="C20" s="384" t="s">
        <v>642</v>
      </c>
      <c r="D20" s="314"/>
      <c r="E20" s="313">
        <v>100000</v>
      </c>
      <c r="F20" s="314"/>
    </row>
    <row r="21" spans="1:6" ht="30.75" customHeight="1" thickBot="1">
      <c r="A21" s="694">
        <v>14</v>
      </c>
      <c r="B21" s="383" t="s">
        <v>644</v>
      </c>
      <c r="C21" s="384" t="s">
        <v>642</v>
      </c>
      <c r="D21" s="314"/>
      <c r="E21" s="313">
        <v>150000</v>
      </c>
      <c r="F21" s="314"/>
    </row>
    <row r="22" spans="1:6" ht="45.75" customHeight="1" thickBot="1">
      <c r="A22" s="694">
        <v>15</v>
      </c>
      <c r="B22" s="383" t="s">
        <v>148</v>
      </c>
      <c r="C22" s="384" t="s">
        <v>646</v>
      </c>
      <c r="D22" s="314"/>
      <c r="E22" s="313">
        <v>600000</v>
      </c>
      <c r="F22" s="314"/>
    </row>
    <row r="23" spans="1:6" ht="45.75" customHeight="1" thickBot="1">
      <c r="A23" s="694">
        <v>16</v>
      </c>
      <c r="B23" s="383" t="s">
        <v>168</v>
      </c>
      <c r="C23" s="384" t="s">
        <v>646</v>
      </c>
      <c r="D23" s="314"/>
      <c r="E23" s="313">
        <v>500000</v>
      </c>
      <c r="F23" s="314"/>
    </row>
    <row r="24" spans="1:6" ht="45.75" customHeight="1" thickBot="1">
      <c r="A24" s="694">
        <v>17</v>
      </c>
      <c r="B24" s="383" t="s">
        <v>683</v>
      </c>
      <c r="C24" s="384" t="s">
        <v>646</v>
      </c>
      <c r="D24" s="313">
        <v>450000</v>
      </c>
      <c r="E24" s="314"/>
      <c r="F24" s="314"/>
    </row>
    <row r="25" spans="1:6" ht="30.75" customHeight="1" thickBot="1">
      <c r="A25" s="694">
        <v>18</v>
      </c>
      <c r="B25" s="383" t="s">
        <v>723</v>
      </c>
      <c r="C25" s="384" t="s">
        <v>646</v>
      </c>
      <c r="D25" s="313">
        <v>650000</v>
      </c>
      <c r="E25" s="314"/>
      <c r="F25" s="314"/>
    </row>
    <row r="26" spans="1:6" ht="45.75" customHeight="1" thickBot="1">
      <c r="A26" s="694">
        <v>19</v>
      </c>
      <c r="B26" s="383" t="s">
        <v>722</v>
      </c>
      <c r="C26" s="384" t="s">
        <v>646</v>
      </c>
      <c r="D26" s="313">
        <v>650000</v>
      </c>
      <c r="E26" s="314"/>
      <c r="F26" s="314"/>
    </row>
    <row r="27" spans="1:6" ht="45.75" customHeight="1" thickBot="1">
      <c r="A27" s="694">
        <v>20</v>
      </c>
      <c r="B27" s="383" t="s">
        <v>647</v>
      </c>
      <c r="C27" s="384" t="s">
        <v>646</v>
      </c>
      <c r="D27" s="313">
        <v>600000</v>
      </c>
      <c r="E27" s="314"/>
      <c r="F27" s="314"/>
    </row>
    <row r="28" spans="1:6" ht="45.75" customHeight="1" thickBot="1">
      <c r="A28" s="694">
        <v>21</v>
      </c>
      <c r="B28" s="383" t="s">
        <v>1434</v>
      </c>
      <c r="C28" s="384" t="s">
        <v>646</v>
      </c>
      <c r="D28" s="314"/>
      <c r="E28" s="313">
        <v>800000</v>
      </c>
      <c r="F28" s="314"/>
    </row>
    <row r="29" spans="1:6" ht="60.75" customHeight="1" thickBot="1">
      <c r="A29" s="694">
        <v>22</v>
      </c>
      <c r="B29" s="383" t="s">
        <v>289</v>
      </c>
      <c r="C29" s="384" t="s">
        <v>646</v>
      </c>
      <c r="D29" s="314"/>
      <c r="E29" s="313">
        <v>950000</v>
      </c>
      <c r="F29" s="314"/>
    </row>
    <row r="30" spans="1:6" ht="60.75" customHeight="1" thickBot="1">
      <c r="A30" s="694">
        <v>23</v>
      </c>
      <c r="B30" s="383" t="s">
        <v>1314</v>
      </c>
      <c r="C30" s="384" t="s">
        <v>646</v>
      </c>
      <c r="D30" s="314"/>
      <c r="E30" s="313">
        <v>100000</v>
      </c>
      <c r="F30" s="314"/>
    </row>
    <row r="31" spans="1:6" ht="45.75" customHeight="1" thickBot="1">
      <c r="A31" s="694">
        <v>24</v>
      </c>
      <c r="B31" s="383" t="s">
        <v>187</v>
      </c>
      <c r="C31" s="384" t="s">
        <v>649</v>
      </c>
      <c r="D31" s="314"/>
      <c r="E31" s="313">
        <v>150000</v>
      </c>
      <c r="F31" s="314"/>
    </row>
    <row r="32" spans="1:6" ht="30.75" customHeight="1" thickBot="1">
      <c r="A32" s="694">
        <v>25</v>
      </c>
      <c r="B32" s="383" t="s">
        <v>152</v>
      </c>
      <c r="C32" s="384" t="s">
        <v>649</v>
      </c>
      <c r="D32" s="314" t="s">
        <v>1164</v>
      </c>
      <c r="E32" s="313">
        <v>250000</v>
      </c>
      <c r="F32" s="314"/>
    </row>
    <row r="33" spans="1:6" ht="45.75" customHeight="1" thickBot="1">
      <c r="A33" s="694">
        <v>26</v>
      </c>
      <c r="B33" s="383" t="s">
        <v>686</v>
      </c>
      <c r="C33" s="384" t="s">
        <v>649</v>
      </c>
      <c r="D33" s="313">
        <v>1650000</v>
      </c>
      <c r="E33" s="449"/>
      <c r="F33" s="314"/>
    </row>
    <row r="34" spans="1:6" ht="45.75" customHeight="1" thickBot="1">
      <c r="A34" s="309">
        <v>27</v>
      </c>
      <c r="B34" s="383" t="s">
        <v>721</v>
      </c>
      <c r="C34" s="384" t="s">
        <v>649</v>
      </c>
      <c r="D34" s="314"/>
      <c r="E34" s="313">
        <v>950000</v>
      </c>
      <c r="F34" s="314"/>
    </row>
    <row r="35" spans="1:6" ht="45.75" customHeight="1" thickBot="1">
      <c r="A35" s="309">
        <v>28</v>
      </c>
      <c r="B35" s="383" t="s">
        <v>687</v>
      </c>
      <c r="C35" s="384" t="s">
        <v>649</v>
      </c>
      <c r="D35" s="313">
        <v>1900000</v>
      </c>
      <c r="E35" s="314"/>
      <c r="F35" s="314"/>
    </row>
    <row r="36" spans="1:6" ht="45.75" customHeight="1" thickBot="1">
      <c r="A36" s="309">
        <v>29</v>
      </c>
      <c r="B36" s="383" t="s">
        <v>638</v>
      </c>
      <c r="C36" s="384" t="s">
        <v>649</v>
      </c>
      <c r="D36" s="313">
        <v>400000</v>
      </c>
      <c r="E36" s="314"/>
      <c r="F36" s="314"/>
    </row>
    <row r="37" spans="1:6" ht="45.75" customHeight="1" thickBot="1">
      <c r="A37" s="309">
        <v>30</v>
      </c>
      <c r="B37" s="383" t="s">
        <v>685</v>
      </c>
      <c r="C37" s="384" t="s">
        <v>649</v>
      </c>
      <c r="D37" s="313">
        <v>1400000</v>
      </c>
      <c r="E37" s="314"/>
      <c r="F37" s="314"/>
    </row>
    <row r="38" spans="1:6" ht="45.75" customHeight="1" thickBot="1">
      <c r="A38" s="309">
        <v>31</v>
      </c>
      <c r="B38" s="383" t="s">
        <v>1908</v>
      </c>
      <c r="C38" s="384" t="s">
        <v>649</v>
      </c>
      <c r="D38" s="314"/>
      <c r="E38" s="313">
        <v>1000000</v>
      </c>
      <c r="F38" s="314"/>
    </row>
    <row r="39" spans="1:6" ht="45.75" customHeight="1" thickBot="1">
      <c r="A39" s="309">
        <v>32</v>
      </c>
      <c r="B39" s="383" t="s">
        <v>684</v>
      </c>
      <c r="C39" s="384" t="s">
        <v>649</v>
      </c>
      <c r="D39" s="313">
        <v>1350000</v>
      </c>
      <c r="E39" s="314"/>
      <c r="F39" s="314"/>
    </row>
    <row r="40" spans="1:6" ht="45.75" customHeight="1" thickBot="1">
      <c r="A40" s="309">
        <v>33</v>
      </c>
      <c r="B40" s="383" t="s">
        <v>221</v>
      </c>
      <c r="C40" s="384" t="s">
        <v>649</v>
      </c>
      <c r="D40" s="314"/>
      <c r="E40" s="313">
        <v>50000</v>
      </c>
      <c r="F40" s="314"/>
    </row>
    <row r="41" spans="1:6" ht="30.75" customHeight="1" thickBot="1">
      <c r="A41" s="309">
        <v>34</v>
      </c>
      <c r="B41" s="383" t="s">
        <v>645</v>
      </c>
      <c r="C41" s="384" t="s">
        <v>650</v>
      </c>
      <c r="D41" s="313">
        <v>500000</v>
      </c>
      <c r="E41" s="314"/>
      <c r="F41" s="314"/>
    </row>
    <row r="42" spans="1:6" ht="45.75" customHeight="1" thickBot="1">
      <c r="A42" s="309">
        <v>35</v>
      </c>
      <c r="B42" s="383" t="s">
        <v>269</v>
      </c>
      <c r="C42" s="384" t="s">
        <v>650</v>
      </c>
      <c r="D42" s="314"/>
      <c r="E42" s="313">
        <v>250000</v>
      </c>
      <c r="F42" s="314"/>
    </row>
    <row r="43" spans="1:6" ht="30.75" customHeight="1" thickBot="1">
      <c r="A43" s="309">
        <v>36</v>
      </c>
      <c r="B43" s="383" t="s">
        <v>651</v>
      </c>
      <c r="C43" s="384" t="s">
        <v>650</v>
      </c>
      <c r="D43" s="313">
        <v>1900000</v>
      </c>
      <c r="E43" s="314"/>
      <c r="F43" s="314"/>
    </row>
    <row r="44" spans="1:6" ht="30.75" customHeight="1" thickBot="1">
      <c r="A44" s="309">
        <v>37</v>
      </c>
      <c r="B44" s="383" t="s">
        <v>688</v>
      </c>
      <c r="C44" s="384" t="s">
        <v>650</v>
      </c>
      <c r="D44" s="313">
        <v>1800000</v>
      </c>
      <c r="E44" s="314"/>
      <c r="F44" s="314"/>
    </row>
    <row r="45" spans="1:6" ht="30.75" customHeight="1" thickBot="1">
      <c r="A45" s="309">
        <v>38</v>
      </c>
      <c r="B45" s="383" t="s">
        <v>765</v>
      </c>
      <c r="C45" s="384" t="s">
        <v>650</v>
      </c>
      <c r="D45" s="314"/>
      <c r="E45" s="313">
        <v>250000</v>
      </c>
      <c r="F45" s="314"/>
    </row>
    <row r="46" spans="1:6" ht="60.75" customHeight="1" thickBot="1">
      <c r="A46" s="309">
        <v>39</v>
      </c>
      <c r="B46" s="383" t="s">
        <v>83</v>
      </c>
      <c r="C46" s="384" t="s">
        <v>650</v>
      </c>
      <c r="D46" s="314"/>
      <c r="E46" s="313">
        <v>100000</v>
      </c>
      <c r="F46" s="314"/>
    </row>
    <row r="47" spans="1:6" ht="30.75" customHeight="1" thickBot="1">
      <c r="A47" s="309">
        <v>40</v>
      </c>
      <c r="B47" s="383" t="s">
        <v>1401</v>
      </c>
      <c r="C47" s="384" t="s">
        <v>650</v>
      </c>
      <c r="D47" s="313">
        <v>1150000</v>
      </c>
      <c r="E47" s="314"/>
      <c r="F47" s="314"/>
    </row>
    <row r="48" spans="1:6" ht="45.75" customHeight="1" thickBot="1">
      <c r="A48" s="309">
        <v>41</v>
      </c>
      <c r="B48" s="383" t="s">
        <v>727</v>
      </c>
      <c r="C48" s="384" t="s">
        <v>650</v>
      </c>
      <c r="D48" s="313">
        <v>150000</v>
      </c>
      <c r="E48" s="314"/>
      <c r="F48" s="314"/>
    </row>
    <row r="49" spans="1:6" ht="45.75" customHeight="1" thickBot="1">
      <c r="A49" s="309">
        <v>42</v>
      </c>
      <c r="B49" s="383" t="s">
        <v>689</v>
      </c>
      <c r="C49" s="384" t="s">
        <v>653</v>
      </c>
      <c r="D49" s="313">
        <v>250000</v>
      </c>
      <c r="E49" s="314"/>
      <c r="F49" s="314"/>
    </row>
    <row r="50" spans="1:6" ht="45.75" customHeight="1" thickBot="1">
      <c r="A50" s="309">
        <v>43</v>
      </c>
      <c r="B50" s="383" t="s">
        <v>656</v>
      </c>
      <c r="C50" s="384" t="s">
        <v>653</v>
      </c>
      <c r="D50" s="313">
        <v>150000</v>
      </c>
      <c r="E50" s="314"/>
      <c r="F50" s="314"/>
    </row>
    <row r="51" spans="1:6" ht="30.75" customHeight="1" thickBot="1">
      <c r="A51" s="309">
        <v>44</v>
      </c>
      <c r="B51" s="383" t="s">
        <v>146</v>
      </c>
      <c r="C51" s="384" t="s">
        <v>653</v>
      </c>
      <c r="D51" s="314"/>
      <c r="E51" s="313">
        <v>200000</v>
      </c>
      <c r="F51" s="314"/>
    </row>
    <row r="52" spans="1:6" ht="45.75" customHeight="1" thickBot="1">
      <c r="A52" s="309">
        <v>45</v>
      </c>
      <c r="B52" s="383" t="s">
        <v>50</v>
      </c>
      <c r="C52" s="384" t="s">
        <v>653</v>
      </c>
      <c r="D52" s="314"/>
      <c r="E52" s="313">
        <v>150000</v>
      </c>
      <c r="F52" s="314"/>
    </row>
    <row r="53" spans="1:6" ht="45.75" customHeight="1" thickBot="1">
      <c r="A53" s="309">
        <v>46</v>
      </c>
      <c r="B53" s="383" t="s">
        <v>46</v>
      </c>
      <c r="C53" s="384" t="s">
        <v>653</v>
      </c>
      <c r="D53" s="314"/>
      <c r="E53" s="313">
        <v>50000</v>
      </c>
      <c r="F53" s="314"/>
    </row>
    <row r="54" spans="1:6" ht="45.75" customHeight="1" thickBot="1">
      <c r="A54" s="309">
        <v>47</v>
      </c>
      <c r="B54" s="383" t="s">
        <v>60</v>
      </c>
      <c r="C54" s="384" t="s">
        <v>653</v>
      </c>
      <c r="D54" s="314"/>
      <c r="E54" s="313">
        <v>100000</v>
      </c>
      <c r="F54" s="314"/>
    </row>
    <row r="55" spans="1:6" ht="60.75" customHeight="1" thickBot="1">
      <c r="A55" s="309">
        <v>48</v>
      </c>
      <c r="B55" s="383" t="s">
        <v>435</v>
      </c>
      <c r="C55" s="384" t="s">
        <v>668</v>
      </c>
      <c r="D55" s="314"/>
      <c r="E55" s="313">
        <v>50000</v>
      </c>
      <c r="F55" s="314"/>
    </row>
    <row r="56" spans="1:6" ht="45.75" customHeight="1" thickBot="1">
      <c r="A56" s="309">
        <v>49</v>
      </c>
      <c r="B56" s="383" t="s">
        <v>672</v>
      </c>
      <c r="C56" s="384" t="s">
        <v>668</v>
      </c>
      <c r="D56" s="313">
        <v>250000</v>
      </c>
      <c r="E56" s="314"/>
      <c r="F56" s="314"/>
    </row>
    <row r="57" spans="1:6" ht="30.75" customHeight="1" thickBot="1">
      <c r="A57" s="309">
        <v>50</v>
      </c>
      <c r="B57" s="383" t="s">
        <v>693</v>
      </c>
      <c r="C57" s="384" t="s">
        <v>668</v>
      </c>
      <c r="D57" s="313">
        <v>150000</v>
      </c>
      <c r="E57" s="314"/>
      <c r="F57" s="314"/>
    </row>
    <row r="58" spans="1:6" ht="45.75" customHeight="1" thickBot="1">
      <c r="A58" s="309">
        <v>51</v>
      </c>
      <c r="B58" s="383" t="s">
        <v>670</v>
      </c>
      <c r="C58" s="384" t="s">
        <v>668</v>
      </c>
      <c r="D58" s="313">
        <v>100000</v>
      </c>
      <c r="E58" s="314"/>
      <c r="F58" s="314"/>
    </row>
    <row r="59" spans="1:6" ht="45.75" customHeight="1" thickBot="1">
      <c r="A59" s="309">
        <v>52</v>
      </c>
      <c r="B59" s="383" t="s">
        <v>732</v>
      </c>
      <c r="C59" s="384" t="s">
        <v>668</v>
      </c>
      <c r="D59" s="313">
        <v>150000</v>
      </c>
      <c r="E59" s="314"/>
      <c r="F59" s="314"/>
    </row>
    <row r="60" spans="1:6" ht="30.75" customHeight="1" thickBot="1">
      <c r="A60" s="309">
        <v>53</v>
      </c>
      <c r="B60" s="383" t="s">
        <v>1316</v>
      </c>
      <c r="C60" s="384" t="s">
        <v>668</v>
      </c>
      <c r="D60" s="314"/>
      <c r="E60" s="313">
        <v>100000</v>
      </c>
      <c r="F60" s="314"/>
    </row>
    <row r="61" spans="1:6" ht="60.75" customHeight="1" thickBot="1">
      <c r="A61" s="309">
        <v>54</v>
      </c>
      <c r="B61" s="383" t="s">
        <v>692</v>
      </c>
      <c r="C61" s="384" t="s">
        <v>668</v>
      </c>
      <c r="D61" s="313">
        <v>100000</v>
      </c>
      <c r="E61" s="314"/>
      <c r="F61" s="314"/>
    </row>
    <row r="62" spans="1:6" ht="30.75" customHeight="1" thickBot="1">
      <c r="A62" s="309">
        <v>55</v>
      </c>
      <c r="B62" s="383" t="s">
        <v>671</v>
      </c>
      <c r="C62" s="384" t="s">
        <v>668</v>
      </c>
      <c r="D62" s="313">
        <v>100000</v>
      </c>
      <c r="E62" s="314"/>
      <c r="F62" s="314"/>
    </row>
    <row r="63" spans="1:6" ht="30.75" customHeight="1" thickBot="1">
      <c r="A63" s="309">
        <v>56</v>
      </c>
      <c r="B63" s="383" t="s">
        <v>149</v>
      </c>
      <c r="C63" s="384" t="s">
        <v>674</v>
      </c>
      <c r="D63" s="314"/>
      <c r="E63" s="313">
        <v>700000</v>
      </c>
      <c r="F63" s="314"/>
    </row>
    <row r="64" spans="1:6" ht="45.75" customHeight="1" thickBot="1">
      <c r="A64" s="309">
        <v>57</v>
      </c>
      <c r="B64" s="383" t="s">
        <v>675</v>
      </c>
      <c r="C64" s="384" t="s">
        <v>674</v>
      </c>
      <c r="D64" s="313">
        <v>1250000</v>
      </c>
      <c r="E64" s="314"/>
      <c r="F64" s="314"/>
    </row>
    <row r="65" spans="1:6" ht="45.75" customHeight="1" thickBot="1">
      <c r="A65" s="309">
        <v>58</v>
      </c>
      <c r="B65" s="383" t="s">
        <v>150</v>
      </c>
      <c r="C65" s="384" t="s">
        <v>674</v>
      </c>
      <c r="D65" s="314"/>
      <c r="E65" s="313">
        <v>1300000</v>
      </c>
      <c r="F65" s="314"/>
    </row>
    <row r="66" spans="1:6" ht="45.75" customHeight="1" thickBot="1">
      <c r="A66" s="309">
        <v>59</v>
      </c>
      <c r="B66" s="383" t="s">
        <v>182</v>
      </c>
      <c r="C66" s="384" t="s">
        <v>674</v>
      </c>
      <c r="D66" s="314"/>
      <c r="E66" s="313">
        <v>800000</v>
      </c>
      <c r="F66" s="314"/>
    </row>
    <row r="67" spans="1:6" ht="30.75" customHeight="1" thickBot="1">
      <c r="A67" s="309">
        <v>60</v>
      </c>
      <c r="B67" s="383" t="s">
        <v>742</v>
      </c>
      <c r="C67" s="384" t="s">
        <v>674</v>
      </c>
      <c r="D67" s="313">
        <v>250000</v>
      </c>
      <c r="E67" s="314"/>
      <c r="F67" s="314"/>
    </row>
    <row r="68" spans="1:6" ht="15.75" thickBot="1">
      <c r="A68" s="309">
        <v>61</v>
      </c>
      <c r="B68" s="383" t="s">
        <v>741</v>
      </c>
      <c r="C68" s="384" t="s">
        <v>674</v>
      </c>
      <c r="D68" s="313">
        <v>400000</v>
      </c>
      <c r="E68" s="314"/>
      <c r="F68" s="314"/>
    </row>
    <row r="69" spans="1:6" ht="15.75" thickBot="1">
      <c r="A69" s="700" t="s">
        <v>758</v>
      </c>
      <c r="B69" s="701"/>
      <c r="C69" s="318"/>
      <c r="D69" s="695">
        <v>21850000</v>
      </c>
      <c r="E69" s="695">
        <v>12300000</v>
      </c>
      <c r="F69" s="696"/>
    </row>
    <row r="70" spans="1:6" ht="15.75" customHeight="1" thickBot="1">
      <c r="A70" s="700" t="s">
        <v>864</v>
      </c>
      <c r="B70" s="701"/>
      <c r="C70" s="318"/>
      <c r="D70" s="702">
        <v>34150000</v>
      </c>
      <c r="E70" s="703"/>
      <c r="F70" s="697"/>
    </row>
    <row r="71" spans="1:6">
      <c r="A71" s="244" t="s">
        <v>1909</v>
      </c>
    </row>
    <row r="72" spans="1:6">
      <c r="A72" s="244"/>
    </row>
    <row r="73" spans="1:6" ht="16.5">
      <c r="A73" s="246"/>
      <c r="B73" s="248"/>
    </row>
    <row r="74" spans="1:6" ht="15.75">
      <c r="A74" s="205" t="s">
        <v>678</v>
      </c>
    </row>
    <row r="75" spans="1:6">
      <c r="A75" s="1134"/>
    </row>
    <row r="76" spans="1:6">
      <c r="A76" s="686" t="s">
        <v>1910</v>
      </c>
    </row>
    <row r="77" spans="1:6">
      <c r="A77" s="686" t="s">
        <v>1911</v>
      </c>
    </row>
    <row r="78" spans="1:6" ht="16.5" thickBot="1">
      <c r="A78" s="232" t="s">
        <v>1907</v>
      </c>
    </row>
    <row r="79" spans="1:6" ht="28.5" customHeight="1" thickBot="1">
      <c r="A79" s="939" t="s">
        <v>0</v>
      </c>
      <c r="B79" s="939" t="s">
        <v>121</v>
      </c>
      <c r="C79" s="939" t="s">
        <v>632</v>
      </c>
      <c r="D79" s="941" t="s">
        <v>894</v>
      </c>
      <c r="E79" s="942"/>
      <c r="F79" s="939" t="s">
        <v>699</v>
      </c>
    </row>
    <row r="80" spans="1:6" ht="15.75" thickBot="1">
      <c r="A80" s="943"/>
      <c r="B80" s="943"/>
      <c r="C80" s="943"/>
      <c r="D80" s="940" t="s">
        <v>828</v>
      </c>
      <c r="E80" s="940" t="s">
        <v>829</v>
      </c>
      <c r="F80" s="943"/>
    </row>
    <row r="81" spans="1:6" ht="15.75" thickBot="1">
      <c r="A81" s="694">
        <v>1</v>
      </c>
      <c r="B81" s="383" t="s">
        <v>744</v>
      </c>
      <c r="C81" s="384" t="s">
        <v>636</v>
      </c>
      <c r="D81" s="313">
        <v>200000</v>
      </c>
      <c r="E81" s="314"/>
      <c r="F81" s="314"/>
    </row>
    <row r="82" spans="1:6" ht="45.75" customHeight="1" thickBot="1">
      <c r="A82" s="694">
        <v>2</v>
      </c>
      <c r="B82" s="383" t="s">
        <v>641</v>
      </c>
      <c r="C82" s="384" t="s">
        <v>636</v>
      </c>
      <c r="D82" s="313">
        <v>80000</v>
      </c>
      <c r="E82" s="314"/>
      <c r="F82" s="314"/>
    </row>
    <row r="83" spans="1:6" ht="45.75" customHeight="1" thickBot="1">
      <c r="A83" s="694">
        <v>3</v>
      </c>
      <c r="B83" s="383" t="s">
        <v>210</v>
      </c>
      <c r="C83" s="384" t="s">
        <v>636</v>
      </c>
      <c r="D83" s="314"/>
      <c r="E83" s="313">
        <v>260000</v>
      </c>
      <c r="F83" s="314"/>
    </row>
    <row r="84" spans="1:6" ht="45.75" customHeight="1" thickBot="1">
      <c r="A84" s="694">
        <v>4</v>
      </c>
      <c r="B84" s="383" t="s">
        <v>96</v>
      </c>
      <c r="C84" s="384" t="s">
        <v>636</v>
      </c>
      <c r="D84" s="314"/>
      <c r="E84" s="313">
        <v>200000</v>
      </c>
      <c r="F84" s="314"/>
    </row>
    <row r="85" spans="1:6" ht="45.75" customHeight="1" thickBot="1">
      <c r="A85" s="694">
        <v>5</v>
      </c>
      <c r="B85" s="383" t="s">
        <v>640</v>
      </c>
      <c r="C85" s="384" t="s">
        <v>636</v>
      </c>
      <c r="D85" s="313">
        <v>140000</v>
      </c>
      <c r="E85" s="314"/>
      <c r="F85" s="314"/>
    </row>
    <row r="86" spans="1:6" ht="45.75" customHeight="1" thickBot="1">
      <c r="A86" s="694">
        <v>6</v>
      </c>
      <c r="B86" s="383" t="s">
        <v>635</v>
      </c>
      <c r="C86" s="384" t="s">
        <v>636</v>
      </c>
      <c r="D86" s="313">
        <v>100000</v>
      </c>
      <c r="E86" s="314"/>
      <c r="F86" s="314"/>
    </row>
    <row r="87" spans="1:6" ht="60.75" customHeight="1" thickBot="1">
      <c r="A87" s="694">
        <v>7</v>
      </c>
      <c r="B87" s="383" t="s">
        <v>154</v>
      </c>
      <c r="C87" s="384" t="s">
        <v>636</v>
      </c>
      <c r="D87" s="314"/>
      <c r="E87" s="313">
        <v>180000</v>
      </c>
      <c r="F87" s="314"/>
    </row>
    <row r="88" spans="1:6" ht="45.75" customHeight="1" thickBot="1">
      <c r="A88" s="694">
        <v>8</v>
      </c>
      <c r="B88" s="383" t="s">
        <v>106</v>
      </c>
      <c r="C88" s="384" t="s">
        <v>636</v>
      </c>
      <c r="D88" s="314"/>
      <c r="E88" s="313">
        <v>60000</v>
      </c>
      <c r="F88" s="314"/>
    </row>
    <row r="89" spans="1:6" ht="30.75" customHeight="1" thickBot="1">
      <c r="A89" s="694">
        <v>9</v>
      </c>
      <c r="B89" s="383" t="s">
        <v>870</v>
      </c>
      <c r="C89" s="384" t="s">
        <v>642</v>
      </c>
      <c r="D89" s="313">
        <v>20000</v>
      </c>
      <c r="E89" s="314"/>
      <c r="F89" s="314"/>
    </row>
    <row r="90" spans="1:6" ht="45.75" customHeight="1" thickBot="1">
      <c r="A90" s="694">
        <v>10</v>
      </c>
      <c r="B90" s="383" t="s">
        <v>715</v>
      </c>
      <c r="C90" s="384" t="s">
        <v>642</v>
      </c>
      <c r="D90" s="313">
        <v>200000</v>
      </c>
      <c r="E90" s="314"/>
      <c r="F90" s="314"/>
    </row>
    <row r="91" spans="1:6" ht="45.75" customHeight="1" thickBot="1">
      <c r="A91" s="694">
        <v>11</v>
      </c>
      <c r="B91" s="383" t="s">
        <v>728</v>
      </c>
      <c r="C91" s="384" t="s">
        <v>642</v>
      </c>
      <c r="D91" s="313">
        <v>440000</v>
      </c>
      <c r="E91" s="314"/>
      <c r="F91" s="314"/>
    </row>
    <row r="92" spans="1:6" ht="60.75" customHeight="1" thickBot="1">
      <c r="A92" s="694">
        <v>12</v>
      </c>
      <c r="B92" s="383" t="s">
        <v>681</v>
      </c>
      <c r="C92" s="384" t="s">
        <v>642</v>
      </c>
      <c r="D92" s="314"/>
      <c r="E92" s="313">
        <v>240000</v>
      </c>
      <c r="F92" s="314"/>
    </row>
    <row r="93" spans="1:6" ht="30.75" customHeight="1" thickBot="1">
      <c r="A93" s="694">
        <v>13</v>
      </c>
      <c r="B93" s="383" t="s">
        <v>645</v>
      </c>
      <c r="C93" s="384" t="s">
        <v>642</v>
      </c>
      <c r="D93" s="313">
        <v>60000</v>
      </c>
      <c r="E93" s="314"/>
      <c r="F93" s="314"/>
    </row>
    <row r="94" spans="1:6" ht="45.75" customHeight="1" thickBot="1">
      <c r="A94" s="694">
        <v>14</v>
      </c>
      <c r="B94" s="383" t="s">
        <v>207</v>
      </c>
      <c r="C94" s="384" t="s">
        <v>642</v>
      </c>
      <c r="D94" s="314"/>
      <c r="E94" s="313">
        <v>60000</v>
      </c>
      <c r="F94" s="314"/>
    </row>
    <row r="95" spans="1:6" ht="30.75" customHeight="1" thickBot="1">
      <c r="A95" s="694">
        <v>15</v>
      </c>
      <c r="B95" s="383" t="s">
        <v>644</v>
      </c>
      <c r="C95" s="384" t="s">
        <v>642</v>
      </c>
      <c r="D95" s="314"/>
      <c r="E95" s="313">
        <v>20000</v>
      </c>
      <c r="F95" s="314"/>
    </row>
    <row r="96" spans="1:6" ht="45.75" customHeight="1" thickBot="1">
      <c r="A96" s="694">
        <v>16</v>
      </c>
      <c r="B96" s="383" t="s">
        <v>682</v>
      </c>
      <c r="C96" s="384" t="s">
        <v>642</v>
      </c>
      <c r="D96" s="313">
        <v>60000</v>
      </c>
      <c r="E96" s="314"/>
      <c r="F96" s="314"/>
    </row>
    <row r="97" spans="1:6" ht="45.75" customHeight="1" thickBot="1">
      <c r="A97" s="694">
        <v>17</v>
      </c>
      <c r="B97" s="383" t="s">
        <v>647</v>
      </c>
      <c r="C97" s="384" t="s">
        <v>646</v>
      </c>
      <c r="D97" s="313">
        <v>80000</v>
      </c>
      <c r="E97" s="314"/>
      <c r="F97" s="314"/>
    </row>
    <row r="98" spans="1:6" ht="45.75" customHeight="1" thickBot="1">
      <c r="A98" s="694">
        <v>18</v>
      </c>
      <c r="B98" s="383" t="s">
        <v>1434</v>
      </c>
      <c r="C98" s="384" t="s">
        <v>646</v>
      </c>
      <c r="D98" s="314"/>
      <c r="E98" s="313">
        <v>80000</v>
      </c>
      <c r="F98" s="314"/>
    </row>
    <row r="99" spans="1:6" ht="45.75" customHeight="1" thickBot="1">
      <c r="A99" s="694">
        <v>19</v>
      </c>
      <c r="B99" s="383" t="s">
        <v>683</v>
      </c>
      <c r="C99" s="384" t="s">
        <v>646</v>
      </c>
      <c r="D99" s="313">
        <v>60000</v>
      </c>
      <c r="E99" s="314"/>
      <c r="F99" s="314"/>
    </row>
    <row r="100" spans="1:6" ht="45.75" customHeight="1" thickBot="1">
      <c r="A100" s="694">
        <v>20</v>
      </c>
      <c r="B100" s="383" t="s">
        <v>168</v>
      </c>
      <c r="C100" s="384" t="s">
        <v>646</v>
      </c>
      <c r="D100" s="314"/>
      <c r="E100" s="313">
        <v>60000</v>
      </c>
      <c r="F100" s="314"/>
    </row>
    <row r="101" spans="1:6" ht="60.75" customHeight="1" thickBot="1">
      <c r="A101" s="694">
        <v>21</v>
      </c>
      <c r="B101" s="383" t="s">
        <v>1314</v>
      </c>
      <c r="C101" s="384" t="s">
        <v>646</v>
      </c>
      <c r="D101" s="314"/>
      <c r="E101" s="313">
        <v>80000</v>
      </c>
      <c r="F101" s="314"/>
    </row>
    <row r="102" spans="1:6" ht="30.75" customHeight="1" thickBot="1">
      <c r="A102" s="694">
        <v>22</v>
      </c>
      <c r="B102" s="383" t="s">
        <v>723</v>
      </c>
      <c r="C102" s="384" t="s">
        <v>646</v>
      </c>
      <c r="D102" s="313">
        <v>100000</v>
      </c>
      <c r="E102" s="314"/>
      <c r="F102" s="314"/>
    </row>
    <row r="103" spans="1:6" ht="45.75" customHeight="1" thickBot="1">
      <c r="A103" s="694">
        <v>23</v>
      </c>
      <c r="B103" s="383" t="s">
        <v>148</v>
      </c>
      <c r="C103" s="384" t="s">
        <v>646</v>
      </c>
      <c r="D103" s="314"/>
      <c r="E103" s="313">
        <v>100000</v>
      </c>
      <c r="F103" s="314"/>
    </row>
    <row r="104" spans="1:6" ht="60.75" customHeight="1" thickBot="1">
      <c r="A104" s="694">
        <v>24</v>
      </c>
      <c r="B104" s="383" t="s">
        <v>289</v>
      </c>
      <c r="C104" s="384" t="s">
        <v>646</v>
      </c>
      <c r="D104" s="314"/>
      <c r="E104" s="313">
        <v>60000</v>
      </c>
      <c r="F104" s="314"/>
    </row>
    <row r="105" spans="1:6" ht="45.75" customHeight="1" thickBot="1">
      <c r="A105" s="694">
        <v>25</v>
      </c>
      <c r="B105" s="383" t="s">
        <v>722</v>
      </c>
      <c r="C105" s="384" t="s">
        <v>646</v>
      </c>
      <c r="D105" s="313">
        <v>80000</v>
      </c>
      <c r="E105" s="314"/>
      <c r="F105" s="314"/>
    </row>
    <row r="106" spans="1:6" ht="30.75" customHeight="1" thickBot="1">
      <c r="A106" s="694">
        <v>26</v>
      </c>
      <c r="B106" s="383" t="s">
        <v>152</v>
      </c>
      <c r="C106" s="384" t="s">
        <v>649</v>
      </c>
      <c r="D106" s="314"/>
      <c r="E106" s="313">
        <v>60000</v>
      </c>
      <c r="F106" s="314"/>
    </row>
    <row r="107" spans="1:6" ht="45.75" customHeight="1" thickBot="1">
      <c r="A107" s="309">
        <v>27</v>
      </c>
      <c r="B107" s="383" t="s">
        <v>687</v>
      </c>
      <c r="C107" s="384" t="s">
        <v>649</v>
      </c>
      <c r="D107" s="313">
        <v>140000</v>
      </c>
      <c r="E107" s="314"/>
      <c r="F107" s="314"/>
    </row>
    <row r="108" spans="1:6" ht="45.75" customHeight="1" thickBot="1">
      <c r="A108" s="309">
        <v>28</v>
      </c>
      <c r="B108" s="383" t="s">
        <v>686</v>
      </c>
      <c r="C108" s="384" t="s">
        <v>649</v>
      </c>
      <c r="D108" s="313">
        <v>180000</v>
      </c>
      <c r="E108" s="314"/>
      <c r="F108" s="314"/>
    </row>
    <row r="109" spans="1:6" ht="45.75" customHeight="1" thickBot="1">
      <c r="A109" s="309">
        <v>29</v>
      </c>
      <c r="B109" s="383" t="s">
        <v>684</v>
      </c>
      <c r="C109" s="384" t="s">
        <v>649</v>
      </c>
      <c r="D109" s="313">
        <v>160000</v>
      </c>
      <c r="E109" s="314"/>
      <c r="F109" s="314"/>
    </row>
    <row r="110" spans="1:6" ht="45.75" customHeight="1" thickBot="1">
      <c r="A110" s="309">
        <v>30</v>
      </c>
      <c r="B110" s="383" t="s">
        <v>685</v>
      </c>
      <c r="C110" s="384" t="s">
        <v>649</v>
      </c>
      <c r="D110" s="313">
        <v>180000</v>
      </c>
      <c r="E110" s="314"/>
      <c r="F110" s="314"/>
    </row>
    <row r="111" spans="1:6" ht="45.75" customHeight="1" thickBot="1">
      <c r="A111" s="309">
        <v>31</v>
      </c>
      <c r="B111" s="383" t="s">
        <v>1908</v>
      </c>
      <c r="C111" s="384" t="s">
        <v>649</v>
      </c>
      <c r="D111" s="314"/>
      <c r="E111" s="313">
        <v>180000</v>
      </c>
      <c r="F111" s="314"/>
    </row>
    <row r="112" spans="1:6" ht="45.75" customHeight="1" thickBot="1">
      <c r="A112" s="309">
        <v>32</v>
      </c>
      <c r="B112" s="383" t="s">
        <v>27</v>
      </c>
      <c r="C112" s="384" t="s">
        <v>649</v>
      </c>
      <c r="D112" s="314"/>
      <c r="E112" s="313">
        <v>20000</v>
      </c>
      <c r="F112" s="314"/>
    </row>
    <row r="113" spans="1:6" ht="45.75" customHeight="1" thickBot="1">
      <c r="A113" s="309">
        <v>33</v>
      </c>
      <c r="B113" s="383" t="s">
        <v>721</v>
      </c>
      <c r="C113" s="384" t="s">
        <v>649</v>
      </c>
      <c r="D113" s="314"/>
      <c r="E113" s="313">
        <v>100000</v>
      </c>
      <c r="F113" s="314"/>
    </row>
    <row r="114" spans="1:6" ht="45.75" customHeight="1" thickBot="1">
      <c r="A114" s="309">
        <v>34</v>
      </c>
      <c r="B114" s="383" t="s">
        <v>648</v>
      </c>
      <c r="C114" s="384" t="s">
        <v>649</v>
      </c>
      <c r="D114" s="313">
        <v>60000</v>
      </c>
      <c r="E114" s="314"/>
      <c r="F114" s="314"/>
    </row>
    <row r="115" spans="1:6" ht="45.75" customHeight="1" thickBot="1">
      <c r="A115" s="309">
        <v>35</v>
      </c>
      <c r="B115" s="383" t="s">
        <v>78</v>
      </c>
      <c r="C115" s="384" t="s">
        <v>649</v>
      </c>
      <c r="D115" s="314"/>
      <c r="E115" s="313">
        <v>60000</v>
      </c>
      <c r="F115" s="314"/>
    </row>
    <row r="116" spans="1:6" ht="45.75" customHeight="1" thickBot="1">
      <c r="A116" s="309">
        <v>36</v>
      </c>
      <c r="B116" s="383" t="s">
        <v>187</v>
      </c>
      <c r="C116" s="384" t="s">
        <v>649</v>
      </c>
      <c r="D116" s="314"/>
      <c r="E116" s="313">
        <v>60000</v>
      </c>
      <c r="F116" s="314"/>
    </row>
    <row r="117" spans="1:6" ht="30.75" customHeight="1" thickBot="1">
      <c r="A117" s="309">
        <v>37</v>
      </c>
      <c r="B117" s="383" t="s">
        <v>651</v>
      </c>
      <c r="C117" s="384" t="s">
        <v>650</v>
      </c>
      <c r="D117" s="313">
        <v>60000</v>
      </c>
      <c r="E117" s="314"/>
      <c r="F117" s="314"/>
    </row>
    <row r="118" spans="1:6" ht="45.75" customHeight="1" thickBot="1">
      <c r="A118" s="309">
        <v>38</v>
      </c>
      <c r="B118" s="383" t="s">
        <v>269</v>
      </c>
      <c r="C118" s="384" t="s">
        <v>650</v>
      </c>
      <c r="D118" s="314"/>
      <c r="E118" s="313">
        <v>20000</v>
      </c>
      <c r="F118" s="314"/>
    </row>
    <row r="119" spans="1:6" ht="30.75" customHeight="1" thickBot="1">
      <c r="A119" s="309">
        <v>39</v>
      </c>
      <c r="B119" s="383" t="s">
        <v>688</v>
      </c>
      <c r="C119" s="384" t="s">
        <v>650</v>
      </c>
      <c r="D119" s="313">
        <v>40000</v>
      </c>
      <c r="E119" s="314"/>
      <c r="F119" s="314"/>
    </row>
    <row r="120" spans="1:6" ht="30.75" customHeight="1" thickBot="1">
      <c r="A120" s="309">
        <v>40</v>
      </c>
      <c r="B120" s="383" t="s">
        <v>1401</v>
      </c>
      <c r="C120" s="384" t="s">
        <v>650</v>
      </c>
      <c r="D120" s="313">
        <v>20000</v>
      </c>
      <c r="E120" s="314"/>
      <c r="F120" s="314"/>
    </row>
    <row r="121" spans="1:6" ht="45.75" customHeight="1" thickBot="1">
      <c r="A121" s="309">
        <v>41</v>
      </c>
      <c r="B121" s="383" t="s">
        <v>46</v>
      </c>
      <c r="C121" s="384" t="s">
        <v>653</v>
      </c>
      <c r="D121" s="314"/>
      <c r="E121" s="313">
        <v>40000</v>
      </c>
      <c r="F121" s="314"/>
    </row>
    <row r="122" spans="1:6" ht="45.75" customHeight="1" thickBot="1">
      <c r="A122" s="309">
        <v>42</v>
      </c>
      <c r="B122" s="383" t="s">
        <v>50</v>
      </c>
      <c r="C122" s="384" t="s">
        <v>653</v>
      </c>
      <c r="D122" s="314"/>
      <c r="E122" s="313">
        <v>40000</v>
      </c>
      <c r="F122" s="314"/>
    </row>
    <row r="123" spans="1:6" ht="45.75" customHeight="1" thickBot="1">
      <c r="A123" s="309">
        <v>43</v>
      </c>
      <c r="B123" s="383" t="s">
        <v>48</v>
      </c>
      <c r="C123" s="384" t="s">
        <v>653</v>
      </c>
      <c r="D123" s="314"/>
      <c r="E123" s="313">
        <v>40000</v>
      </c>
      <c r="F123" s="314"/>
    </row>
    <row r="124" spans="1:6" ht="45.75" customHeight="1" thickBot="1">
      <c r="A124" s="309">
        <v>44</v>
      </c>
      <c r="B124" s="383" t="s">
        <v>138</v>
      </c>
      <c r="C124" s="384" t="s">
        <v>653</v>
      </c>
      <c r="D124" s="314"/>
      <c r="E124" s="313">
        <v>20000</v>
      </c>
      <c r="F124" s="314"/>
    </row>
    <row r="125" spans="1:6" ht="30.75" customHeight="1" thickBot="1">
      <c r="A125" s="309">
        <v>45</v>
      </c>
      <c r="B125" s="383" t="s">
        <v>655</v>
      </c>
      <c r="C125" s="384" t="s">
        <v>653</v>
      </c>
      <c r="D125" s="313">
        <v>80000</v>
      </c>
      <c r="E125" s="314"/>
      <c r="F125" s="314"/>
    </row>
    <row r="126" spans="1:6" ht="30.75" customHeight="1" thickBot="1">
      <c r="A126" s="309">
        <v>46</v>
      </c>
      <c r="B126" s="383" t="s">
        <v>151</v>
      </c>
      <c r="C126" s="384" t="s">
        <v>653</v>
      </c>
      <c r="D126" s="314"/>
      <c r="E126" s="313">
        <v>40000</v>
      </c>
      <c r="F126" s="314"/>
    </row>
    <row r="127" spans="1:6" ht="45.75" customHeight="1" thickBot="1">
      <c r="A127" s="309">
        <v>47</v>
      </c>
      <c r="B127" s="383" t="s">
        <v>672</v>
      </c>
      <c r="C127" s="384" t="s">
        <v>668</v>
      </c>
      <c r="D127" s="313">
        <v>200000</v>
      </c>
      <c r="E127" s="314"/>
      <c r="F127" s="314"/>
    </row>
    <row r="128" spans="1:6" ht="45.75" customHeight="1" thickBot="1">
      <c r="A128" s="309">
        <v>48</v>
      </c>
      <c r="B128" s="383" t="s">
        <v>670</v>
      </c>
      <c r="C128" s="384" t="s">
        <v>668</v>
      </c>
      <c r="D128" s="313">
        <v>80000</v>
      </c>
      <c r="E128" s="314"/>
      <c r="F128" s="314"/>
    </row>
    <row r="129" spans="1:6" ht="30.75" customHeight="1" thickBot="1">
      <c r="A129" s="309">
        <v>49</v>
      </c>
      <c r="B129" s="383" t="s">
        <v>693</v>
      </c>
      <c r="C129" s="384" t="s">
        <v>668</v>
      </c>
      <c r="D129" s="313">
        <v>40000</v>
      </c>
      <c r="E129" s="314"/>
      <c r="F129" s="314"/>
    </row>
    <row r="130" spans="1:6" ht="45.75" customHeight="1" thickBot="1">
      <c r="A130" s="309">
        <v>50</v>
      </c>
      <c r="B130" s="383" t="s">
        <v>295</v>
      </c>
      <c r="C130" s="384" t="s">
        <v>668</v>
      </c>
      <c r="D130" s="314"/>
      <c r="E130" s="313">
        <v>20000</v>
      </c>
      <c r="F130" s="314"/>
    </row>
    <row r="131" spans="1:6" ht="30.75" customHeight="1" thickBot="1">
      <c r="A131" s="309">
        <v>51</v>
      </c>
      <c r="B131" s="383" t="s">
        <v>29</v>
      </c>
      <c r="C131" s="384" t="s">
        <v>668</v>
      </c>
      <c r="D131" s="314"/>
      <c r="E131" s="313">
        <v>40000</v>
      </c>
      <c r="F131" s="314"/>
    </row>
    <row r="132" spans="1:6" ht="60.75" customHeight="1" thickBot="1">
      <c r="A132" s="309">
        <v>52</v>
      </c>
      <c r="B132" s="383" t="s">
        <v>435</v>
      </c>
      <c r="C132" s="384" t="s">
        <v>668</v>
      </c>
      <c r="D132" s="314"/>
      <c r="E132" s="313">
        <v>20000</v>
      </c>
      <c r="F132" s="314"/>
    </row>
    <row r="133" spans="1:6" ht="30.75" customHeight="1" thickBot="1">
      <c r="A133" s="309">
        <v>53</v>
      </c>
      <c r="B133" s="383" t="s">
        <v>1316</v>
      </c>
      <c r="C133" s="384" t="s">
        <v>668</v>
      </c>
      <c r="D133" s="314"/>
      <c r="E133" s="313">
        <v>20000</v>
      </c>
      <c r="F133" s="314"/>
    </row>
    <row r="134" spans="1:6" ht="45.75" customHeight="1" thickBot="1">
      <c r="A134" s="309">
        <v>54</v>
      </c>
      <c r="B134" s="383" t="s">
        <v>669</v>
      </c>
      <c r="C134" s="384" t="s">
        <v>668</v>
      </c>
      <c r="D134" s="313">
        <v>20000</v>
      </c>
      <c r="E134" s="314"/>
      <c r="F134" s="314"/>
    </row>
    <row r="135" spans="1:6" ht="45.75" customHeight="1" thickBot="1">
      <c r="A135" s="309">
        <v>55</v>
      </c>
      <c r="B135" s="383" t="s">
        <v>732</v>
      </c>
      <c r="C135" s="384" t="s">
        <v>668</v>
      </c>
      <c r="D135" s="313">
        <v>80000</v>
      </c>
      <c r="E135" s="314"/>
      <c r="F135" s="314"/>
    </row>
    <row r="136" spans="1:6" ht="60.75" customHeight="1" thickBot="1">
      <c r="A136" s="309">
        <v>56</v>
      </c>
      <c r="B136" s="383" t="s">
        <v>273</v>
      </c>
      <c r="C136" s="384" t="s">
        <v>668</v>
      </c>
      <c r="D136" s="314"/>
      <c r="E136" s="313">
        <v>20000</v>
      </c>
      <c r="F136" s="314"/>
    </row>
    <row r="137" spans="1:6" ht="30.75" customHeight="1" thickBot="1">
      <c r="A137" s="309">
        <v>57</v>
      </c>
      <c r="B137" s="383" t="s">
        <v>671</v>
      </c>
      <c r="C137" s="384" t="s">
        <v>668</v>
      </c>
      <c r="D137" s="313">
        <v>80000</v>
      </c>
      <c r="E137" s="314"/>
      <c r="F137" s="314"/>
    </row>
    <row r="138" spans="1:6" ht="45.75" customHeight="1" thickBot="1">
      <c r="A138" s="309">
        <v>58</v>
      </c>
      <c r="B138" s="383" t="s">
        <v>675</v>
      </c>
      <c r="C138" s="384" t="s">
        <v>674</v>
      </c>
      <c r="D138" s="313">
        <v>100000</v>
      </c>
      <c r="E138" s="314"/>
      <c r="F138" s="314"/>
    </row>
    <row r="139" spans="1:6" ht="45.75" customHeight="1" thickBot="1">
      <c r="A139" s="309">
        <v>59</v>
      </c>
      <c r="B139" s="383" t="s">
        <v>182</v>
      </c>
      <c r="C139" s="384" t="s">
        <v>674</v>
      </c>
      <c r="D139" s="314"/>
      <c r="E139" s="313">
        <v>200000</v>
      </c>
      <c r="F139" s="314"/>
    </row>
    <row r="140" spans="1:6" ht="30.75" customHeight="1" thickBot="1">
      <c r="A140" s="309">
        <v>60</v>
      </c>
      <c r="B140" s="383" t="s">
        <v>149</v>
      </c>
      <c r="C140" s="384" t="s">
        <v>674</v>
      </c>
      <c r="D140" s="314"/>
      <c r="E140" s="313">
        <v>40000</v>
      </c>
      <c r="F140" s="314"/>
    </row>
    <row r="141" spans="1:6" ht="45.75" customHeight="1" thickBot="1">
      <c r="A141" s="309">
        <v>61</v>
      </c>
      <c r="B141" s="383" t="s">
        <v>150</v>
      </c>
      <c r="C141" s="384" t="s">
        <v>674</v>
      </c>
      <c r="D141" s="314"/>
      <c r="E141" s="313">
        <v>200000</v>
      </c>
      <c r="F141" s="314"/>
    </row>
    <row r="142" spans="1:6" ht="15.75" thickBot="1">
      <c r="A142" s="309">
        <v>62</v>
      </c>
      <c r="B142" s="383" t="s">
        <v>741</v>
      </c>
      <c r="C142" s="384" t="s">
        <v>674</v>
      </c>
      <c r="D142" s="313">
        <v>100000</v>
      </c>
      <c r="E142" s="314"/>
      <c r="F142" s="314"/>
    </row>
    <row r="143" spans="1:6" ht="15.75" thickBot="1">
      <c r="A143" s="700" t="s">
        <v>758</v>
      </c>
      <c r="B143" s="701"/>
      <c r="C143" s="383"/>
      <c r="D143" s="1076">
        <v>3240000</v>
      </c>
      <c r="E143" s="1076">
        <v>2640000</v>
      </c>
      <c r="F143" s="696"/>
    </row>
    <row r="144" spans="1:6" ht="15.75" customHeight="1" thickBot="1">
      <c r="A144" s="700" t="s">
        <v>864</v>
      </c>
      <c r="B144" s="701"/>
      <c r="C144" s="383"/>
      <c r="D144" s="1135">
        <v>5880000</v>
      </c>
      <c r="E144" s="1136"/>
      <c r="F144" s="314"/>
    </row>
    <row r="145" spans="1:1" ht="15.75">
      <c r="A145" s="365" t="s">
        <v>1912</v>
      </c>
    </row>
    <row r="146" spans="1:1">
      <c r="A146" s="284"/>
    </row>
  </sheetData>
  <autoFilter ref="A7:F7"/>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4"/>
  <sheetViews>
    <sheetView topLeftCell="A58" workbookViewId="0">
      <selection activeCell="F24" sqref="F24"/>
    </sheetView>
  </sheetViews>
  <sheetFormatPr defaultRowHeight="15"/>
  <cols>
    <col min="1" max="1" width="28.42578125" customWidth="1"/>
    <col min="2" max="2" width="44.42578125" customWidth="1"/>
    <col min="4" max="4" width="12.85546875" customWidth="1"/>
    <col min="5" max="5" width="13.140625" customWidth="1"/>
    <col min="8" max="8" width="11.5703125" style="561" bestFit="1" customWidth="1"/>
  </cols>
  <sheetData>
    <row r="1" spans="1:8" ht="15.75">
      <c r="A1" s="205" t="s">
        <v>868</v>
      </c>
    </row>
    <row r="2" spans="1:8" ht="15.75">
      <c r="A2" s="205"/>
    </row>
    <row r="3" spans="1:8">
      <c r="A3" s="686" t="s">
        <v>1218</v>
      </c>
    </row>
    <row r="4" spans="1:8" ht="15.75">
      <c r="A4" s="232" t="s">
        <v>1913</v>
      </c>
    </row>
    <row r="5" spans="1:8" ht="15.75" thickBot="1">
      <c r="A5" s="264"/>
    </row>
    <row r="6" spans="1:8" ht="28.5" customHeight="1" thickBot="1">
      <c r="A6" s="939" t="s">
        <v>0</v>
      </c>
      <c r="B6" s="939" t="s">
        <v>121</v>
      </c>
      <c r="C6" s="939" t="s">
        <v>632</v>
      </c>
      <c r="D6" s="941" t="s">
        <v>894</v>
      </c>
      <c r="E6" s="942"/>
      <c r="F6" s="939" t="s">
        <v>699</v>
      </c>
    </row>
    <row r="7" spans="1:8" ht="15.75" thickBot="1">
      <c r="A7" s="943"/>
      <c r="B7" s="943"/>
      <c r="C7" s="943"/>
      <c r="D7" s="940" t="s">
        <v>828</v>
      </c>
      <c r="E7" s="940" t="s">
        <v>829</v>
      </c>
      <c r="F7" s="943"/>
    </row>
    <row r="8" spans="1:8" ht="17.25" thickBot="1">
      <c r="A8" s="980">
        <v>1</v>
      </c>
      <c r="B8" s="929" t="s">
        <v>682</v>
      </c>
      <c r="C8" s="407" t="s">
        <v>642</v>
      </c>
      <c r="D8" s="312">
        <v>120</v>
      </c>
      <c r="E8" s="312"/>
      <c r="F8" s="312"/>
      <c r="G8">
        <v>1000</v>
      </c>
      <c r="H8" s="561">
        <f>E8*G8</f>
        <v>0</v>
      </c>
    </row>
    <row r="9" spans="1:8" ht="66.75" customHeight="1" thickBot="1">
      <c r="A9" s="980">
        <v>2</v>
      </c>
      <c r="B9" s="929" t="s">
        <v>207</v>
      </c>
      <c r="C9" s="407" t="s">
        <v>642</v>
      </c>
      <c r="D9" s="312"/>
      <c r="E9" s="312">
        <v>20</v>
      </c>
      <c r="F9" s="312"/>
      <c r="G9">
        <v>1000</v>
      </c>
      <c r="H9" s="561">
        <f t="shared" ref="H9:H70" si="0">E9*G9</f>
        <v>20000</v>
      </c>
    </row>
    <row r="10" spans="1:8" ht="66.75" customHeight="1" thickBot="1">
      <c r="A10" s="980">
        <v>3</v>
      </c>
      <c r="B10" s="929" t="s">
        <v>1651</v>
      </c>
      <c r="C10" s="407" t="s">
        <v>642</v>
      </c>
      <c r="D10" s="312"/>
      <c r="E10" s="312">
        <v>30</v>
      </c>
      <c r="F10" s="312"/>
      <c r="G10">
        <v>1000</v>
      </c>
      <c r="H10" s="561">
        <f t="shared" si="0"/>
        <v>30000</v>
      </c>
    </row>
    <row r="11" spans="1:8" ht="50.25" customHeight="1" thickBot="1">
      <c r="A11" s="980">
        <v>4</v>
      </c>
      <c r="B11" s="929" t="s">
        <v>728</v>
      </c>
      <c r="C11" s="407" t="s">
        <v>642</v>
      </c>
      <c r="D11" s="312">
        <v>10</v>
      </c>
      <c r="E11" s="312"/>
      <c r="F11" s="312"/>
      <c r="G11">
        <v>1000</v>
      </c>
      <c r="H11" s="561">
        <f t="shared" si="0"/>
        <v>0</v>
      </c>
    </row>
    <row r="12" spans="1:8" ht="66.75" customHeight="1" thickBot="1">
      <c r="A12" s="980">
        <v>5</v>
      </c>
      <c r="B12" s="929" t="s">
        <v>681</v>
      </c>
      <c r="C12" s="407" t="s">
        <v>642</v>
      </c>
      <c r="D12" s="312"/>
      <c r="E12" s="312">
        <v>80</v>
      </c>
      <c r="F12" s="312"/>
      <c r="G12">
        <v>1000</v>
      </c>
      <c r="H12" s="561">
        <f t="shared" si="0"/>
        <v>80000</v>
      </c>
    </row>
    <row r="13" spans="1:8" ht="33.75" customHeight="1" thickBot="1">
      <c r="A13" s="980">
        <v>6</v>
      </c>
      <c r="B13" s="929" t="s">
        <v>153</v>
      </c>
      <c r="C13" s="407" t="s">
        <v>642</v>
      </c>
      <c r="D13" s="312"/>
      <c r="E13" s="312">
        <v>30</v>
      </c>
      <c r="F13" s="312"/>
      <c r="G13">
        <v>1000</v>
      </c>
      <c r="H13" s="561">
        <f t="shared" si="0"/>
        <v>30000</v>
      </c>
    </row>
    <row r="14" spans="1:8" ht="50.25" customHeight="1" thickBot="1">
      <c r="A14" s="980">
        <v>7</v>
      </c>
      <c r="B14" s="929" t="s">
        <v>744</v>
      </c>
      <c r="C14" s="407" t="s">
        <v>717</v>
      </c>
      <c r="D14" s="312">
        <v>10</v>
      </c>
      <c r="E14" s="312"/>
      <c r="F14" s="312"/>
      <c r="G14">
        <v>1000</v>
      </c>
      <c r="H14" s="561">
        <f t="shared" si="0"/>
        <v>0</v>
      </c>
    </row>
    <row r="15" spans="1:8" ht="50.25" customHeight="1" thickBot="1">
      <c r="A15" s="980">
        <v>8</v>
      </c>
      <c r="B15" s="929" t="s">
        <v>639</v>
      </c>
      <c r="C15" s="407" t="s">
        <v>717</v>
      </c>
      <c r="D15" s="312"/>
      <c r="E15" s="312">
        <v>150</v>
      </c>
      <c r="F15" s="312"/>
      <c r="G15">
        <v>1000</v>
      </c>
      <c r="H15" s="561">
        <f t="shared" si="0"/>
        <v>150000</v>
      </c>
    </row>
    <row r="16" spans="1:8" ht="50.25" customHeight="1" thickBot="1">
      <c r="A16" s="980">
        <v>9</v>
      </c>
      <c r="B16" s="929" t="s">
        <v>210</v>
      </c>
      <c r="C16" s="407" t="s">
        <v>717</v>
      </c>
      <c r="D16" s="312"/>
      <c r="E16" s="312">
        <v>200</v>
      </c>
      <c r="F16" s="312"/>
      <c r="G16">
        <v>1000</v>
      </c>
      <c r="H16" s="561">
        <f t="shared" si="0"/>
        <v>200000</v>
      </c>
    </row>
    <row r="17" spans="1:8" ht="66.75" customHeight="1" thickBot="1">
      <c r="A17" s="980">
        <v>10</v>
      </c>
      <c r="B17" s="929" t="s">
        <v>154</v>
      </c>
      <c r="C17" s="407" t="s">
        <v>717</v>
      </c>
      <c r="D17" s="312"/>
      <c r="E17" s="312">
        <v>30</v>
      </c>
      <c r="F17" s="312"/>
      <c r="G17">
        <v>1000</v>
      </c>
      <c r="H17" s="561">
        <f t="shared" si="0"/>
        <v>30000</v>
      </c>
    </row>
    <row r="18" spans="1:8" ht="50.25" customHeight="1" thickBot="1">
      <c r="A18" s="980">
        <v>11</v>
      </c>
      <c r="B18" s="929" t="s">
        <v>641</v>
      </c>
      <c r="C18" s="407" t="s">
        <v>717</v>
      </c>
      <c r="D18" s="312">
        <v>70</v>
      </c>
      <c r="E18" s="312"/>
      <c r="F18" s="312"/>
      <c r="G18">
        <v>1000</v>
      </c>
      <c r="H18" s="561">
        <f t="shared" si="0"/>
        <v>0</v>
      </c>
    </row>
    <row r="19" spans="1:8" ht="66.75" customHeight="1" thickBot="1">
      <c r="A19" s="980">
        <v>12</v>
      </c>
      <c r="B19" s="929" t="s">
        <v>96</v>
      </c>
      <c r="C19" s="407" t="s">
        <v>717</v>
      </c>
      <c r="D19" s="312"/>
      <c r="E19" s="312">
        <v>40</v>
      </c>
      <c r="F19" s="312"/>
      <c r="G19">
        <v>1000</v>
      </c>
      <c r="H19" s="561">
        <f t="shared" si="0"/>
        <v>40000</v>
      </c>
    </row>
    <row r="20" spans="1:8" ht="50.25" customHeight="1" thickBot="1">
      <c r="A20" s="980">
        <v>13</v>
      </c>
      <c r="B20" s="929" t="s">
        <v>640</v>
      </c>
      <c r="C20" s="407" t="s">
        <v>717</v>
      </c>
      <c r="D20" s="312">
        <v>120</v>
      </c>
      <c r="E20" s="385"/>
      <c r="F20" s="312"/>
      <c r="G20">
        <v>1000</v>
      </c>
      <c r="H20" s="561">
        <f t="shared" si="0"/>
        <v>0</v>
      </c>
    </row>
    <row r="21" spans="1:8" ht="50.25" customHeight="1" thickBot="1">
      <c r="A21" s="980">
        <v>14</v>
      </c>
      <c r="B21" s="929" t="s">
        <v>721</v>
      </c>
      <c r="C21" s="407" t="s">
        <v>649</v>
      </c>
      <c r="D21" s="312"/>
      <c r="E21" s="312">
        <v>80</v>
      </c>
      <c r="F21" s="312"/>
      <c r="G21">
        <v>1000</v>
      </c>
      <c r="H21" s="561">
        <f t="shared" si="0"/>
        <v>80000</v>
      </c>
    </row>
    <row r="22" spans="1:8" ht="50.25" customHeight="1" thickBot="1">
      <c r="A22" s="980">
        <v>15</v>
      </c>
      <c r="B22" s="929" t="s">
        <v>685</v>
      </c>
      <c r="C22" s="407" t="s">
        <v>649</v>
      </c>
      <c r="D22" s="312">
        <v>80</v>
      </c>
      <c r="E22" s="312"/>
      <c r="F22" s="312"/>
      <c r="G22">
        <v>1000</v>
      </c>
      <c r="H22" s="561">
        <f t="shared" si="0"/>
        <v>0</v>
      </c>
    </row>
    <row r="23" spans="1:8" ht="50.25" customHeight="1" thickBot="1">
      <c r="A23" s="980">
        <v>16</v>
      </c>
      <c r="B23" s="929" t="s">
        <v>687</v>
      </c>
      <c r="C23" s="407" t="s">
        <v>649</v>
      </c>
      <c r="D23" s="312">
        <v>60</v>
      </c>
      <c r="E23" s="312"/>
      <c r="F23" s="312"/>
      <c r="G23">
        <v>1000</v>
      </c>
      <c r="H23" s="561">
        <f t="shared" si="0"/>
        <v>0</v>
      </c>
    </row>
    <row r="24" spans="1:8" ht="50.25" customHeight="1" thickBot="1">
      <c r="A24" s="980">
        <v>17</v>
      </c>
      <c r="B24" s="929" t="s">
        <v>684</v>
      </c>
      <c r="C24" s="407" t="s">
        <v>649</v>
      </c>
      <c r="D24" s="312">
        <v>30</v>
      </c>
      <c r="E24" s="312"/>
      <c r="F24" s="312"/>
      <c r="G24">
        <v>1000</v>
      </c>
      <c r="H24" s="561">
        <f t="shared" si="0"/>
        <v>0</v>
      </c>
    </row>
    <row r="25" spans="1:8" ht="50.25" customHeight="1" thickBot="1">
      <c r="A25" s="980">
        <v>18</v>
      </c>
      <c r="B25" s="929" t="s">
        <v>638</v>
      </c>
      <c r="C25" s="407" t="s">
        <v>649</v>
      </c>
      <c r="D25" s="312">
        <v>120</v>
      </c>
      <c r="E25" s="312"/>
      <c r="F25" s="312"/>
      <c r="G25">
        <v>1000</v>
      </c>
      <c r="H25" s="561">
        <f t="shared" si="0"/>
        <v>0</v>
      </c>
    </row>
    <row r="26" spans="1:8" ht="66.75" customHeight="1" thickBot="1">
      <c r="A26" s="980">
        <v>19</v>
      </c>
      <c r="B26" s="929" t="s">
        <v>648</v>
      </c>
      <c r="C26" s="407" t="s">
        <v>649</v>
      </c>
      <c r="D26" s="312">
        <v>30</v>
      </c>
      <c r="E26" s="385"/>
      <c r="F26" s="312"/>
      <c r="G26">
        <v>1000</v>
      </c>
      <c r="H26" s="561">
        <f t="shared" si="0"/>
        <v>0</v>
      </c>
    </row>
    <row r="27" spans="1:8" ht="50.25" customHeight="1" thickBot="1">
      <c r="A27" s="980">
        <v>20</v>
      </c>
      <c r="B27" s="929" t="s">
        <v>686</v>
      </c>
      <c r="C27" s="407" t="s">
        <v>649</v>
      </c>
      <c r="D27" s="312">
        <v>60</v>
      </c>
      <c r="E27" s="385"/>
      <c r="F27" s="312"/>
      <c r="G27">
        <v>1000</v>
      </c>
      <c r="H27" s="561">
        <f t="shared" si="0"/>
        <v>0</v>
      </c>
    </row>
    <row r="28" spans="1:8" ht="33.75" customHeight="1" thickBot="1">
      <c r="A28" s="980">
        <v>21</v>
      </c>
      <c r="B28" s="929" t="s">
        <v>723</v>
      </c>
      <c r="C28" s="407" t="s">
        <v>646</v>
      </c>
      <c r="D28" s="312">
        <v>140</v>
      </c>
      <c r="E28" s="385"/>
      <c r="F28" s="312"/>
      <c r="G28">
        <v>1000</v>
      </c>
      <c r="H28" s="561">
        <f t="shared" si="0"/>
        <v>0</v>
      </c>
    </row>
    <row r="29" spans="1:8" ht="50.25" customHeight="1" thickBot="1">
      <c r="A29" s="980">
        <v>22</v>
      </c>
      <c r="B29" s="929" t="s">
        <v>722</v>
      </c>
      <c r="C29" s="407" t="s">
        <v>646</v>
      </c>
      <c r="D29" s="312">
        <v>20</v>
      </c>
      <c r="E29" s="385"/>
      <c r="F29" s="312"/>
      <c r="G29">
        <v>1000</v>
      </c>
      <c r="H29" s="561">
        <f t="shared" si="0"/>
        <v>0</v>
      </c>
    </row>
    <row r="30" spans="1:8" ht="66.75" customHeight="1" thickBot="1">
      <c r="A30" s="980">
        <v>23</v>
      </c>
      <c r="B30" s="929" t="s">
        <v>1434</v>
      </c>
      <c r="C30" s="407" t="s">
        <v>646</v>
      </c>
      <c r="D30" s="312"/>
      <c r="E30" s="312">
        <v>70</v>
      </c>
      <c r="F30" s="312"/>
      <c r="G30">
        <v>1000</v>
      </c>
      <c r="H30" s="561">
        <f t="shared" si="0"/>
        <v>70000</v>
      </c>
    </row>
    <row r="31" spans="1:8" ht="66.75" customHeight="1" thickBot="1">
      <c r="A31" s="980">
        <v>24</v>
      </c>
      <c r="B31" s="929" t="s">
        <v>289</v>
      </c>
      <c r="C31" s="407" t="s">
        <v>646</v>
      </c>
      <c r="D31" s="312"/>
      <c r="E31" s="312">
        <v>450</v>
      </c>
      <c r="F31" s="312"/>
      <c r="G31">
        <v>1000</v>
      </c>
      <c r="H31" s="561">
        <f t="shared" si="0"/>
        <v>450000</v>
      </c>
    </row>
    <row r="32" spans="1:8" ht="66.75" customHeight="1" thickBot="1">
      <c r="A32" s="980">
        <v>25</v>
      </c>
      <c r="B32" s="929" t="s">
        <v>83</v>
      </c>
      <c r="C32" s="407" t="s">
        <v>650</v>
      </c>
      <c r="D32" s="312"/>
      <c r="E32" s="312">
        <v>30</v>
      </c>
      <c r="F32" s="312"/>
      <c r="G32">
        <v>1000</v>
      </c>
      <c r="H32" s="561">
        <f t="shared" si="0"/>
        <v>30000</v>
      </c>
    </row>
    <row r="33" spans="1:8" ht="50.25" customHeight="1" thickBot="1">
      <c r="A33" s="980">
        <v>26</v>
      </c>
      <c r="B33" s="929" t="s">
        <v>1401</v>
      </c>
      <c r="C33" s="407" t="s">
        <v>650</v>
      </c>
      <c r="D33" s="312">
        <v>210</v>
      </c>
      <c r="E33" s="385"/>
      <c r="F33" s="312"/>
      <c r="G33">
        <v>1000</v>
      </c>
      <c r="H33" s="561">
        <f t="shared" si="0"/>
        <v>0</v>
      </c>
    </row>
    <row r="34" spans="1:8" ht="33.75" customHeight="1" thickBot="1">
      <c r="A34" s="1140">
        <v>27</v>
      </c>
      <c r="B34" s="929" t="s">
        <v>688</v>
      </c>
      <c r="C34" s="407" t="s">
        <v>650</v>
      </c>
      <c r="D34" s="312">
        <v>90</v>
      </c>
      <c r="E34" s="385"/>
      <c r="F34" s="312"/>
      <c r="G34">
        <v>1000</v>
      </c>
      <c r="H34" s="561">
        <f t="shared" si="0"/>
        <v>0</v>
      </c>
    </row>
    <row r="35" spans="1:8" ht="50.25" customHeight="1" thickBot="1">
      <c r="A35" s="1140">
        <v>28</v>
      </c>
      <c r="B35" s="929" t="s">
        <v>269</v>
      </c>
      <c r="C35" s="407" t="s">
        <v>650</v>
      </c>
      <c r="D35" s="312"/>
      <c r="E35" s="312">
        <v>30</v>
      </c>
      <c r="F35" s="312"/>
      <c r="G35">
        <v>1000</v>
      </c>
      <c r="H35" s="561">
        <f t="shared" si="0"/>
        <v>30000</v>
      </c>
    </row>
    <row r="36" spans="1:8" ht="33.75" customHeight="1" thickBot="1">
      <c r="A36" s="1140">
        <v>29</v>
      </c>
      <c r="B36" s="929" t="s">
        <v>651</v>
      </c>
      <c r="C36" s="407" t="s">
        <v>650</v>
      </c>
      <c r="D36" s="312">
        <v>50</v>
      </c>
      <c r="E36" s="312"/>
      <c r="F36" s="312"/>
      <c r="G36">
        <v>1000</v>
      </c>
      <c r="H36" s="561">
        <f t="shared" si="0"/>
        <v>0</v>
      </c>
    </row>
    <row r="37" spans="1:8" ht="50.25" customHeight="1" thickBot="1">
      <c r="A37" s="1140">
        <v>30</v>
      </c>
      <c r="B37" s="929" t="s">
        <v>727</v>
      </c>
      <c r="C37" s="407" t="s">
        <v>650</v>
      </c>
      <c r="D37" s="312">
        <v>30</v>
      </c>
      <c r="E37" s="312"/>
      <c r="F37" s="312"/>
      <c r="G37">
        <v>1000</v>
      </c>
      <c r="H37" s="561">
        <f t="shared" si="0"/>
        <v>0</v>
      </c>
    </row>
    <row r="38" spans="1:8" ht="50.25" customHeight="1" thickBot="1">
      <c r="A38" s="1140">
        <v>31</v>
      </c>
      <c r="B38" s="929" t="s">
        <v>659</v>
      </c>
      <c r="C38" s="407" t="s">
        <v>653</v>
      </c>
      <c r="D38" s="312">
        <v>30</v>
      </c>
      <c r="E38" s="312"/>
      <c r="F38" s="312"/>
      <c r="G38">
        <v>1000</v>
      </c>
      <c r="H38" s="561">
        <f t="shared" si="0"/>
        <v>0</v>
      </c>
    </row>
    <row r="39" spans="1:8" ht="50.25" customHeight="1" thickBot="1">
      <c r="A39" s="1140">
        <v>32</v>
      </c>
      <c r="B39" s="929" t="s">
        <v>146</v>
      </c>
      <c r="C39" s="407" t="s">
        <v>653</v>
      </c>
      <c r="D39" s="312"/>
      <c r="E39" s="312">
        <v>80</v>
      </c>
      <c r="F39" s="312"/>
      <c r="G39">
        <v>1000</v>
      </c>
      <c r="H39" s="561">
        <f t="shared" si="0"/>
        <v>80000</v>
      </c>
    </row>
    <row r="40" spans="1:8" ht="50.25" customHeight="1" thickBot="1">
      <c r="A40" s="1140">
        <v>33</v>
      </c>
      <c r="B40" s="929" t="s">
        <v>689</v>
      </c>
      <c r="C40" s="407" t="s">
        <v>653</v>
      </c>
      <c r="D40" s="312">
        <v>180</v>
      </c>
      <c r="E40" s="312"/>
      <c r="F40" s="312"/>
      <c r="G40">
        <v>1000</v>
      </c>
      <c r="H40" s="561">
        <f t="shared" si="0"/>
        <v>0</v>
      </c>
    </row>
    <row r="41" spans="1:8" ht="50.25" customHeight="1" thickBot="1">
      <c r="A41" s="1140">
        <v>34</v>
      </c>
      <c r="B41" s="929" t="s">
        <v>147</v>
      </c>
      <c r="C41" s="407" t="s">
        <v>653</v>
      </c>
      <c r="D41" s="312" t="s">
        <v>1164</v>
      </c>
      <c r="E41" s="312">
        <v>100</v>
      </c>
      <c r="F41" s="312"/>
      <c r="G41">
        <v>1000</v>
      </c>
      <c r="H41" s="561">
        <f t="shared" si="0"/>
        <v>100000</v>
      </c>
    </row>
    <row r="42" spans="1:8" ht="50.25" customHeight="1" thickBot="1">
      <c r="A42" s="1140">
        <v>35</v>
      </c>
      <c r="B42" s="929" t="s">
        <v>655</v>
      </c>
      <c r="C42" s="407" t="s">
        <v>653</v>
      </c>
      <c r="D42" s="312">
        <v>30</v>
      </c>
      <c r="E42" s="385"/>
      <c r="F42" s="312"/>
      <c r="G42">
        <v>1000</v>
      </c>
      <c r="H42" s="561">
        <f t="shared" si="0"/>
        <v>0</v>
      </c>
    </row>
    <row r="43" spans="1:8" ht="50.25" customHeight="1" thickBot="1">
      <c r="A43" s="1140">
        <v>36</v>
      </c>
      <c r="B43" s="929" t="s">
        <v>656</v>
      </c>
      <c r="C43" s="407" t="s">
        <v>653</v>
      </c>
      <c r="D43" s="312">
        <v>20</v>
      </c>
      <c r="E43" s="385"/>
      <c r="F43" s="312"/>
      <c r="G43">
        <v>1000</v>
      </c>
      <c r="H43" s="561">
        <f t="shared" si="0"/>
        <v>0</v>
      </c>
    </row>
    <row r="44" spans="1:8" ht="50.25" customHeight="1" thickBot="1">
      <c r="A44" s="1140">
        <v>37</v>
      </c>
      <c r="B44" s="929" t="s">
        <v>693</v>
      </c>
      <c r="C44" s="407" t="s">
        <v>668</v>
      </c>
      <c r="D44" s="312">
        <v>180</v>
      </c>
      <c r="E44" s="385"/>
      <c r="F44" s="312"/>
      <c r="G44">
        <v>1000</v>
      </c>
      <c r="H44" s="561">
        <f t="shared" si="0"/>
        <v>0</v>
      </c>
    </row>
    <row r="45" spans="1:8" ht="50.25" customHeight="1" thickBot="1">
      <c r="A45" s="1140">
        <v>38</v>
      </c>
      <c r="B45" s="929" t="s">
        <v>732</v>
      </c>
      <c r="C45" s="407" t="s">
        <v>668</v>
      </c>
      <c r="D45" s="312">
        <v>110</v>
      </c>
      <c r="E45" s="312"/>
      <c r="F45" s="312"/>
      <c r="G45">
        <v>1000</v>
      </c>
      <c r="H45" s="561">
        <f t="shared" si="0"/>
        <v>0</v>
      </c>
    </row>
    <row r="46" spans="1:8" ht="66.75" customHeight="1" thickBot="1">
      <c r="A46" s="1140">
        <v>39</v>
      </c>
      <c r="B46" s="929" t="s">
        <v>262</v>
      </c>
      <c r="C46" s="407" t="s">
        <v>668</v>
      </c>
      <c r="D46" s="312"/>
      <c r="E46" s="312">
        <v>30</v>
      </c>
      <c r="F46" s="312"/>
      <c r="G46">
        <v>1000</v>
      </c>
      <c r="H46" s="561">
        <f t="shared" si="0"/>
        <v>30000</v>
      </c>
    </row>
    <row r="47" spans="1:8" ht="66.75" customHeight="1" thickBot="1">
      <c r="A47" s="1140">
        <v>40</v>
      </c>
      <c r="B47" s="929" t="s">
        <v>692</v>
      </c>
      <c r="C47" s="407" t="s">
        <v>668</v>
      </c>
      <c r="D47" s="312">
        <v>200</v>
      </c>
      <c r="E47" s="312"/>
      <c r="F47" s="312"/>
      <c r="G47">
        <v>1000</v>
      </c>
      <c r="H47" s="561">
        <f t="shared" si="0"/>
        <v>0</v>
      </c>
    </row>
    <row r="48" spans="1:8" ht="50.25" customHeight="1" thickBot="1">
      <c r="A48" s="1140">
        <v>41</v>
      </c>
      <c r="B48" s="929" t="s">
        <v>672</v>
      </c>
      <c r="C48" s="407" t="s">
        <v>668</v>
      </c>
      <c r="D48" s="312">
        <v>90</v>
      </c>
      <c r="E48" s="312"/>
      <c r="F48" s="312"/>
      <c r="G48">
        <v>1000</v>
      </c>
      <c r="H48" s="561">
        <f t="shared" si="0"/>
        <v>0</v>
      </c>
    </row>
    <row r="49" spans="1:8" ht="50.25" customHeight="1" thickBot="1">
      <c r="A49" s="1140">
        <v>42</v>
      </c>
      <c r="B49" s="929" t="s">
        <v>670</v>
      </c>
      <c r="C49" s="407" t="s">
        <v>668</v>
      </c>
      <c r="D49" s="312">
        <v>90</v>
      </c>
      <c r="E49" s="312"/>
      <c r="F49" s="312"/>
      <c r="G49">
        <v>1000</v>
      </c>
      <c r="H49" s="561">
        <f t="shared" si="0"/>
        <v>0</v>
      </c>
    </row>
    <row r="50" spans="1:8" ht="50.25" customHeight="1" thickBot="1">
      <c r="A50" s="1140">
        <v>43</v>
      </c>
      <c r="B50" s="929" t="s">
        <v>295</v>
      </c>
      <c r="C50" s="407" t="s">
        <v>668</v>
      </c>
      <c r="D50" s="312"/>
      <c r="E50" s="312">
        <v>30</v>
      </c>
      <c r="F50" s="312"/>
      <c r="G50">
        <v>1000</v>
      </c>
      <c r="H50" s="561">
        <f t="shared" si="0"/>
        <v>30000</v>
      </c>
    </row>
    <row r="51" spans="1:8" ht="50.25" customHeight="1" thickBot="1">
      <c r="A51" s="1140">
        <v>44</v>
      </c>
      <c r="B51" s="929" t="s">
        <v>671</v>
      </c>
      <c r="C51" s="407" t="s">
        <v>668</v>
      </c>
      <c r="D51" s="312">
        <v>20</v>
      </c>
      <c r="E51" s="312"/>
      <c r="F51" s="312"/>
      <c r="G51">
        <v>1000</v>
      </c>
      <c r="H51" s="561">
        <f t="shared" si="0"/>
        <v>0</v>
      </c>
    </row>
    <row r="52" spans="1:8" ht="33.75" customHeight="1" thickBot="1">
      <c r="A52" s="1140">
        <v>45</v>
      </c>
      <c r="B52" s="929" t="s">
        <v>149</v>
      </c>
      <c r="C52" s="407" t="s">
        <v>674</v>
      </c>
      <c r="D52" s="312"/>
      <c r="E52" s="312">
        <v>40</v>
      </c>
      <c r="F52" s="312"/>
      <c r="G52">
        <v>1000</v>
      </c>
      <c r="H52" s="561">
        <f t="shared" si="0"/>
        <v>40000</v>
      </c>
    </row>
    <row r="53" spans="1:8" ht="66.75" customHeight="1" thickBot="1">
      <c r="A53" s="1140">
        <v>46</v>
      </c>
      <c r="B53" s="929" t="s">
        <v>182</v>
      </c>
      <c r="C53" s="407" t="s">
        <v>674</v>
      </c>
      <c r="D53" s="312"/>
      <c r="E53" s="312">
        <v>30</v>
      </c>
      <c r="F53" s="312"/>
      <c r="G53">
        <v>1000</v>
      </c>
      <c r="H53" s="561">
        <f t="shared" si="0"/>
        <v>30000</v>
      </c>
    </row>
    <row r="54" spans="1:8" ht="17.25" thickBot="1">
      <c r="A54" s="1140">
        <v>47</v>
      </c>
      <c r="B54" s="929" t="s">
        <v>675</v>
      </c>
      <c r="C54" s="407" t="s">
        <v>674</v>
      </c>
      <c r="D54" s="312">
        <v>60</v>
      </c>
      <c r="E54" s="312"/>
      <c r="F54" s="312"/>
      <c r="G54">
        <v>1000</v>
      </c>
      <c r="H54" s="561">
        <f t="shared" si="0"/>
        <v>0</v>
      </c>
    </row>
    <row r="55" spans="1:8" ht="17.25" thickBot="1">
      <c r="A55" s="992" t="s">
        <v>758</v>
      </c>
      <c r="B55" s="993"/>
      <c r="C55" s="981"/>
      <c r="D55" s="983" t="s">
        <v>1914</v>
      </c>
      <c r="E55" s="983" t="s">
        <v>1915</v>
      </c>
      <c r="F55" s="983"/>
      <c r="G55">
        <v>1000</v>
      </c>
    </row>
    <row r="56" spans="1:8" ht="17.25" thickBot="1">
      <c r="A56" s="992" t="s">
        <v>864</v>
      </c>
      <c r="B56" s="993"/>
      <c r="C56" s="981"/>
      <c r="D56" s="992" t="s">
        <v>1916</v>
      </c>
      <c r="E56" s="993"/>
      <c r="F56" s="984"/>
      <c r="G56">
        <v>1000</v>
      </c>
      <c r="H56" s="561">
        <f t="shared" si="0"/>
        <v>0</v>
      </c>
    </row>
    <row r="57" spans="1:8" ht="16.5">
      <c r="A57" s="397" t="s">
        <v>1917</v>
      </c>
      <c r="G57">
        <v>1000</v>
      </c>
      <c r="H57" s="561">
        <f t="shared" si="0"/>
        <v>0</v>
      </c>
    </row>
    <row r="58" spans="1:8">
      <c r="A58" s="284"/>
      <c r="G58">
        <v>1000</v>
      </c>
      <c r="H58" s="561">
        <f t="shared" si="0"/>
        <v>0</v>
      </c>
    </row>
    <row r="59" spans="1:8" ht="16.5">
      <c r="A59" s="246"/>
      <c r="B59" s="248"/>
      <c r="G59">
        <v>1000</v>
      </c>
      <c r="H59" s="561">
        <f t="shared" si="0"/>
        <v>0</v>
      </c>
    </row>
    <row r="60" spans="1:8" ht="15.75">
      <c r="A60" s="205" t="s">
        <v>678</v>
      </c>
      <c r="G60">
        <v>1000</v>
      </c>
      <c r="H60" s="561">
        <f t="shared" si="0"/>
        <v>0</v>
      </c>
    </row>
    <row r="61" spans="1:8" ht="15.75">
      <c r="A61" s="205"/>
      <c r="G61">
        <v>1000</v>
      </c>
      <c r="H61" s="561">
        <f t="shared" si="0"/>
        <v>0</v>
      </c>
    </row>
    <row r="62" spans="1:8">
      <c r="A62" s="686" t="s">
        <v>1502</v>
      </c>
      <c r="G62">
        <v>1000</v>
      </c>
      <c r="H62" s="561">
        <f t="shared" si="0"/>
        <v>0</v>
      </c>
    </row>
    <row r="63" spans="1:8" ht="15.75">
      <c r="A63" s="232" t="s">
        <v>1913</v>
      </c>
      <c r="G63">
        <v>1000</v>
      </c>
      <c r="H63" s="561">
        <f t="shared" si="0"/>
        <v>0</v>
      </c>
    </row>
    <row r="64" spans="1:8" ht="16.5" thickBot="1">
      <c r="A64" s="232"/>
      <c r="G64">
        <v>1000</v>
      </c>
      <c r="H64" s="561">
        <f t="shared" si="0"/>
        <v>0</v>
      </c>
    </row>
    <row r="65" spans="1:8" ht="28.5" customHeight="1" thickBot="1">
      <c r="A65" s="939" t="s">
        <v>0</v>
      </c>
      <c r="B65" s="939" t="s">
        <v>121</v>
      </c>
      <c r="C65" s="939" t="s">
        <v>632</v>
      </c>
      <c r="D65" s="941" t="s">
        <v>894</v>
      </c>
      <c r="E65" s="942"/>
      <c r="F65" s="939" t="s">
        <v>699</v>
      </c>
    </row>
    <row r="66" spans="1:8" ht="15.75" thickBot="1">
      <c r="A66" s="943"/>
      <c r="B66" s="943"/>
      <c r="C66" s="943"/>
      <c r="D66" s="940" t="s">
        <v>828</v>
      </c>
      <c r="E66" s="940" t="s">
        <v>829</v>
      </c>
      <c r="F66" s="943"/>
    </row>
    <row r="67" spans="1:8" ht="33.75" thickBot="1">
      <c r="A67" s="980">
        <v>1</v>
      </c>
      <c r="B67" s="1141" t="s">
        <v>289</v>
      </c>
      <c r="C67" s="799" t="s">
        <v>646</v>
      </c>
      <c r="D67" s="312"/>
      <c r="E67" s="312">
        <v>300</v>
      </c>
      <c r="F67" s="799" t="s">
        <v>1503</v>
      </c>
      <c r="G67">
        <v>1000</v>
      </c>
      <c r="H67" s="561">
        <f t="shared" si="0"/>
        <v>300000</v>
      </c>
    </row>
    <row r="68" spans="1:8" ht="17.25" thickBot="1">
      <c r="A68" s="980">
        <v>2</v>
      </c>
      <c r="B68" s="1141" t="s">
        <v>682</v>
      </c>
      <c r="C68" s="799" t="s">
        <v>642</v>
      </c>
      <c r="D68" s="312">
        <v>200</v>
      </c>
      <c r="E68" s="312"/>
      <c r="F68" s="799" t="s">
        <v>1504</v>
      </c>
      <c r="G68">
        <v>1000</v>
      </c>
      <c r="H68" s="561">
        <f t="shared" si="0"/>
        <v>0</v>
      </c>
    </row>
    <row r="69" spans="1:8" ht="17.25" thickBot="1">
      <c r="A69" s="992" t="s">
        <v>758</v>
      </c>
      <c r="B69" s="993"/>
      <c r="C69" s="981"/>
      <c r="D69" s="983">
        <v>200</v>
      </c>
      <c r="E69" s="983">
        <v>300</v>
      </c>
      <c r="F69" s="983"/>
      <c r="G69">
        <v>1000</v>
      </c>
    </row>
    <row r="70" spans="1:8" ht="17.25" thickBot="1">
      <c r="A70" s="992" t="s">
        <v>864</v>
      </c>
      <c r="B70" s="993"/>
      <c r="C70" s="981"/>
      <c r="D70" s="992">
        <v>500</v>
      </c>
      <c r="E70" s="993"/>
      <c r="F70" s="984"/>
      <c r="G70">
        <v>1000</v>
      </c>
      <c r="H70" s="561">
        <f t="shared" si="0"/>
        <v>0</v>
      </c>
    </row>
    <row r="71" spans="1:8">
      <c r="A71" s="244" t="s">
        <v>1918</v>
      </c>
    </row>
    <row r="72" spans="1:8">
      <c r="A72" s="244"/>
    </row>
    <row r="73" spans="1:8" ht="15.75">
      <c r="A73" s="205" t="s">
        <v>696</v>
      </c>
    </row>
    <row r="74" spans="1:8" ht="15.75">
      <c r="A74" s="205"/>
    </row>
    <row r="75" spans="1:8" ht="15.75">
      <c r="A75" s="205" t="s">
        <v>1717</v>
      </c>
    </row>
    <row r="76" spans="1:8" ht="15.75">
      <c r="A76" s="232" t="s">
        <v>1919</v>
      </c>
    </row>
    <row r="77" spans="1:8" ht="15.75" thickBot="1">
      <c r="A77" s="987"/>
    </row>
    <row r="78" spans="1:8" ht="48" thickBot="1">
      <c r="A78" s="252" t="s">
        <v>0</v>
      </c>
      <c r="B78" s="253" t="s">
        <v>632</v>
      </c>
      <c r="C78" s="988" t="s">
        <v>894</v>
      </c>
      <c r="D78" s="989" t="s">
        <v>634</v>
      </c>
    </row>
    <row r="79" spans="1:8" ht="83.25" customHeight="1" thickBot="1">
      <c r="A79" s="240">
        <v>1</v>
      </c>
      <c r="B79" s="368" t="s">
        <v>1450</v>
      </c>
      <c r="C79" s="1069">
        <v>982.5</v>
      </c>
      <c r="D79" s="303"/>
    </row>
    <row r="80" spans="1:8" ht="66.75" customHeight="1" thickBot="1">
      <c r="A80" s="240">
        <v>2</v>
      </c>
      <c r="B80" s="368" t="s">
        <v>1920</v>
      </c>
      <c r="C80" s="1069">
        <v>835</v>
      </c>
      <c r="D80" s="303"/>
    </row>
    <row r="81" spans="1:4" ht="17.25" thickBot="1">
      <c r="A81" s="240">
        <v>3</v>
      </c>
      <c r="B81" s="368" t="s">
        <v>890</v>
      </c>
      <c r="C81" s="1069">
        <v>937.5</v>
      </c>
      <c r="D81" s="303"/>
    </row>
    <row r="82" spans="1:4" ht="33.75" thickBot="1">
      <c r="A82" s="405" t="s">
        <v>758</v>
      </c>
      <c r="B82" s="406"/>
      <c r="C82" s="276" t="s">
        <v>1921</v>
      </c>
      <c r="D82" s="1142"/>
    </row>
    <row r="83" spans="1:4">
      <c r="A83" s="244" t="s">
        <v>1922</v>
      </c>
    </row>
    <row r="84" spans="1:4">
      <c r="A84" s="284"/>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20"/>
  <sheetViews>
    <sheetView topLeftCell="A4" workbookViewId="0">
      <selection activeCell="F24" sqref="F24"/>
    </sheetView>
  </sheetViews>
  <sheetFormatPr defaultRowHeight="15"/>
  <cols>
    <col min="2" max="2" width="13.85546875" customWidth="1"/>
    <col min="5" max="5" width="16" customWidth="1"/>
  </cols>
  <sheetData>
    <row r="2" spans="1:8" ht="15.75">
      <c r="A2" s="205"/>
    </row>
    <row r="3" spans="1:8">
      <c r="A3" s="686" t="s">
        <v>1218</v>
      </c>
    </row>
    <row r="4" spans="1:8" ht="15.75">
      <c r="A4" s="232" t="s">
        <v>1923</v>
      </c>
    </row>
    <row r="5" spans="1:8" ht="15.75" thickBot="1">
      <c r="A5" s="264"/>
    </row>
    <row r="6" spans="1:8" ht="28.5" customHeight="1" thickBot="1">
      <c r="A6" s="939" t="s">
        <v>0</v>
      </c>
      <c r="B6" s="939" t="s">
        <v>121</v>
      </c>
      <c r="C6" s="939" t="s">
        <v>632</v>
      </c>
      <c r="D6" s="941" t="s">
        <v>894</v>
      </c>
      <c r="E6" s="942"/>
      <c r="F6" s="939" t="s">
        <v>699</v>
      </c>
    </row>
    <row r="7" spans="1:8" ht="15.75" thickBot="1">
      <c r="A7" s="943"/>
      <c r="B7" s="943"/>
      <c r="C7" s="943"/>
      <c r="D7" s="940" t="s">
        <v>828</v>
      </c>
      <c r="E7" s="940" t="s">
        <v>829</v>
      </c>
      <c r="F7" s="943"/>
    </row>
    <row r="8" spans="1:8" ht="33.75" thickBot="1">
      <c r="A8" s="980">
        <v>1</v>
      </c>
      <c r="B8" s="929" t="s">
        <v>682</v>
      </c>
      <c r="C8" s="407" t="s">
        <v>642</v>
      </c>
      <c r="D8" s="312">
        <v>50</v>
      </c>
      <c r="E8" s="312"/>
      <c r="F8" s="312"/>
      <c r="G8">
        <v>1000</v>
      </c>
      <c r="H8">
        <f>E8*G8</f>
        <v>0</v>
      </c>
    </row>
    <row r="9" spans="1:8" ht="50.25" customHeight="1" thickBot="1">
      <c r="A9" s="980">
        <v>2</v>
      </c>
      <c r="B9" s="929" t="s">
        <v>715</v>
      </c>
      <c r="C9" s="407" t="s">
        <v>642</v>
      </c>
      <c r="D9" s="312">
        <v>70</v>
      </c>
      <c r="E9" s="312"/>
      <c r="F9" s="312"/>
      <c r="G9">
        <v>1000</v>
      </c>
      <c r="H9">
        <f t="shared" ref="H9:H72" si="0">E9*G9</f>
        <v>0</v>
      </c>
    </row>
    <row r="10" spans="1:8" ht="66.75" customHeight="1" thickBot="1">
      <c r="A10" s="980">
        <v>3</v>
      </c>
      <c r="B10" s="929" t="s">
        <v>207</v>
      </c>
      <c r="C10" s="407" t="s">
        <v>642</v>
      </c>
      <c r="D10" s="312"/>
      <c r="E10" s="312">
        <v>50</v>
      </c>
      <c r="F10" s="312"/>
      <c r="G10">
        <v>1000</v>
      </c>
      <c r="H10">
        <f t="shared" si="0"/>
        <v>50000</v>
      </c>
    </row>
    <row r="11" spans="1:8" ht="50.25" customHeight="1" thickBot="1">
      <c r="A11" s="980">
        <v>4</v>
      </c>
      <c r="B11" s="929" t="s">
        <v>728</v>
      </c>
      <c r="C11" s="407" t="s">
        <v>642</v>
      </c>
      <c r="D11" s="312">
        <v>80</v>
      </c>
      <c r="E11" s="312"/>
      <c r="F11" s="312"/>
      <c r="G11">
        <v>1000</v>
      </c>
      <c r="H11">
        <f t="shared" si="0"/>
        <v>0</v>
      </c>
    </row>
    <row r="12" spans="1:8" ht="50.25" customHeight="1" thickBot="1">
      <c r="A12" s="980">
        <v>5</v>
      </c>
      <c r="B12" s="929" t="s">
        <v>744</v>
      </c>
      <c r="C12" s="407" t="s">
        <v>717</v>
      </c>
      <c r="D12" s="312">
        <v>30</v>
      </c>
      <c r="E12" s="312"/>
      <c r="F12" s="312"/>
      <c r="G12">
        <v>1000</v>
      </c>
      <c r="H12">
        <f t="shared" si="0"/>
        <v>0</v>
      </c>
    </row>
    <row r="13" spans="1:8" ht="50.25" customHeight="1" thickBot="1">
      <c r="A13" s="980">
        <v>6</v>
      </c>
      <c r="B13" s="929" t="s">
        <v>210</v>
      </c>
      <c r="C13" s="407" t="s">
        <v>717</v>
      </c>
      <c r="D13" s="312"/>
      <c r="E13" s="312">
        <v>150</v>
      </c>
      <c r="F13" s="312"/>
      <c r="G13">
        <v>1000</v>
      </c>
      <c r="H13">
        <f t="shared" si="0"/>
        <v>150000</v>
      </c>
    </row>
    <row r="14" spans="1:8" ht="50.25" customHeight="1" thickBot="1">
      <c r="A14" s="980">
        <v>7</v>
      </c>
      <c r="B14" s="929" t="s">
        <v>638</v>
      </c>
      <c r="C14" s="407" t="s">
        <v>717</v>
      </c>
      <c r="D14" s="312"/>
      <c r="E14" s="312">
        <v>120</v>
      </c>
      <c r="F14" s="312"/>
      <c r="G14">
        <v>1000</v>
      </c>
      <c r="H14">
        <f t="shared" si="0"/>
        <v>120000</v>
      </c>
    </row>
    <row r="15" spans="1:8" ht="50.25" customHeight="1" thickBot="1">
      <c r="A15" s="980">
        <v>8</v>
      </c>
      <c r="B15" s="929" t="s">
        <v>641</v>
      </c>
      <c r="C15" s="407" t="s">
        <v>717</v>
      </c>
      <c r="D15" s="312">
        <v>30</v>
      </c>
      <c r="E15" s="312"/>
      <c r="F15" s="312"/>
      <c r="G15">
        <v>1000</v>
      </c>
      <c r="H15">
        <f t="shared" si="0"/>
        <v>0</v>
      </c>
    </row>
    <row r="16" spans="1:8" ht="50.25" customHeight="1" thickBot="1">
      <c r="A16" s="980">
        <v>9</v>
      </c>
      <c r="B16" s="929" t="s">
        <v>640</v>
      </c>
      <c r="C16" s="407" t="s">
        <v>717</v>
      </c>
      <c r="D16" s="312">
        <v>30</v>
      </c>
      <c r="E16" s="312"/>
      <c r="F16" s="312"/>
      <c r="G16">
        <v>1000</v>
      </c>
      <c r="H16">
        <f t="shared" si="0"/>
        <v>0</v>
      </c>
    </row>
    <row r="17" spans="1:8" ht="50.25" customHeight="1" thickBot="1">
      <c r="A17" s="980">
        <v>10</v>
      </c>
      <c r="B17" s="929" t="s">
        <v>831</v>
      </c>
      <c r="C17" s="407" t="s">
        <v>649</v>
      </c>
      <c r="D17" s="312"/>
      <c r="E17" s="312">
        <v>30</v>
      </c>
      <c r="F17" s="312"/>
      <c r="G17">
        <v>1000</v>
      </c>
      <c r="H17">
        <f t="shared" si="0"/>
        <v>30000</v>
      </c>
    </row>
    <row r="18" spans="1:8" ht="50.25" customHeight="1" thickBot="1">
      <c r="A18" s="980">
        <v>11</v>
      </c>
      <c r="B18" s="929" t="s">
        <v>721</v>
      </c>
      <c r="C18" s="407" t="s">
        <v>649</v>
      </c>
      <c r="D18" s="312"/>
      <c r="E18" s="312">
        <v>120</v>
      </c>
      <c r="F18" s="312"/>
      <c r="G18">
        <v>1000</v>
      </c>
      <c r="H18">
        <f t="shared" si="0"/>
        <v>120000</v>
      </c>
    </row>
    <row r="19" spans="1:8" ht="50.25" customHeight="1" thickBot="1">
      <c r="A19" s="980">
        <v>12</v>
      </c>
      <c r="B19" s="929" t="s">
        <v>205</v>
      </c>
      <c r="C19" s="407" t="s">
        <v>649</v>
      </c>
      <c r="D19" s="312"/>
      <c r="E19" s="312">
        <v>120</v>
      </c>
      <c r="F19" s="312"/>
      <c r="G19">
        <v>1000</v>
      </c>
      <c r="H19">
        <f t="shared" si="0"/>
        <v>120000</v>
      </c>
    </row>
    <row r="20" spans="1:8" ht="50.25" customHeight="1" thickBot="1">
      <c r="A20" s="980">
        <v>13</v>
      </c>
      <c r="B20" s="929" t="s">
        <v>685</v>
      </c>
      <c r="C20" s="407" t="s">
        <v>649</v>
      </c>
      <c r="D20" s="312">
        <v>90</v>
      </c>
      <c r="E20" s="385"/>
      <c r="F20" s="312"/>
      <c r="G20">
        <v>1000</v>
      </c>
      <c r="H20">
        <f t="shared" si="0"/>
        <v>0</v>
      </c>
    </row>
    <row r="21" spans="1:8" ht="50.25" customHeight="1" thickBot="1">
      <c r="A21" s="980">
        <v>14</v>
      </c>
      <c r="B21" s="929" t="s">
        <v>687</v>
      </c>
      <c r="C21" s="407" t="s">
        <v>649</v>
      </c>
      <c r="D21" s="312">
        <v>120</v>
      </c>
      <c r="E21" s="385"/>
      <c r="F21" s="312"/>
      <c r="G21">
        <v>1000</v>
      </c>
      <c r="H21">
        <f t="shared" si="0"/>
        <v>0</v>
      </c>
    </row>
    <row r="22" spans="1:8" ht="50.25" customHeight="1" thickBot="1">
      <c r="A22" s="980">
        <v>15</v>
      </c>
      <c r="B22" s="929" t="s">
        <v>684</v>
      </c>
      <c r="C22" s="407" t="s">
        <v>649</v>
      </c>
      <c r="D22" s="312">
        <v>60</v>
      </c>
      <c r="E22" s="312"/>
      <c r="F22" s="312"/>
      <c r="G22">
        <v>1000</v>
      </c>
      <c r="H22">
        <f t="shared" si="0"/>
        <v>0</v>
      </c>
    </row>
    <row r="23" spans="1:8" ht="66.75" customHeight="1" thickBot="1">
      <c r="A23" s="980">
        <v>16</v>
      </c>
      <c r="B23" s="929" t="s">
        <v>27</v>
      </c>
      <c r="C23" s="407" t="s">
        <v>649</v>
      </c>
      <c r="D23" s="312"/>
      <c r="E23" s="312">
        <v>30</v>
      </c>
      <c r="F23" s="312"/>
      <c r="G23">
        <v>1000</v>
      </c>
      <c r="H23">
        <f t="shared" si="0"/>
        <v>30000</v>
      </c>
    </row>
    <row r="24" spans="1:8" ht="50.25" customHeight="1" thickBot="1">
      <c r="A24" s="980">
        <v>17</v>
      </c>
      <c r="B24" s="929" t="s">
        <v>686</v>
      </c>
      <c r="C24" s="407" t="s">
        <v>649</v>
      </c>
      <c r="D24" s="312">
        <v>30</v>
      </c>
      <c r="E24" s="312"/>
      <c r="F24" s="312"/>
      <c r="G24">
        <v>1000</v>
      </c>
      <c r="H24">
        <f t="shared" si="0"/>
        <v>0</v>
      </c>
    </row>
    <row r="25" spans="1:8" ht="50.25" customHeight="1" thickBot="1">
      <c r="A25" s="980">
        <v>18</v>
      </c>
      <c r="B25" s="929" t="s">
        <v>683</v>
      </c>
      <c r="C25" s="407" t="s">
        <v>646</v>
      </c>
      <c r="D25" s="312">
        <v>90</v>
      </c>
      <c r="E25" s="312"/>
      <c r="F25" s="312"/>
      <c r="G25">
        <v>1000</v>
      </c>
      <c r="H25">
        <f t="shared" si="0"/>
        <v>0</v>
      </c>
    </row>
    <row r="26" spans="1:8" ht="33.75" customHeight="1" thickBot="1">
      <c r="A26" s="980">
        <v>19</v>
      </c>
      <c r="B26" s="929" t="s">
        <v>723</v>
      </c>
      <c r="C26" s="407" t="s">
        <v>646</v>
      </c>
      <c r="D26" s="312">
        <v>90</v>
      </c>
      <c r="E26" s="385"/>
      <c r="F26" s="312"/>
      <c r="G26">
        <v>1000</v>
      </c>
      <c r="H26">
        <f t="shared" si="0"/>
        <v>0</v>
      </c>
    </row>
    <row r="27" spans="1:8" ht="50.25" customHeight="1" thickBot="1">
      <c r="A27" s="980">
        <v>20</v>
      </c>
      <c r="B27" s="929" t="s">
        <v>148</v>
      </c>
      <c r="C27" s="407" t="s">
        <v>646</v>
      </c>
      <c r="D27" s="312" t="s">
        <v>1924</v>
      </c>
      <c r="E27" s="312">
        <v>150</v>
      </c>
      <c r="F27" s="312"/>
      <c r="G27">
        <v>1000</v>
      </c>
      <c r="H27">
        <f t="shared" si="0"/>
        <v>150000</v>
      </c>
    </row>
    <row r="28" spans="1:8" ht="50.25" customHeight="1" thickBot="1">
      <c r="A28" s="980">
        <v>21</v>
      </c>
      <c r="B28" s="929" t="s">
        <v>722</v>
      </c>
      <c r="C28" s="407" t="s">
        <v>646</v>
      </c>
      <c r="D28" s="312">
        <v>30</v>
      </c>
      <c r="E28" s="385"/>
      <c r="F28" s="312"/>
      <c r="G28">
        <v>1000</v>
      </c>
      <c r="H28">
        <f t="shared" si="0"/>
        <v>0</v>
      </c>
    </row>
    <row r="29" spans="1:8" ht="66.75" customHeight="1" thickBot="1">
      <c r="A29" s="980">
        <v>22</v>
      </c>
      <c r="B29" s="929" t="s">
        <v>1434</v>
      </c>
      <c r="C29" s="407" t="s">
        <v>646</v>
      </c>
      <c r="D29" s="312"/>
      <c r="E29" s="312">
        <v>100</v>
      </c>
      <c r="F29" s="312"/>
      <c r="G29">
        <v>1000</v>
      </c>
      <c r="H29">
        <f t="shared" si="0"/>
        <v>100000</v>
      </c>
    </row>
    <row r="30" spans="1:8" ht="50.25" customHeight="1" thickBot="1">
      <c r="A30" s="980">
        <v>23</v>
      </c>
      <c r="B30" s="929" t="s">
        <v>647</v>
      </c>
      <c r="C30" s="407" t="s">
        <v>646</v>
      </c>
      <c r="D30" s="312">
        <v>60</v>
      </c>
      <c r="E30" s="312"/>
      <c r="F30" s="312"/>
      <c r="G30">
        <v>1000</v>
      </c>
      <c r="H30">
        <f t="shared" si="0"/>
        <v>0</v>
      </c>
    </row>
    <row r="31" spans="1:8" ht="66.75" customHeight="1" thickBot="1">
      <c r="A31" s="980">
        <v>24</v>
      </c>
      <c r="B31" s="929" t="s">
        <v>289</v>
      </c>
      <c r="C31" s="407" t="s">
        <v>646</v>
      </c>
      <c r="D31" s="312"/>
      <c r="E31" s="312">
        <v>240</v>
      </c>
      <c r="F31" s="312"/>
      <c r="G31">
        <v>1000</v>
      </c>
      <c r="H31">
        <f t="shared" si="0"/>
        <v>240000</v>
      </c>
    </row>
    <row r="32" spans="1:8" ht="50.25" customHeight="1" thickBot="1">
      <c r="A32" s="980">
        <v>25</v>
      </c>
      <c r="B32" s="929" t="s">
        <v>1401</v>
      </c>
      <c r="C32" s="407" t="s">
        <v>650</v>
      </c>
      <c r="D32" s="312">
        <v>110</v>
      </c>
      <c r="E32" s="312"/>
      <c r="F32" s="312"/>
      <c r="G32">
        <v>1000</v>
      </c>
      <c r="H32">
        <f t="shared" si="0"/>
        <v>0</v>
      </c>
    </row>
    <row r="33" spans="1:8" ht="33.75" customHeight="1" thickBot="1">
      <c r="A33" s="980">
        <v>26</v>
      </c>
      <c r="B33" s="929" t="s">
        <v>688</v>
      </c>
      <c r="C33" s="407" t="s">
        <v>650</v>
      </c>
      <c r="D33" s="312">
        <v>320</v>
      </c>
      <c r="E33" s="385"/>
      <c r="F33" s="312"/>
      <c r="G33">
        <v>1000</v>
      </c>
      <c r="H33">
        <f t="shared" si="0"/>
        <v>0</v>
      </c>
    </row>
    <row r="34" spans="1:8" ht="50.25" customHeight="1" thickBot="1">
      <c r="A34" s="1140">
        <v>27</v>
      </c>
      <c r="B34" s="929" t="s">
        <v>91</v>
      </c>
      <c r="C34" s="407" t="s">
        <v>650</v>
      </c>
      <c r="D34" s="312"/>
      <c r="E34" s="312">
        <v>50</v>
      </c>
      <c r="F34" s="312"/>
      <c r="G34">
        <v>1000</v>
      </c>
      <c r="H34">
        <f t="shared" si="0"/>
        <v>50000</v>
      </c>
    </row>
    <row r="35" spans="1:8" ht="50.25" customHeight="1" thickBot="1">
      <c r="A35" s="1140">
        <v>28</v>
      </c>
      <c r="B35" s="929" t="s">
        <v>269</v>
      </c>
      <c r="C35" s="407" t="s">
        <v>650</v>
      </c>
      <c r="D35" s="312"/>
      <c r="E35" s="312">
        <v>30</v>
      </c>
      <c r="F35" s="312"/>
      <c r="G35">
        <v>1000</v>
      </c>
      <c r="H35">
        <f t="shared" si="0"/>
        <v>30000</v>
      </c>
    </row>
    <row r="36" spans="1:8" ht="33.75" thickBot="1">
      <c r="A36" s="1140">
        <v>29</v>
      </c>
      <c r="B36" s="929" t="s">
        <v>651</v>
      </c>
      <c r="C36" s="407" t="s">
        <v>650</v>
      </c>
      <c r="D36" s="312">
        <v>30</v>
      </c>
      <c r="E36" s="312"/>
      <c r="F36" s="312"/>
      <c r="G36">
        <v>1000</v>
      </c>
      <c r="H36">
        <f t="shared" si="0"/>
        <v>0</v>
      </c>
    </row>
    <row r="37" spans="1:8" ht="50.25" customHeight="1" thickBot="1">
      <c r="A37" s="1140">
        <v>30</v>
      </c>
      <c r="B37" s="929" t="s">
        <v>876</v>
      </c>
      <c r="C37" s="407" t="s">
        <v>653</v>
      </c>
      <c r="D37" s="312"/>
      <c r="E37" s="312">
        <v>30</v>
      </c>
      <c r="F37" s="312"/>
      <c r="G37">
        <v>1000</v>
      </c>
      <c r="H37">
        <f t="shared" si="0"/>
        <v>30000</v>
      </c>
    </row>
    <row r="38" spans="1:8" ht="50.25" customHeight="1" thickBot="1">
      <c r="A38" s="1140">
        <v>31</v>
      </c>
      <c r="B38" s="929" t="s">
        <v>659</v>
      </c>
      <c r="C38" s="407" t="s">
        <v>653</v>
      </c>
      <c r="D38" s="312">
        <v>60</v>
      </c>
      <c r="E38" s="312"/>
      <c r="F38" s="312"/>
      <c r="G38">
        <v>1000</v>
      </c>
      <c r="H38">
        <f t="shared" si="0"/>
        <v>0</v>
      </c>
    </row>
    <row r="39" spans="1:8" ht="50.25" customHeight="1" thickBot="1">
      <c r="A39" s="1140">
        <v>32</v>
      </c>
      <c r="B39" s="929" t="s">
        <v>52</v>
      </c>
      <c r="C39" s="407" t="s">
        <v>653</v>
      </c>
      <c r="D39" s="312"/>
      <c r="E39" s="312">
        <v>30</v>
      </c>
      <c r="F39" s="312"/>
      <c r="G39">
        <v>1000</v>
      </c>
      <c r="H39">
        <f t="shared" si="0"/>
        <v>30000</v>
      </c>
    </row>
    <row r="40" spans="1:8" ht="50.25" customHeight="1" thickBot="1">
      <c r="A40" s="1140">
        <v>33</v>
      </c>
      <c r="B40" s="929" t="s">
        <v>146</v>
      </c>
      <c r="C40" s="407" t="s">
        <v>653</v>
      </c>
      <c r="D40" s="312"/>
      <c r="E40" s="312">
        <v>30</v>
      </c>
      <c r="F40" s="312"/>
      <c r="G40">
        <v>1000</v>
      </c>
      <c r="H40">
        <f t="shared" si="0"/>
        <v>30000</v>
      </c>
    </row>
    <row r="41" spans="1:8" ht="50.25" customHeight="1" thickBot="1">
      <c r="A41" s="1140">
        <v>34</v>
      </c>
      <c r="B41" s="929" t="s">
        <v>60</v>
      </c>
      <c r="C41" s="407" t="s">
        <v>653</v>
      </c>
      <c r="D41" s="312"/>
      <c r="E41" s="312">
        <v>30</v>
      </c>
      <c r="F41" s="312"/>
      <c r="G41">
        <v>1000</v>
      </c>
      <c r="H41">
        <f t="shared" si="0"/>
        <v>30000</v>
      </c>
    </row>
    <row r="42" spans="1:8" ht="66.75" customHeight="1" thickBot="1">
      <c r="A42" s="1140">
        <v>35</v>
      </c>
      <c r="B42" s="929" t="s">
        <v>690</v>
      </c>
      <c r="C42" s="407" t="s">
        <v>653</v>
      </c>
      <c r="D42" s="312"/>
      <c r="E42" s="312">
        <v>30</v>
      </c>
      <c r="F42" s="312"/>
      <c r="G42">
        <v>1000</v>
      </c>
      <c r="H42">
        <f t="shared" si="0"/>
        <v>30000</v>
      </c>
    </row>
    <row r="43" spans="1:8" ht="50.25" customHeight="1" thickBot="1">
      <c r="A43" s="1140">
        <v>36</v>
      </c>
      <c r="B43" s="929" t="s">
        <v>147</v>
      </c>
      <c r="C43" s="407" t="s">
        <v>653</v>
      </c>
      <c r="D43" s="312"/>
      <c r="E43" s="312">
        <v>270</v>
      </c>
      <c r="F43" s="312"/>
      <c r="G43">
        <v>1000</v>
      </c>
      <c r="H43">
        <f t="shared" si="0"/>
        <v>270000</v>
      </c>
    </row>
    <row r="44" spans="1:8" ht="50.25" customHeight="1" thickBot="1">
      <c r="A44" s="1140">
        <v>37</v>
      </c>
      <c r="B44" s="929" t="s">
        <v>743</v>
      </c>
      <c r="C44" s="407" t="s">
        <v>653</v>
      </c>
      <c r="D44" s="312">
        <v>30</v>
      </c>
      <c r="E44" s="385"/>
      <c r="F44" s="312"/>
      <c r="G44">
        <v>1000</v>
      </c>
      <c r="H44">
        <f t="shared" si="0"/>
        <v>0</v>
      </c>
    </row>
    <row r="45" spans="1:8" ht="50.25" customHeight="1" thickBot="1">
      <c r="A45" s="1140">
        <v>38</v>
      </c>
      <c r="B45" s="929" t="s">
        <v>658</v>
      </c>
      <c r="C45" s="407" t="s">
        <v>653</v>
      </c>
      <c r="D45" s="312">
        <v>30</v>
      </c>
      <c r="E45" s="312"/>
      <c r="F45" s="312"/>
      <c r="G45">
        <v>1000</v>
      </c>
      <c r="H45">
        <f t="shared" si="0"/>
        <v>0</v>
      </c>
    </row>
    <row r="46" spans="1:8" ht="50.25" customHeight="1" thickBot="1">
      <c r="A46" s="1140">
        <v>39</v>
      </c>
      <c r="B46" s="929" t="s">
        <v>757</v>
      </c>
      <c r="C46" s="407" t="s">
        <v>668</v>
      </c>
      <c r="D46" s="312">
        <v>30</v>
      </c>
      <c r="E46" s="312"/>
      <c r="F46" s="312"/>
      <c r="G46">
        <v>1000</v>
      </c>
      <c r="H46">
        <f t="shared" si="0"/>
        <v>0</v>
      </c>
    </row>
    <row r="47" spans="1:8" ht="50.25" customHeight="1" thickBot="1">
      <c r="A47" s="1140">
        <v>40</v>
      </c>
      <c r="B47" s="929" t="s">
        <v>693</v>
      </c>
      <c r="C47" s="407" t="s">
        <v>668</v>
      </c>
      <c r="D47" s="312">
        <v>90</v>
      </c>
      <c r="E47" s="312"/>
      <c r="F47" s="312"/>
      <c r="G47">
        <v>1000</v>
      </c>
      <c r="H47">
        <f t="shared" si="0"/>
        <v>0</v>
      </c>
    </row>
    <row r="48" spans="1:8" ht="66.75" customHeight="1" thickBot="1">
      <c r="A48" s="1140">
        <v>41</v>
      </c>
      <c r="B48" s="929" t="s">
        <v>692</v>
      </c>
      <c r="C48" s="407" t="s">
        <v>668</v>
      </c>
      <c r="D48" s="312">
        <v>60</v>
      </c>
      <c r="E48" s="312"/>
      <c r="F48" s="312"/>
      <c r="G48">
        <v>1000</v>
      </c>
      <c r="H48">
        <f t="shared" si="0"/>
        <v>0</v>
      </c>
    </row>
    <row r="49" spans="1:8" ht="50.25" customHeight="1" thickBot="1">
      <c r="A49" s="1140">
        <v>42</v>
      </c>
      <c r="B49" s="929" t="s">
        <v>672</v>
      </c>
      <c r="C49" s="407" t="s">
        <v>668</v>
      </c>
      <c r="D49" s="312">
        <v>60</v>
      </c>
      <c r="E49" s="312"/>
      <c r="F49" s="312"/>
      <c r="G49">
        <v>1000</v>
      </c>
      <c r="H49">
        <f t="shared" si="0"/>
        <v>0</v>
      </c>
    </row>
    <row r="50" spans="1:8" ht="50.25" customHeight="1" thickBot="1">
      <c r="A50" s="1140">
        <v>43</v>
      </c>
      <c r="B50" s="929" t="s">
        <v>671</v>
      </c>
      <c r="C50" s="407" t="s">
        <v>668</v>
      </c>
      <c r="D50" s="312">
        <v>90</v>
      </c>
      <c r="E50" s="312"/>
      <c r="F50" s="312"/>
      <c r="G50">
        <v>1000</v>
      </c>
      <c r="H50">
        <f t="shared" si="0"/>
        <v>0</v>
      </c>
    </row>
    <row r="51" spans="1:8" ht="66.75" customHeight="1" thickBot="1">
      <c r="A51" s="1140">
        <v>44</v>
      </c>
      <c r="B51" s="929" t="s">
        <v>150</v>
      </c>
      <c r="C51" s="407" t="s">
        <v>674</v>
      </c>
      <c r="D51" s="312"/>
      <c r="E51" s="312">
        <v>30</v>
      </c>
      <c r="F51" s="312"/>
      <c r="G51">
        <v>1000</v>
      </c>
      <c r="H51">
        <f t="shared" si="0"/>
        <v>30000</v>
      </c>
    </row>
    <row r="52" spans="1:8" ht="50.25" customHeight="1" thickBot="1">
      <c r="A52" s="1140">
        <v>45</v>
      </c>
      <c r="B52" s="929" t="s">
        <v>741</v>
      </c>
      <c r="C52" s="407" t="s">
        <v>674</v>
      </c>
      <c r="D52" s="312">
        <v>10</v>
      </c>
      <c r="E52" s="312"/>
      <c r="F52" s="312"/>
      <c r="G52">
        <v>1000</v>
      </c>
      <c r="H52">
        <f t="shared" si="0"/>
        <v>0</v>
      </c>
    </row>
    <row r="53" spans="1:8" ht="33.75" customHeight="1" thickBot="1">
      <c r="A53" s="1140">
        <v>46</v>
      </c>
      <c r="B53" s="929" t="s">
        <v>149</v>
      </c>
      <c r="C53" s="407" t="s">
        <v>674</v>
      </c>
      <c r="D53" s="312"/>
      <c r="E53" s="312">
        <v>550</v>
      </c>
      <c r="F53" s="312"/>
      <c r="G53">
        <v>1000</v>
      </c>
      <c r="H53">
        <f t="shared" si="0"/>
        <v>550000</v>
      </c>
    </row>
    <row r="54" spans="1:8" ht="33.75" thickBot="1">
      <c r="A54" s="1140">
        <v>47</v>
      </c>
      <c r="B54" s="929" t="s">
        <v>675</v>
      </c>
      <c r="C54" s="407" t="s">
        <v>674</v>
      </c>
      <c r="D54" s="312">
        <v>120</v>
      </c>
      <c r="E54" s="312"/>
      <c r="F54" s="312"/>
      <c r="G54">
        <v>1000</v>
      </c>
      <c r="H54">
        <f t="shared" si="0"/>
        <v>0</v>
      </c>
    </row>
    <row r="55" spans="1:8" ht="33.75" thickBot="1">
      <c r="A55" s="992" t="s">
        <v>758</v>
      </c>
      <c r="B55" s="993"/>
      <c r="C55" s="981"/>
      <c r="D55" s="983" t="s">
        <v>1925</v>
      </c>
      <c r="E55" s="983" t="s">
        <v>1926</v>
      </c>
      <c r="F55" s="983"/>
      <c r="G55">
        <v>1000</v>
      </c>
    </row>
    <row r="56" spans="1:8" ht="17.25" customHeight="1" thickBot="1">
      <c r="A56" s="992" t="s">
        <v>864</v>
      </c>
      <c r="B56" s="993"/>
      <c r="C56" s="981"/>
      <c r="D56" s="992" t="s">
        <v>1927</v>
      </c>
      <c r="E56" s="993"/>
      <c r="F56" s="984"/>
      <c r="G56">
        <v>1000</v>
      </c>
      <c r="H56">
        <f t="shared" si="0"/>
        <v>0</v>
      </c>
    </row>
    <row r="57" spans="1:8" ht="16.5">
      <c r="A57" s="397" t="s">
        <v>1928</v>
      </c>
      <c r="G57">
        <v>1000</v>
      </c>
      <c r="H57">
        <f t="shared" si="0"/>
        <v>0</v>
      </c>
    </row>
    <row r="58" spans="1:8">
      <c r="A58" s="284"/>
      <c r="G58">
        <v>1000</v>
      </c>
      <c r="H58">
        <f t="shared" si="0"/>
        <v>0</v>
      </c>
    </row>
    <row r="59" spans="1:8">
      <c r="A59" s="284"/>
      <c r="G59">
        <v>1000</v>
      </c>
      <c r="H59">
        <f t="shared" si="0"/>
        <v>0</v>
      </c>
    </row>
    <row r="60" spans="1:8">
      <c r="A60" s="284"/>
      <c r="G60">
        <v>1000</v>
      </c>
      <c r="H60">
        <f t="shared" si="0"/>
        <v>0</v>
      </c>
    </row>
    <row r="61" spans="1:8">
      <c r="A61" s="284"/>
      <c r="G61">
        <v>1000</v>
      </c>
      <c r="H61">
        <f t="shared" si="0"/>
        <v>0</v>
      </c>
    </row>
    <row r="62" spans="1:8" ht="16.5">
      <c r="A62" s="246"/>
      <c r="B62" s="248"/>
      <c r="G62">
        <v>1000</v>
      </c>
      <c r="H62">
        <f t="shared" si="0"/>
        <v>0</v>
      </c>
    </row>
    <row r="63" spans="1:8" ht="15.75">
      <c r="A63" s="205" t="s">
        <v>678</v>
      </c>
      <c r="G63">
        <v>1000</v>
      </c>
      <c r="H63">
        <f t="shared" si="0"/>
        <v>0</v>
      </c>
    </row>
    <row r="64" spans="1:8" ht="15.75">
      <c r="A64" s="205"/>
      <c r="G64">
        <v>1000</v>
      </c>
      <c r="H64">
        <f t="shared" si="0"/>
        <v>0</v>
      </c>
    </row>
    <row r="65" spans="1:8">
      <c r="A65" s="686" t="s">
        <v>1502</v>
      </c>
      <c r="G65">
        <v>1000</v>
      </c>
      <c r="H65">
        <f t="shared" si="0"/>
        <v>0</v>
      </c>
    </row>
    <row r="66" spans="1:8" ht="15.75">
      <c r="A66" s="232" t="s">
        <v>1923</v>
      </c>
      <c r="G66">
        <v>1000</v>
      </c>
      <c r="H66">
        <f t="shared" si="0"/>
        <v>0</v>
      </c>
    </row>
    <row r="67" spans="1:8" ht="16.5" thickBot="1">
      <c r="A67" s="232"/>
      <c r="G67">
        <v>1000</v>
      </c>
      <c r="H67">
        <f t="shared" si="0"/>
        <v>0</v>
      </c>
    </row>
    <row r="68" spans="1:8" ht="28.5" customHeight="1" thickBot="1">
      <c r="A68" s="939" t="s">
        <v>0</v>
      </c>
      <c r="B68" s="939" t="s">
        <v>121</v>
      </c>
      <c r="C68" s="939" t="s">
        <v>632</v>
      </c>
      <c r="D68" s="941" t="s">
        <v>894</v>
      </c>
      <c r="E68" s="942"/>
      <c r="F68" s="939" t="s">
        <v>699</v>
      </c>
      <c r="G68">
        <v>1000</v>
      </c>
      <c r="H68">
        <f t="shared" si="0"/>
        <v>0</v>
      </c>
    </row>
    <row r="69" spans="1:8" ht="15.75" thickBot="1">
      <c r="A69" s="943"/>
      <c r="B69" s="943"/>
      <c r="C69" s="943"/>
      <c r="D69" s="940" t="s">
        <v>828</v>
      </c>
      <c r="E69" s="940" t="s">
        <v>829</v>
      </c>
      <c r="F69" s="943"/>
      <c r="G69">
        <v>1000</v>
      </c>
    </row>
    <row r="70" spans="1:8" ht="33.75" thickBot="1">
      <c r="A70" s="980">
        <v>1</v>
      </c>
      <c r="B70" s="1006" t="s">
        <v>149</v>
      </c>
      <c r="C70" s="799" t="s">
        <v>674</v>
      </c>
      <c r="D70" s="312"/>
      <c r="E70" s="312">
        <v>300</v>
      </c>
      <c r="F70" s="799" t="s">
        <v>1503</v>
      </c>
      <c r="G70">
        <v>1000</v>
      </c>
      <c r="H70">
        <f t="shared" si="0"/>
        <v>300000</v>
      </c>
    </row>
    <row r="71" spans="1:8" ht="30.75" customHeight="1" thickBot="1">
      <c r="A71" s="980">
        <v>2</v>
      </c>
      <c r="B71" s="1006" t="s">
        <v>688</v>
      </c>
      <c r="C71" s="799" t="s">
        <v>650</v>
      </c>
      <c r="D71" s="312">
        <v>200</v>
      </c>
      <c r="E71" s="312"/>
      <c r="F71" s="799" t="s">
        <v>1504</v>
      </c>
      <c r="G71">
        <v>1000</v>
      </c>
      <c r="H71">
        <f t="shared" si="0"/>
        <v>0</v>
      </c>
    </row>
    <row r="72" spans="1:8" ht="30.75" thickBot="1">
      <c r="A72" s="980">
        <v>3</v>
      </c>
      <c r="B72" s="1006" t="s">
        <v>147</v>
      </c>
      <c r="C72" s="799" t="s">
        <v>653</v>
      </c>
      <c r="D72" s="312"/>
      <c r="E72" s="312">
        <v>100</v>
      </c>
      <c r="F72" s="799" t="s">
        <v>1505</v>
      </c>
      <c r="G72">
        <v>1000</v>
      </c>
      <c r="H72">
        <f t="shared" si="0"/>
        <v>100000</v>
      </c>
    </row>
    <row r="73" spans="1:8" ht="17.25" thickBot="1">
      <c r="A73" s="992" t="s">
        <v>758</v>
      </c>
      <c r="B73" s="993"/>
      <c r="C73" s="981"/>
      <c r="D73" s="983">
        <v>200</v>
      </c>
      <c r="E73" s="983">
        <v>400</v>
      </c>
      <c r="F73" s="983"/>
      <c r="G73">
        <v>1000</v>
      </c>
      <c r="H73">
        <f t="shared" ref="H73:H118" si="1">E73*G73</f>
        <v>400000</v>
      </c>
    </row>
    <row r="74" spans="1:8" ht="17.25" customHeight="1" thickBot="1">
      <c r="A74" s="992" t="s">
        <v>864</v>
      </c>
      <c r="B74" s="993"/>
      <c r="C74" s="981"/>
      <c r="D74" s="992">
        <v>600</v>
      </c>
      <c r="E74" s="993"/>
      <c r="F74" s="984"/>
      <c r="G74">
        <v>1000</v>
      </c>
      <c r="H74">
        <f t="shared" si="1"/>
        <v>0</v>
      </c>
    </row>
    <row r="75" spans="1:8">
      <c r="A75" s="244" t="s">
        <v>1929</v>
      </c>
      <c r="G75">
        <v>1000</v>
      </c>
      <c r="H75">
        <f t="shared" si="1"/>
        <v>0</v>
      </c>
    </row>
    <row r="76" spans="1:8">
      <c r="A76" s="244"/>
      <c r="G76">
        <v>1000</v>
      </c>
      <c r="H76">
        <f t="shared" si="1"/>
        <v>0</v>
      </c>
    </row>
    <row r="77" spans="1:8" ht="16.5">
      <c r="A77" s="246"/>
      <c r="B77" s="248"/>
      <c r="G77">
        <v>1000</v>
      </c>
      <c r="H77">
        <f t="shared" si="1"/>
        <v>0</v>
      </c>
    </row>
    <row r="78" spans="1:8" ht="15.75">
      <c r="A78" s="205" t="s">
        <v>696</v>
      </c>
      <c r="G78">
        <v>1000</v>
      </c>
      <c r="H78">
        <f t="shared" si="1"/>
        <v>0</v>
      </c>
    </row>
    <row r="79" spans="1:8" ht="15.75">
      <c r="A79" s="205"/>
      <c r="G79">
        <v>1000</v>
      </c>
      <c r="H79">
        <f t="shared" si="1"/>
        <v>0</v>
      </c>
    </row>
    <row r="80" spans="1:8" ht="15.75">
      <c r="A80" s="205" t="s">
        <v>1717</v>
      </c>
      <c r="G80">
        <v>1000</v>
      </c>
      <c r="H80">
        <f t="shared" si="1"/>
        <v>0</v>
      </c>
    </row>
    <row r="81" spans="1:8" ht="15.75">
      <c r="A81" s="232" t="s">
        <v>1930</v>
      </c>
      <c r="G81">
        <v>1000</v>
      </c>
      <c r="H81">
        <f t="shared" si="1"/>
        <v>0</v>
      </c>
    </row>
    <row r="82" spans="1:8" ht="15.75" thickBot="1">
      <c r="A82" s="987"/>
      <c r="G82">
        <v>1000</v>
      </c>
      <c r="H82">
        <f t="shared" si="1"/>
        <v>0</v>
      </c>
    </row>
    <row r="83" spans="1:8" ht="48" thickBot="1">
      <c r="A83" s="252" t="s">
        <v>0</v>
      </c>
      <c r="B83" s="253" t="s">
        <v>632</v>
      </c>
      <c r="C83" s="988" t="s">
        <v>894</v>
      </c>
      <c r="D83" s="989" t="s">
        <v>634</v>
      </c>
      <c r="G83">
        <v>1000</v>
      </c>
      <c r="H83">
        <f t="shared" si="1"/>
        <v>0</v>
      </c>
    </row>
    <row r="84" spans="1:8" ht="66.75" customHeight="1" thickBot="1">
      <c r="A84" s="240">
        <v>1</v>
      </c>
      <c r="B84" s="368" t="s">
        <v>1920</v>
      </c>
      <c r="C84" s="1143">
        <v>789.47400000000005</v>
      </c>
      <c r="D84" s="303"/>
      <c r="G84">
        <v>1000</v>
      </c>
      <c r="H84">
        <f t="shared" si="1"/>
        <v>0</v>
      </c>
    </row>
    <row r="85" spans="1:8" ht="83.25" customHeight="1" thickBot="1">
      <c r="A85" s="240">
        <v>2</v>
      </c>
      <c r="B85" s="368" t="s">
        <v>708</v>
      </c>
      <c r="C85" s="1143">
        <v>526.31600000000003</v>
      </c>
      <c r="D85" s="303"/>
      <c r="G85">
        <v>1000</v>
      </c>
      <c r="H85">
        <f t="shared" si="1"/>
        <v>0</v>
      </c>
    </row>
    <row r="86" spans="1:8" ht="83.25" customHeight="1" thickBot="1">
      <c r="A86" s="240">
        <v>3</v>
      </c>
      <c r="B86" s="368" t="s">
        <v>1450</v>
      </c>
      <c r="C86" s="1143">
        <v>750</v>
      </c>
      <c r="D86" s="303"/>
      <c r="G86">
        <v>1000</v>
      </c>
      <c r="H86">
        <f t="shared" si="1"/>
        <v>0</v>
      </c>
    </row>
    <row r="87" spans="1:8" ht="66.75" customHeight="1" thickBot="1">
      <c r="A87" s="240">
        <v>4</v>
      </c>
      <c r="B87" s="368" t="s">
        <v>706</v>
      </c>
      <c r="C87" s="1143">
        <v>625</v>
      </c>
      <c r="D87" s="303"/>
      <c r="G87">
        <v>1000</v>
      </c>
      <c r="H87">
        <f t="shared" si="1"/>
        <v>0</v>
      </c>
    </row>
    <row r="88" spans="1:8" ht="50.25" thickBot="1">
      <c r="A88" s="240">
        <v>5</v>
      </c>
      <c r="B88" s="368" t="s">
        <v>836</v>
      </c>
      <c r="C88" s="1143">
        <v>769.23</v>
      </c>
      <c r="D88" s="303"/>
      <c r="G88">
        <v>1000</v>
      </c>
      <c r="H88">
        <f t="shared" si="1"/>
        <v>0</v>
      </c>
    </row>
    <row r="89" spans="1:8" ht="50.25" thickBot="1">
      <c r="A89" s="405" t="s">
        <v>758</v>
      </c>
      <c r="B89" s="406"/>
      <c r="C89" s="1144" t="s">
        <v>1931</v>
      </c>
      <c r="D89" s="1142"/>
      <c r="G89">
        <v>1000</v>
      </c>
      <c r="H89">
        <f t="shared" si="1"/>
        <v>0</v>
      </c>
    </row>
    <row r="90" spans="1:8">
      <c r="A90" s="244" t="s">
        <v>1932</v>
      </c>
      <c r="G90">
        <v>1000</v>
      </c>
      <c r="H90">
        <f t="shared" si="1"/>
        <v>0</v>
      </c>
    </row>
    <row r="91" spans="1:8">
      <c r="A91" s="284"/>
      <c r="G91">
        <v>1000</v>
      </c>
      <c r="H91">
        <f t="shared" si="1"/>
        <v>0</v>
      </c>
    </row>
    <row r="92" spans="1:8">
      <c r="G92">
        <v>1000</v>
      </c>
      <c r="H92">
        <f t="shared" si="1"/>
        <v>0</v>
      </c>
    </row>
    <row r="93" spans="1:8">
      <c r="G93">
        <v>1000</v>
      </c>
      <c r="H93">
        <f t="shared" si="1"/>
        <v>0</v>
      </c>
    </row>
    <row r="94" spans="1:8">
      <c r="G94">
        <v>1000</v>
      </c>
      <c r="H94">
        <f t="shared" si="1"/>
        <v>0</v>
      </c>
    </row>
    <row r="95" spans="1:8">
      <c r="G95">
        <v>1000</v>
      </c>
      <c r="H95">
        <f t="shared" si="1"/>
        <v>0</v>
      </c>
    </row>
    <row r="96" spans="1:8">
      <c r="G96">
        <v>1000</v>
      </c>
      <c r="H96">
        <f t="shared" si="1"/>
        <v>0</v>
      </c>
    </row>
    <row r="97" spans="7:8">
      <c r="G97">
        <v>1000</v>
      </c>
      <c r="H97">
        <f t="shared" si="1"/>
        <v>0</v>
      </c>
    </row>
    <row r="98" spans="7:8">
      <c r="G98">
        <v>1000</v>
      </c>
      <c r="H98">
        <f t="shared" si="1"/>
        <v>0</v>
      </c>
    </row>
    <row r="99" spans="7:8">
      <c r="G99">
        <v>1000</v>
      </c>
      <c r="H99">
        <f t="shared" si="1"/>
        <v>0</v>
      </c>
    </row>
    <row r="100" spans="7:8">
      <c r="G100">
        <v>1000</v>
      </c>
      <c r="H100">
        <f t="shared" si="1"/>
        <v>0</v>
      </c>
    </row>
    <row r="101" spans="7:8">
      <c r="G101">
        <v>1000</v>
      </c>
      <c r="H101">
        <f t="shared" si="1"/>
        <v>0</v>
      </c>
    </row>
    <row r="102" spans="7:8">
      <c r="G102">
        <v>1000</v>
      </c>
      <c r="H102">
        <f t="shared" si="1"/>
        <v>0</v>
      </c>
    </row>
    <row r="103" spans="7:8">
      <c r="G103">
        <v>1000</v>
      </c>
      <c r="H103">
        <f t="shared" si="1"/>
        <v>0</v>
      </c>
    </row>
    <row r="104" spans="7:8">
      <c r="G104">
        <v>1000</v>
      </c>
      <c r="H104">
        <f t="shared" si="1"/>
        <v>0</v>
      </c>
    </row>
    <row r="105" spans="7:8">
      <c r="G105">
        <v>1000</v>
      </c>
      <c r="H105">
        <f t="shared" si="1"/>
        <v>0</v>
      </c>
    </row>
    <row r="106" spans="7:8">
      <c r="G106">
        <v>1000</v>
      </c>
      <c r="H106">
        <f t="shared" si="1"/>
        <v>0</v>
      </c>
    </row>
    <row r="107" spans="7:8">
      <c r="G107">
        <v>1000</v>
      </c>
      <c r="H107">
        <f t="shared" si="1"/>
        <v>0</v>
      </c>
    </row>
    <row r="108" spans="7:8">
      <c r="G108">
        <v>1000</v>
      </c>
      <c r="H108">
        <f t="shared" si="1"/>
        <v>0</v>
      </c>
    </row>
    <row r="109" spans="7:8">
      <c r="G109">
        <v>1000</v>
      </c>
      <c r="H109">
        <f t="shared" si="1"/>
        <v>0</v>
      </c>
    </row>
    <row r="110" spans="7:8">
      <c r="G110">
        <v>1000</v>
      </c>
      <c r="H110">
        <f t="shared" si="1"/>
        <v>0</v>
      </c>
    </row>
    <row r="111" spans="7:8">
      <c r="G111">
        <v>1000</v>
      </c>
      <c r="H111">
        <f t="shared" si="1"/>
        <v>0</v>
      </c>
    </row>
    <row r="112" spans="7:8">
      <c r="G112">
        <v>1000</v>
      </c>
      <c r="H112">
        <f t="shared" si="1"/>
        <v>0</v>
      </c>
    </row>
    <row r="113" spans="7:8">
      <c r="G113">
        <v>1000</v>
      </c>
      <c r="H113">
        <f t="shared" si="1"/>
        <v>0</v>
      </c>
    </row>
    <row r="114" spans="7:8">
      <c r="G114">
        <v>1000</v>
      </c>
      <c r="H114">
        <f t="shared" si="1"/>
        <v>0</v>
      </c>
    </row>
    <row r="115" spans="7:8">
      <c r="G115">
        <v>1000</v>
      </c>
      <c r="H115">
        <f t="shared" si="1"/>
        <v>0</v>
      </c>
    </row>
    <row r="116" spans="7:8">
      <c r="G116">
        <v>1000</v>
      </c>
      <c r="H116">
        <f t="shared" si="1"/>
        <v>0</v>
      </c>
    </row>
    <row r="117" spans="7:8">
      <c r="G117">
        <v>1000</v>
      </c>
      <c r="H117">
        <f t="shared" si="1"/>
        <v>0</v>
      </c>
    </row>
    <row r="118" spans="7:8">
      <c r="G118">
        <v>1000</v>
      </c>
      <c r="H118">
        <f t="shared" si="1"/>
        <v>0</v>
      </c>
    </row>
    <row r="119" spans="7:8">
      <c r="G119">
        <v>1000</v>
      </c>
    </row>
    <row r="120" spans="7:8">
      <c r="G120">
        <v>1000</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2:I145"/>
  <sheetViews>
    <sheetView workbookViewId="0">
      <selection activeCell="F24" sqref="F24"/>
    </sheetView>
  </sheetViews>
  <sheetFormatPr defaultRowHeight="15"/>
  <cols>
    <col min="2" max="2" width="35.42578125" customWidth="1"/>
    <col min="4" max="4" width="13" customWidth="1"/>
    <col min="5" max="5" width="14" customWidth="1"/>
  </cols>
  <sheetData>
    <row r="2" spans="1:6" ht="15.75">
      <c r="A2" s="205" t="s">
        <v>868</v>
      </c>
    </row>
    <row r="3" spans="1:6">
      <c r="A3" s="1133"/>
    </row>
    <row r="4" spans="1:6">
      <c r="A4" s="686" t="s">
        <v>1933</v>
      </c>
    </row>
    <row r="5" spans="1:6">
      <c r="A5" s="686" t="s">
        <v>1911</v>
      </c>
    </row>
    <row r="6" spans="1:6" ht="16.5" thickBot="1">
      <c r="A6" s="232" t="s">
        <v>1934</v>
      </c>
    </row>
    <row r="7" spans="1:6" ht="28.5" customHeight="1" thickBot="1">
      <c r="A7" s="939" t="s">
        <v>0</v>
      </c>
      <c r="B7" s="939" t="s">
        <v>121</v>
      </c>
      <c r="C7" s="939" t="s">
        <v>632</v>
      </c>
      <c r="D7" s="941" t="s">
        <v>894</v>
      </c>
      <c r="E7" s="942"/>
      <c r="F7" s="939" t="s">
        <v>699</v>
      </c>
    </row>
    <row r="8" spans="1:6" ht="15.75" thickBot="1">
      <c r="A8" s="943"/>
      <c r="B8" s="943"/>
      <c r="C8" s="943"/>
      <c r="D8" s="940" t="s">
        <v>828</v>
      </c>
      <c r="E8" s="940" t="s">
        <v>829</v>
      </c>
      <c r="F8" s="943"/>
    </row>
    <row r="9" spans="1:6" ht="15.75" hidden="1" thickBot="1">
      <c r="A9" s="694">
        <v>1</v>
      </c>
      <c r="B9" s="383" t="s">
        <v>641</v>
      </c>
      <c r="C9" s="384" t="s">
        <v>636</v>
      </c>
      <c r="D9" s="313">
        <v>300000</v>
      </c>
      <c r="E9" s="314"/>
      <c r="F9" s="314"/>
    </row>
    <row r="10" spans="1:6" ht="45.75" hidden="1" customHeight="1" thickBot="1">
      <c r="A10" s="694">
        <v>2</v>
      </c>
      <c r="B10" s="383" t="s">
        <v>640</v>
      </c>
      <c r="C10" s="384" t="s">
        <v>636</v>
      </c>
      <c r="D10" s="313">
        <v>1400000</v>
      </c>
      <c r="E10" s="314"/>
      <c r="F10" s="314"/>
    </row>
    <row r="11" spans="1:6" ht="30.75" hidden="1" customHeight="1" thickBot="1">
      <c r="A11" s="694">
        <v>3</v>
      </c>
      <c r="B11" s="383" t="s">
        <v>744</v>
      </c>
      <c r="C11" s="384" t="s">
        <v>636</v>
      </c>
      <c r="D11" s="313">
        <v>550000</v>
      </c>
      <c r="E11" s="314"/>
      <c r="F11" s="314"/>
    </row>
    <row r="12" spans="1:6" ht="45.75" hidden="1" customHeight="1" thickBot="1">
      <c r="A12" s="694">
        <v>4</v>
      </c>
      <c r="B12" s="1148" t="s">
        <v>210</v>
      </c>
      <c r="C12" s="384" t="s">
        <v>636</v>
      </c>
      <c r="D12" s="314"/>
      <c r="E12" s="313">
        <v>400000</v>
      </c>
      <c r="F12" s="314"/>
    </row>
    <row r="13" spans="1:6" ht="45.75" hidden="1" customHeight="1" thickBot="1">
      <c r="A13" s="694">
        <v>5</v>
      </c>
      <c r="B13" s="1148" t="s">
        <v>96</v>
      </c>
      <c r="C13" s="384" t="s">
        <v>636</v>
      </c>
      <c r="D13" s="314"/>
      <c r="E13" s="313">
        <v>700000</v>
      </c>
      <c r="F13" s="314"/>
    </row>
    <row r="14" spans="1:6" ht="60.75" hidden="1" customHeight="1" thickBot="1">
      <c r="A14" s="694">
        <v>6</v>
      </c>
      <c r="B14" s="1148" t="s">
        <v>154</v>
      </c>
      <c r="C14" s="384" t="s">
        <v>636</v>
      </c>
      <c r="D14" s="314"/>
      <c r="E14" s="313">
        <v>150000</v>
      </c>
      <c r="F14" s="314"/>
    </row>
    <row r="15" spans="1:6" ht="30.75" customHeight="1" thickBot="1">
      <c r="A15" s="694">
        <v>7</v>
      </c>
      <c r="B15" s="383" t="s">
        <v>639</v>
      </c>
      <c r="C15" s="384" t="s">
        <v>636</v>
      </c>
      <c r="D15" s="314"/>
      <c r="E15" s="349">
        <v>200000</v>
      </c>
      <c r="F15" s="314"/>
    </row>
    <row r="16" spans="1:6" ht="45.75" hidden="1" customHeight="1" thickBot="1">
      <c r="A16" s="694">
        <v>8</v>
      </c>
      <c r="B16" s="383" t="s">
        <v>682</v>
      </c>
      <c r="C16" s="384" t="s">
        <v>642</v>
      </c>
      <c r="D16" s="313">
        <v>250000</v>
      </c>
      <c r="E16" s="314"/>
      <c r="F16" s="314"/>
    </row>
    <row r="17" spans="1:9" ht="45.75" hidden="1" customHeight="1" thickBot="1">
      <c r="A17" s="694">
        <v>9</v>
      </c>
      <c r="B17" s="383" t="s">
        <v>715</v>
      </c>
      <c r="C17" s="384" t="s">
        <v>642</v>
      </c>
      <c r="D17" s="313">
        <v>300000</v>
      </c>
      <c r="E17" s="314"/>
      <c r="F17" s="314"/>
    </row>
    <row r="18" spans="1:9" ht="45.75" hidden="1" customHeight="1" thickBot="1">
      <c r="A18" s="694">
        <v>10</v>
      </c>
      <c r="B18" s="383" t="s">
        <v>728</v>
      </c>
      <c r="C18" s="384" t="s">
        <v>642</v>
      </c>
      <c r="D18" s="313">
        <v>350000</v>
      </c>
      <c r="E18" s="314"/>
      <c r="F18" s="314"/>
    </row>
    <row r="19" spans="1:9" ht="60.75" customHeight="1" thickBot="1">
      <c r="A19" s="694">
        <v>11</v>
      </c>
      <c r="B19" s="383" t="s">
        <v>1651</v>
      </c>
      <c r="C19" s="384" t="s">
        <v>642</v>
      </c>
      <c r="D19" s="314"/>
      <c r="E19" s="349">
        <v>100000</v>
      </c>
      <c r="F19" s="314"/>
      <c r="I19" s="67">
        <f>E15+E19+E20+E23+E33+E36</f>
        <v>1550000</v>
      </c>
    </row>
    <row r="20" spans="1:9" ht="45.75" customHeight="1" thickBot="1">
      <c r="A20" s="694">
        <v>12</v>
      </c>
      <c r="B20" s="383" t="s">
        <v>1935</v>
      </c>
      <c r="C20" s="384" t="s">
        <v>642</v>
      </c>
      <c r="D20" s="314"/>
      <c r="E20" s="349">
        <v>150000</v>
      </c>
      <c r="F20" s="314"/>
    </row>
    <row r="21" spans="1:9" ht="45.75" hidden="1" customHeight="1" thickBot="1">
      <c r="A21" s="694">
        <v>13</v>
      </c>
      <c r="B21" s="383" t="s">
        <v>148</v>
      </c>
      <c r="C21" s="384" t="s">
        <v>646</v>
      </c>
      <c r="D21" s="314"/>
      <c r="E21" s="313">
        <v>250000</v>
      </c>
      <c r="F21" s="314"/>
    </row>
    <row r="22" spans="1:9" ht="45.75" hidden="1" customHeight="1" thickBot="1">
      <c r="A22" s="694">
        <v>14</v>
      </c>
      <c r="B22" s="383" t="s">
        <v>168</v>
      </c>
      <c r="C22" s="384" t="s">
        <v>646</v>
      </c>
      <c r="D22" s="314"/>
      <c r="E22" s="313">
        <v>350000</v>
      </c>
      <c r="F22" s="314"/>
    </row>
    <row r="23" spans="1:9" ht="45.75" customHeight="1" thickBot="1">
      <c r="A23" s="694">
        <v>15</v>
      </c>
      <c r="B23" s="383" t="s">
        <v>1434</v>
      </c>
      <c r="C23" s="384" t="s">
        <v>646</v>
      </c>
      <c r="D23" s="314"/>
      <c r="E23" s="349">
        <v>550000</v>
      </c>
      <c r="F23" s="314"/>
    </row>
    <row r="24" spans="1:9" ht="45.75" hidden="1" customHeight="1" thickBot="1">
      <c r="A24" s="694">
        <v>16</v>
      </c>
      <c r="B24" s="383" t="s">
        <v>683</v>
      </c>
      <c r="C24" s="384" t="s">
        <v>646</v>
      </c>
      <c r="D24" s="313">
        <v>650000</v>
      </c>
      <c r="E24" s="314"/>
      <c r="F24" s="314"/>
    </row>
    <row r="25" spans="1:9" ht="30.75" hidden="1" customHeight="1" thickBot="1">
      <c r="A25" s="694">
        <v>17</v>
      </c>
      <c r="B25" s="383" t="s">
        <v>723</v>
      </c>
      <c r="C25" s="384" t="s">
        <v>646</v>
      </c>
      <c r="D25" s="313">
        <v>100000</v>
      </c>
      <c r="E25" s="314"/>
      <c r="F25" s="314"/>
    </row>
    <row r="26" spans="1:9" ht="45.75" hidden="1" customHeight="1" thickBot="1">
      <c r="A26" s="694">
        <v>18</v>
      </c>
      <c r="B26" s="383" t="s">
        <v>722</v>
      </c>
      <c r="C26" s="384" t="s">
        <v>646</v>
      </c>
      <c r="D26" s="313">
        <v>400000</v>
      </c>
      <c r="E26" s="314"/>
      <c r="F26" s="314"/>
    </row>
    <row r="27" spans="1:9" ht="30.75" hidden="1" customHeight="1" thickBot="1">
      <c r="A27" s="694">
        <v>19</v>
      </c>
      <c r="B27" s="383" t="s">
        <v>152</v>
      </c>
      <c r="C27" s="384" t="s">
        <v>649</v>
      </c>
      <c r="D27" s="314"/>
      <c r="E27" s="313">
        <v>100000</v>
      </c>
      <c r="F27" s="314"/>
    </row>
    <row r="28" spans="1:9" ht="45.75" hidden="1" customHeight="1" thickBot="1">
      <c r="A28" s="694">
        <v>20</v>
      </c>
      <c r="B28" s="383" t="s">
        <v>687</v>
      </c>
      <c r="C28" s="384" t="s">
        <v>649</v>
      </c>
      <c r="D28" s="313">
        <v>800000</v>
      </c>
      <c r="E28" s="314"/>
      <c r="F28" s="314"/>
    </row>
    <row r="29" spans="1:9" ht="45.75" hidden="1" customHeight="1" thickBot="1">
      <c r="A29" s="694">
        <v>21</v>
      </c>
      <c r="B29" s="383" t="s">
        <v>686</v>
      </c>
      <c r="C29" s="384" t="s">
        <v>649</v>
      </c>
      <c r="D29" s="313">
        <v>750000</v>
      </c>
      <c r="E29" s="314"/>
      <c r="F29" s="314"/>
    </row>
    <row r="30" spans="1:9" ht="45.75" hidden="1" customHeight="1" thickBot="1">
      <c r="A30" s="694">
        <v>22</v>
      </c>
      <c r="B30" s="383" t="s">
        <v>684</v>
      </c>
      <c r="C30" s="384" t="s">
        <v>649</v>
      </c>
      <c r="D30" s="313">
        <v>600000</v>
      </c>
      <c r="E30" s="314"/>
      <c r="F30" s="314"/>
    </row>
    <row r="31" spans="1:9" ht="45.75" hidden="1" customHeight="1" thickBot="1">
      <c r="A31" s="694">
        <v>23</v>
      </c>
      <c r="B31" s="383" t="s">
        <v>685</v>
      </c>
      <c r="C31" s="384" t="s">
        <v>649</v>
      </c>
      <c r="D31" s="313">
        <v>650000</v>
      </c>
      <c r="E31" s="314"/>
      <c r="F31" s="314"/>
    </row>
    <row r="32" spans="1:9" ht="45.75" hidden="1" customHeight="1" thickBot="1">
      <c r="A32" s="694">
        <v>24</v>
      </c>
      <c r="B32" s="383" t="s">
        <v>1908</v>
      </c>
      <c r="C32" s="384" t="s">
        <v>649</v>
      </c>
      <c r="D32" s="314"/>
      <c r="E32" s="313">
        <v>900000</v>
      </c>
      <c r="F32" s="314"/>
    </row>
    <row r="33" spans="1:6" ht="45.75" customHeight="1" thickBot="1">
      <c r="A33" s="694">
        <v>25</v>
      </c>
      <c r="B33" s="383" t="s">
        <v>721</v>
      </c>
      <c r="C33" s="384" t="s">
        <v>649</v>
      </c>
      <c r="D33" s="314"/>
      <c r="E33" s="349">
        <v>450000</v>
      </c>
      <c r="F33" s="314"/>
    </row>
    <row r="34" spans="1:6" ht="45.75" hidden="1" customHeight="1" thickBot="1">
      <c r="A34" s="694">
        <v>26</v>
      </c>
      <c r="B34" s="383" t="s">
        <v>187</v>
      </c>
      <c r="C34" s="384" t="s">
        <v>649</v>
      </c>
      <c r="D34" s="314"/>
      <c r="E34" s="313">
        <v>150000</v>
      </c>
      <c r="F34" s="314"/>
    </row>
    <row r="35" spans="1:6" ht="45.75" hidden="1" customHeight="1" thickBot="1">
      <c r="A35" s="309">
        <v>27</v>
      </c>
      <c r="B35" s="383" t="s">
        <v>638</v>
      </c>
      <c r="C35" s="384" t="s">
        <v>649</v>
      </c>
      <c r="D35" s="313">
        <v>250000</v>
      </c>
      <c r="E35" s="449"/>
      <c r="F35" s="314"/>
    </row>
    <row r="36" spans="1:6" ht="45.75" customHeight="1" thickBot="1">
      <c r="A36" s="309">
        <v>28</v>
      </c>
      <c r="B36" s="383" t="s">
        <v>831</v>
      </c>
      <c r="C36" s="384" t="s">
        <v>649</v>
      </c>
      <c r="D36" s="314"/>
      <c r="E36" s="349">
        <v>100000</v>
      </c>
      <c r="F36" s="314"/>
    </row>
    <row r="37" spans="1:6" ht="30.75" hidden="1" customHeight="1" thickBot="1">
      <c r="A37" s="309">
        <v>29</v>
      </c>
      <c r="B37" s="383" t="s">
        <v>651</v>
      </c>
      <c r="C37" s="384" t="s">
        <v>650</v>
      </c>
      <c r="D37" s="313">
        <v>450000</v>
      </c>
      <c r="E37" s="314"/>
      <c r="F37" s="314"/>
    </row>
    <row r="38" spans="1:6" ht="30.75" hidden="1" customHeight="1" thickBot="1">
      <c r="A38" s="309">
        <v>30</v>
      </c>
      <c r="B38" s="383" t="s">
        <v>645</v>
      </c>
      <c r="C38" s="384" t="s">
        <v>650</v>
      </c>
      <c r="D38" s="313">
        <v>250000</v>
      </c>
      <c r="E38" s="314"/>
      <c r="F38" s="314"/>
    </row>
    <row r="39" spans="1:6" ht="45.75" hidden="1" customHeight="1" thickBot="1">
      <c r="A39" s="309">
        <v>31</v>
      </c>
      <c r="B39" s="383" t="s">
        <v>269</v>
      </c>
      <c r="C39" s="384" t="s">
        <v>650</v>
      </c>
      <c r="D39" s="314"/>
      <c r="E39" s="313">
        <v>200000</v>
      </c>
      <c r="F39" s="314"/>
    </row>
    <row r="40" spans="1:6" ht="30.75" hidden="1" customHeight="1" thickBot="1">
      <c r="A40" s="309">
        <v>32</v>
      </c>
      <c r="B40" s="383" t="s">
        <v>688</v>
      </c>
      <c r="C40" s="384" t="s">
        <v>650</v>
      </c>
      <c r="D40" s="313">
        <v>50000</v>
      </c>
      <c r="E40" s="314"/>
      <c r="F40" s="314"/>
    </row>
    <row r="41" spans="1:6" ht="30.75" hidden="1" customHeight="1" thickBot="1">
      <c r="A41" s="309">
        <v>33</v>
      </c>
      <c r="B41" s="383" t="s">
        <v>1401</v>
      </c>
      <c r="C41" s="384" t="s">
        <v>650</v>
      </c>
      <c r="D41" s="313">
        <v>650000</v>
      </c>
      <c r="E41" s="314"/>
      <c r="F41" s="314"/>
    </row>
    <row r="42" spans="1:6" ht="60.75" hidden="1" customHeight="1" thickBot="1">
      <c r="A42" s="309">
        <v>34</v>
      </c>
      <c r="B42" s="383" t="s">
        <v>83</v>
      </c>
      <c r="C42" s="384" t="s">
        <v>650</v>
      </c>
      <c r="D42" s="314"/>
      <c r="E42" s="313">
        <v>50000</v>
      </c>
      <c r="F42" s="314"/>
    </row>
    <row r="43" spans="1:6" ht="45.75" hidden="1" customHeight="1" thickBot="1">
      <c r="A43" s="309">
        <v>35</v>
      </c>
      <c r="B43" s="383" t="s">
        <v>689</v>
      </c>
      <c r="C43" s="384" t="s">
        <v>653</v>
      </c>
      <c r="D43" s="313">
        <v>450000</v>
      </c>
      <c r="E43" s="314"/>
      <c r="F43" s="314"/>
    </row>
    <row r="44" spans="1:6" ht="45.75" hidden="1" customHeight="1" thickBot="1">
      <c r="A44" s="309">
        <v>36</v>
      </c>
      <c r="B44" s="383" t="s">
        <v>46</v>
      </c>
      <c r="C44" s="384" t="s">
        <v>653</v>
      </c>
      <c r="D44" s="314"/>
      <c r="E44" s="313">
        <v>50000</v>
      </c>
      <c r="F44" s="314"/>
    </row>
    <row r="45" spans="1:6" ht="45.75" hidden="1" customHeight="1" thickBot="1">
      <c r="A45" s="309">
        <v>37</v>
      </c>
      <c r="B45" s="383" t="s">
        <v>50</v>
      </c>
      <c r="C45" s="384" t="s">
        <v>653</v>
      </c>
      <c r="D45" s="314"/>
      <c r="E45" s="313">
        <v>500000</v>
      </c>
      <c r="F45" s="314"/>
    </row>
    <row r="46" spans="1:6" ht="45.75" hidden="1" customHeight="1" thickBot="1">
      <c r="A46" s="309">
        <v>38</v>
      </c>
      <c r="B46" s="383" t="s">
        <v>48</v>
      </c>
      <c r="C46" s="384" t="s">
        <v>653</v>
      </c>
      <c r="D46" s="314"/>
      <c r="E46" s="313">
        <v>150000</v>
      </c>
      <c r="F46" s="314"/>
    </row>
    <row r="47" spans="1:6" ht="45.75" hidden="1" customHeight="1" thickBot="1">
      <c r="A47" s="309">
        <v>39</v>
      </c>
      <c r="B47" s="383" t="s">
        <v>138</v>
      </c>
      <c r="C47" s="384" t="s">
        <v>653</v>
      </c>
      <c r="D47" s="314"/>
      <c r="E47" s="313">
        <v>50000</v>
      </c>
      <c r="F47" s="314"/>
    </row>
    <row r="48" spans="1:6" ht="30.75" hidden="1" customHeight="1" thickBot="1">
      <c r="A48" s="309">
        <v>40</v>
      </c>
      <c r="B48" s="383" t="s">
        <v>655</v>
      </c>
      <c r="C48" s="384" t="s">
        <v>653</v>
      </c>
      <c r="D48" s="313">
        <v>50000</v>
      </c>
      <c r="E48" s="314"/>
      <c r="F48" s="314"/>
    </row>
    <row r="49" spans="1:6" ht="45.75" hidden="1" customHeight="1" thickBot="1">
      <c r="A49" s="309">
        <v>41</v>
      </c>
      <c r="B49" s="383" t="s">
        <v>656</v>
      </c>
      <c r="C49" s="384" t="s">
        <v>653</v>
      </c>
      <c r="D49" s="313">
        <v>100000</v>
      </c>
      <c r="E49" s="314"/>
      <c r="F49" s="314"/>
    </row>
    <row r="50" spans="1:6" ht="30.75" hidden="1" customHeight="1" thickBot="1">
      <c r="A50" s="309">
        <v>42</v>
      </c>
      <c r="B50" s="383" t="s">
        <v>146</v>
      </c>
      <c r="C50" s="384" t="s">
        <v>653</v>
      </c>
      <c r="D50" s="314"/>
      <c r="E50" s="313">
        <v>550000</v>
      </c>
      <c r="F50" s="314"/>
    </row>
    <row r="51" spans="1:6" ht="45.75" hidden="1" customHeight="1" thickBot="1">
      <c r="A51" s="309">
        <v>43</v>
      </c>
      <c r="B51" s="383" t="s">
        <v>60</v>
      </c>
      <c r="C51" s="384" t="s">
        <v>653</v>
      </c>
      <c r="D51" s="314"/>
      <c r="E51" s="313">
        <v>650000</v>
      </c>
      <c r="F51" s="314"/>
    </row>
    <row r="52" spans="1:6" ht="45.75" hidden="1" customHeight="1" thickBot="1">
      <c r="A52" s="309">
        <v>44</v>
      </c>
      <c r="B52" s="383" t="s">
        <v>690</v>
      </c>
      <c r="C52" s="384" t="s">
        <v>653</v>
      </c>
      <c r="D52" s="314"/>
      <c r="E52" s="313">
        <v>300000</v>
      </c>
      <c r="F52" s="314"/>
    </row>
    <row r="53" spans="1:6" ht="45.75" hidden="1" customHeight="1" thickBot="1">
      <c r="A53" s="309">
        <v>45</v>
      </c>
      <c r="B53" s="383" t="s">
        <v>147</v>
      </c>
      <c r="C53" s="384" t="s">
        <v>653</v>
      </c>
      <c r="D53" s="314"/>
      <c r="E53" s="313">
        <v>550000</v>
      </c>
      <c r="F53" s="314"/>
    </row>
    <row r="54" spans="1:6" ht="30.75" hidden="1" customHeight="1" thickBot="1">
      <c r="A54" s="309">
        <v>46</v>
      </c>
      <c r="B54" s="383" t="s">
        <v>659</v>
      </c>
      <c r="C54" s="384" t="s">
        <v>653</v>
      </c>
      <c r="D54" s="313">
        <v>750000</v>
      </c>
      <c r="E54" s="314"/>
      <c r="F54" s="314"/>
    </row>
    <row r="55" spans="1:6" ht="60.75" hidden="1" customHeight="1" thickBot="1">
      <c r="A55" s="309">
        <v>47</v>
      </c>
      <c r="B55" s="383" t="s">
        <v>56</v>
      </c>
      <c r="C55" s="384" t="s">
        <v>653</v>
      </c>
      <c r="D55" s="314"/>
      <c r="E55" s="313">
        <v>100000</v>
      </c>
      <c r="F55" s="314"/>
    </row>
    <row r="56" spans="1:6" ht="45.75" hidden="1" customHeight="1" thickBot="1">
      <c r="A56" s="309">
        <v>48</v>
      </c>
      <c r="B56" s="383" t="s">
        <v>743</v>
      </c>
      <c r="C56" s="384" t="s">
        <v>653</v>
      </c>
      <c r="D56" s="313">
        <v>300000</v>
      </c>
      <c r="E56" s="314"/>
      <c r="F56" s="314"/>
    </row>
    <row r="57" spans="1:6" ht="30.75" hidden="1" customHeight="1" thickBot="1">
      <c r="A57" s="309">
        <v>49</v>
      </c>
      <c r="B57" s="383" t="s">
        <v>658</v>
      </c>
      <c r="C57" s="384" t="s">
        <v>653</v>
      </c>
      <c r="D57" s="313">
        <v>50000</v>
      </c>
      <c r="E57" s="314"/>
      <c r="F57" s="314"/>
    </row>
    <row r="58" spans="1:6" ht="45.75" hidden="1" customHeight="1" thickBot="1">
      <c r="A58" s="309">
        <v>50</v>
      </c>
      <c r="B58" s="383" t="s">
        <v>672</v>
      </c>
      <c r="C58" s="384" t="s">
        <v>668</v>
      </c>
      <c r="D58" s="313">
        <v>50000</v>
      </c>
      <c r="E58" s="314"/>
      <c r="F58" s="314"/>
    </row>
    <row r="59" spans="1:6" ht="45.75" hidden="1" customHeight="1" thickBot="1">
      <c r="A59" s="309">
        <v>51</v>
      </c>
      <c r="B59" s="383" t="s">
        <v>670</v>
      </c>
      <c r="C59" s="384" t="s">
        <v>668</v>
      </c>
      <c r="D59" s="313">
        <v>150000</v>
      </c>
      <c r="E59" s="314"/>
      <c r="F59" s="314"/>
    </row>
    <row r="60" spans="1:6" ht="30.75" hidden="1" customHeight="1" thickBot="1">
      <c r="A60" s="309">
        <v>52</v>
      </c>
      <c r="B60" s="383" t="s">
        <v>693</v>
      </c>
      <c r="C60" s="384" t="s">
        <v>668</v>
      </c>
      <c r="D60" s="313">
        <v>100000</v>
      </c>
      <c r="E60" s="314"/>
      <c r="F60" s="314"/>
    </row>
    <row r="61" spans="1:6" ht="45.75" hidden="1" customHeight="1" thickBot="1">
      <c r="A61" s="309">
        <v>53</v>
      </c>
      <c r="B61" s="383" t="s">
        <v>295</v>
      </c>
      <c r="C61" s="384" t="s">
        <v>668</v>
      </c>
      <c r="D61" s="314"/>
      <c r="E61" s="313">
        <v>50000</v>
      </c>
      <c r="F61" s="314"/>
    </row>
    <row r="62" spans="1:6" ht="30.75" hidden="1" customHeight="1" thickBot="1">
      <c r="A62" s="309">
        <v>54</v>
      </c>
      <c r="B62" s="383" t="s">
        <v>29</v>
      </c>
      <c r="C62" s="384" t="s">
        <v>668</v>
      </c>
      <c r="D62" s="314"/>
      <c r="E62" s="313">
        <v>100000</v>
      </c>
      <c r="F62" s="314"/>
    </row>
    <row r="63" spans="1:6" ht="45.75" hidden="1" customHeight="1" thickBot="1">
      <c r="A63" s="309">
        <v>55</v>
      </c>
      <c r="B63" s="383" t="s">
        <v>732</v>
      </c>
      <c r="C63" s="384" t="s">
        <v>668</v>
      </c>
      <c r="D63" s="313">
        <v>100000</v>
      </c>
      <c r="E63" s="314"/>
      <c r="F63" s="314"/>
    </row>
    <row r="64" spans="1:6" ht="60.75" hidden="1" customHeight="1" thickBot="1">
      <c r="A64" s="309">
        <v>56</v>
      </c>
      <c r="B64" s="383" t="s">
        <v>273</v>
      </c>
      <c r="C64" s="384" t="s">
        <v>668</v>
      </c>
      <c r="D64" s="314"/>
      <c r="E64" s="313">
        <v>50000</v>
      </c>
      <c r="F64" s="314"/>
    </row>
    <row r="65" spans="1:6" ht="60.75" hidden="1" customHeight="1" thickBot="1">
      <c r="A65" s="309">
        <v>57</v>
      </c>
      <c r="B65" s="383" t="s">
        <v>692</v>
      </c>
      <c r="C65" s="384" t="s">
        <v>668</v>
      </c>
      <c r="D65" s="313">
        <v>300000</v>
      </c>
      <c r="E65" s="314"/>
      <c r="F65" s="314"/>
    </row>
    <row r="66" spans="1:6" ht="60.75" hidden="1" customHeight="1" thickBot="1">
      <c r="A66" s="309">
        <v>58</v>
      </c>
      <c r="B66" s="383" t="s">
        <v>262</v>
      </c>
      <c r="C66" s="384" t="s">
        <v>668</v>
      </c>
      <c r="D66" s="314"/>
      <c r="E66" s="313">
        <v>50000</v>
      </c>
      <c r="F66" s="314"/>
    </row>
    <row r="67" spans="1:6" ht="45.75" hidden="1" customHeight="1" thickBot="1">
      <c r="A67" s="309">
        <v>59</v>
      </c>
      <c r="B67" s="383" t="s">
        <v>675</v>
      </c>
      <c r="C67" s="384" t="s">
        <v>674</v>
      </c>
      <c r="D67" s="313">
        <v>150000</v>
      </c>
      <c r="E67" s="314"/>
      <c r="F67" s="314"/>
    </row>
    <row r="68" spans="1:6" ht="45.75" hidden="1" customHeight="1" thickBot="1">
      <c r="A68" s="309">
        <v>60</v>
      </c>
      <c r="B68" s="383" t="s">
        <v>150</v>
      </c>
      <c r="C68" s="384" t="s">
        <v>674</v>
      </c>
      <c r="D68" s="314" t="s">
        <v>1164</v>
      </c>
      <c r="E68" s="313">
        <v>300000</v>
      </c>
      <c r="F68" s="314"/>
    </row>
    <row r="69" spans="1:6" ht="15.75" hidden="1" thickBot="1">
      <c r="A69" s="309">
        <v>61</v>
      </c>
      <c r="B69" s="383" t="s">
        <v>742</v>
      </c>
      <c r="C69" s="384" t="s">
        <v>674</v>
      </c>
      <c r="D69" s="313">
        <v>300000</v>
      </c>
      <c r="E69" s="314"/>
      <c r="F69" s="314"/>
    </row>
    <row r="70" spans="1:6" ht="15.75" hidden="1" thickBot="1">
      <c r="A70" s="700" t="s">
        <v>758</v>
      </c>
      <c r="B70" s="701"/>
      <c r="C70" s="318"/>
      <c r="D70" s="696" t="s">
        <v>1936</v>
      </c>
      <c r="E70" s="696" t="s">
        <v>1937</v>
      </c>
      <c r="F70" s="696"/>
    </row>
    <row r="71" spans="1:6" ht="15.75" hidden="1" customHeight="1" thickBot="1">
      <c r="A71" s="700" t="s">
        <v>864</v>
      </c>
      <c r="B71" s="701"/>
      <c r="C71" s="318"/>
      <c r="D71" s="700" t="s">
        <v>1938</v>
      </c>
      <c r="E71" s="701"/>
      <c r="F71" s="697"/>
    </row>
    <row r="72" spans="1:6" hidden="1">
      <c r="A72" s="244" t="s">
        <v>1939</v>
      </c>
    </row>
    <row r="73" spans="1:6">
      <c r="A73" s="244"/>
    </row>
    <row r="74" spans="1:6" ht="15.75">
      <c r="A74" s="205" t="s">
        <v>678</v>
      </c>
    </row>
    <row r="75" spans="1:6">
      <c r="A75" s="1134"/>
    </row>
    <row r="76" spans="1:6">
      <c r="A76" s="686" t="s">
        <v>1940</v>
      </c>
    </row>
    <row r="77" spans="1:6">
      <c r="A77" s="686" t="s">
        <v>1906</v>
      </c>
    </row>
    <row r="78" spans="1:6" ht="16.5" thickBot="1">
      <c r="A78" s="232" t="s">
        <v>1941</v>
      </c>
    </row>
    <row r="79" spans="1:6" ht="28.5" customHeight="1" thickBot="1">
      <c r="A79" s="939" t="s">
        <v>0</v>
      </c>
      <c r="B79" s="939" t="s">
        <v>121</v>
      </c>
      <c r="C79" s="939" t="s">
        <v>632</v>
      </c>
      <c r="D79" s="941" t="s">
        <v>894</v>
      </c>
      <c r="E79" s="942"/>
      <c r="F79" s="939" t="s">
        <v>699</v>
      </c>
    </row>
    <row r="80" spans="1:6" ht="15.75" thickBot="1">
      <c r="A80" s="943"/>
      <c r="B80" s="943"/>
      <c r="C80" s="943"/>
      <c r="D80" s="940" t="s">
        <v>828</v>
      </c>
      <c r="E80" s="940" t="s">
        <v>829</v>
      </c>
      <c r="F80" s="943"/>
    </row>
    <row r="81" spans="1:9" ht="15.75" thickBot="1">
      <c r="A81" s="694">
        <v>1</v>
      </c>
      <c r="B81" s="383" t="s">
        <v>641</v>
      </c>
      <c r="C81" s="384" t="s">
        <v>636</v>
      </c>
      <c r="D81" s="313">
        <v>360000</v>
      </c>
      <c r="E81" s="314"/>
      <c r="F81" s="314"/>
    </row>
    <row r="82" spans="1:9" ht="45.75" customHeight="1" thickBot="1">
      <c r="A82" s="694">
        <v>2</v>
      </c>
      <c r="B82" s="383" t="s">
        <v>640</v>
      </c>
      <c r="C82" s="384" t="s">
        <v>636</v>
      </c>
      <c r="D82" s="313">
        <v>420000</v>
      </c>
      <c r="E82" s="1149"/>
      <c r="F82" s="314"/>
    </row>
    <row r="83" spans="1:9" ht="30.75" customHeight="1" thickBot="1">
      <c r="A83" s="694">
        <v>3</v>
      </c>
      <c r="B83" s="383" t="s">
        <v>744</v>
      </c>
      <c r="C83" s="384" t="s">
        <v>636</v>
      </c>
      <c r="D83" s="313">
        <v>300000</v>
      </c>
      <c r="E83" s="1149"/>
      <c r="F83" s="314"/>
    </row>
    <row r="84" spans="1:9" ht="45.75" customHeight="1" thickBot="1">
      <c r="A84" s="694">
        <v>4</v>
      </c>
      <c r="B84" s="383" t="s">
        <v>96</v>
      </c>
      <c r="C84" s="384" t="s">
        <v>636</v>
      </c>
      <c r="D84" s="314"/>
      <c r="E84" s="1149">
        <v>360000</v>
      </c>
      <c r="F84" s="314"/>
    </row>
    <row r="85" spans="1:9" ht="45.75" customHeight="1" thickBot="1">
      <c r="A85" s="694">
        <v>5</v>
      </c>
      <c r="B85" s="383" t="s">
        <v>210</v>
      </c>
      <c r="C85" s="384" t="s">
        <v>636</v>
      </c>
      <c r="D85" s="314"/>
      <c r="E85" s="1149">
        <v>180000</v>
      </c>
      <c r="F85" s="314"/>
    </row>
    <row r="86" spans="1:9" ht="60.75" customHeight="1" thickBot="1">
      <c r="A86" s="694">
        <v>6</v>
      </c>
      <c r="B86" s="383" t="s">
        <v>154</v>
      </c>
      <c r="C86" s="384" t="s">
        <v>636</v>
      </c>
      <c r="D86" s="314"/>
      <c r="E86" s="1149">
        <v>220000</v>
      </c>
      <c r="F86" s="314"/>
    </row>
    <row r="87" spans="1:9" ht="45.75" customHeight="1" thickBot="1">
      <c r="A87" s="694">
        <v>7</v>
      </c>
      <c r="B87" s="383" t="s">
        <v>682</v>
      </c>
      <c r="C87" s="384" t="s">
        <v>642</v>
      </c>
      <c r="D87" s="313">
        <v>540000</v>
      </c>
      <c r="E87" s="1149"/>
      <c r="F87" s="314"/>
    </row>
    <row r="88" spans="1:9" ht="60.75" customHeight="1" thickBot="1">
      <c r="A88" s="694">
        <v>8</v>
      </c>
      <c r="B88" s="383" t="s">
        <v>1651</v>
      </c>
      <c r="C88" s="384" t="s">
        <v>642</v>
      </c>
      <c r="D88" s="314"/>
      <c r="E88" s="349">
        <v>220000</v>
      </c>
      <c r="F88" s="314"/>
    </row>
    <row r="89" spans="1:9" ht="45.75" customHeight="1" thickBot="1">
      <c r="A89" s="694">
        <v>9</v>
      </c>
      <c r="B89" s="383" t="s">
        <v>207</v>
      </c>
      <c r="C89" s="384" t="s">
        <v>642</v>
      </c>
      <c r="D89" s="314"/>
      <c r="E89" s="1149">
        <v>40000</v>
      </c>
      <c r="F89" s="314"/>
    </row>
    <row r="90" spans="1:9" ht="45.75" customHeight="1" thickBot="1">
      <c r="A90" s="694">
        <v>10</v>
      </c>
      <c r="B90" s="383" t="s">
        <v>728</v>
      </c>
      <c r="C90" s="384" t="s">
        <v>642</v>
      </c>
      <c r="D90" s="313">
        <v>20000</v>
      </c>
      <c r="E90" s="1149"/>
      <c r="F90" s="314"/>
    </row>
    <row r="91" spans="1:9" ht="45.75" customHeight="1" thickBot="1">
      <c r="A91" s="694">
        <v>11</v>
      </c>
      <c r="B91" s="383" t="s">
        <v>715</v>
      </c>
      <c r="C91" s="384" t="s">
        <v>642</v>
      </c>
      <c r="D91" s="313">
        <v>120000</v>
      </c>
      <c r="E91" s="1149"/>
      <c r="F91" s="314"/>
    </row>
    <row r="92" spans="1:9" ht="45.75" customHeight="1" thickBot="1">
      <c r="A92" s="694">
        <v>12</v>
      </c>
      <c r="B92" s="383" t="s">
        <v>1458</v>
      </c>
      <c r="C92" s="384" t="s">
        <v>642</v>
      </c>
      <c r="D92" s="314"/>
      <c r="E92" s="1149">
        <v>20000</v>
      </c>
      <c r="F92" s="314"/>
    </row>
    <row r="93" spans="1:9" ht="60.75" customHeight="1" thickBot="1">
      <c r="A93" s="1150">
        <v>13</v>
      </c>
      <c r="B93" s="1148" t="s">
        <v>681</v>
      </c>
      <c r="C93" s="1151" t="s">
        <v>642</v>
      </c>
      <c r="D93" s="1152"/>
      <c r="E93" s="1153">
        <v>40000</v>
      </c>
      <c r="F93" s="1152"/>
      <c r="I93" s="67">
        <f>E88+E93+E101+E107</f>
        <v>980000</v>
      </c>
    </row>
    <row r="94" spans="1:9" ht="30.75" customHeight="1" thickBot="1">
      <c r="A94" s="694">
        <v>14</v>
      </c>
      <c r="B94" s="383" t="s">
        <v>644</v>
      </c>
      <c r="C94" s="384" t="s">
        <v>642</v>
      </c>
      <c r="D94" s="314"/>
      <c r="E94" s="1149">
        <v>60000</v>
      </c>
      <c r="F94" s="314"/>
    </row>
    <row r="95" spans="1:9" ht="45.75" customHeight="1" thickBot="1">
      <c r="A95" s="694">
        <v>15</v>
      </c>
      <c r="B95" s="383" t="s">
        <v>148</v>
      </c>
      <c r="C95" s="384" t="s">
        <v>646</v>
      </c>
      <c r="D95" s="314"/>
      <c r="E95" s="1149">
        <v>240000</v>
      </c>
      <c r="F95" s="314"/>
    </row>
    <row r="96" spans="1:9" ht="45.75" customHeight="1" thickBot="1">
      <c r="A96" s="694">
        <v>16</v>
      </c>
      <c r="B96" s="383" t="s">
        <v>168</v>
      </c>
      <c r="C96" s="384" t="s">
        <v>646</v>
      </c>
      <c r="D96" s="314"/>
      <c r="E96" s="1149">
        <v>200000</v>
      </c>
      <c r="F96" s="314"/>
    </row>
    <row r="97" spans="1:6" ht="45.75" customHeight="1" thickBot="1">
      <c r="A97" s="694">
        <v>17</v>
      </c>
      <c r="B97" s="383" t="s">
        <v>683</v>
      </c>
      <c r="C97" s="384" t="s">
        <v>646</v>
      </c>
      <c r="D97" s="313">
        <v>180000</v>
      </c>
      <c r="E97" s="1149"/>
      <c r="F97" s="314"/>
    </row>
    <row r="98" spans="1:6" ht="30.75" customHeight="1" thickBot="1">
      <c r="A98" s="694">
        <v>18</v>
      </c>
      <c r="B98" s="383" t="s">
        <v>723</v>
      </c>
      <c r="C98" s="384" t="s">
        <v>646</v>
      </c>
      <c r="D98" s="313">
        <v>260000</v>
      </c>
      <c r="E98" s="1149"/>
      <c r="F98" s="314"/>
    </row>
    <row r="99" spans="1:6" ht="45.75" customHeight="1" thickBot="1">
      <c r="A99" s="694">
        <v>19</v>
      </c>
      <c r="B99" s="383" t="s">
        <v>722</v>
      </c>
      <c r="C99" s="384" t="s">
        <v>646</v>
      </c>
      <c r="D99" s="313">
        <v>260000</v>
      </c>
      <c r="E99" s="1149"/>
      <c r="F99" s="314"/>
    </row>
    <row r="100" spans="1:6" ht="45.75" customHeight="1" thickBot="1">
      <c r="A100" s="694">
        <v>20</v>
      </c>
      <c r="B100" s="383" t="s">
        <v>647</v>
      </c>
      <c r="C100" s="384" t="s">
        <v>646</v>
      </c>
      <c r="D100" s="313">
        <v>240000</v>
      </c>
      <c r="E100" s="1149"/>
      <c r="F100" s="314"/>
    </row>
    <row r="101" spans="1:6" ht="45.75" customHeight="1" thickBot="1">
      <c r="A101" s="694">
        <v>21</v>
      </c>
      <c r="B101" s="383" t="s">
        <v>1434</v>
      </c>
      <c r="C101" s="384" t="s">
        <v>646</v>
      </c>
      <c r="D101" s="314"/>
      <c r="E101" s="349">
        <v>320000</v>
      </c>
      <c r="F101" s="314"/>
    </row>
    <row r="102" spans="1:6" ht="60.75" customHeight="1" thickBot="1">
      <c r="A102" s="694">
        <v>22</v>
      </c>
      <c r="B102" s="383" t="s">
        <v>289</v>
      </c>
      <c r="C102" s="384" t="s">
        <v>646</v>
      </c>
      <c r="D102" s="314"/>
      <c r="E102" s="1149">
        <v>380000</v>
      </c>
      <c r="F102" s="314"/>
    </row>
    <row r="103" spans="1:6" ht="60.75" customHeight="1" thickBot="1">
      <c r="A103" s="694">
        <v>23</v>
      </c>
      <c r="B103" s="383" t="s">
        <v>1314</v>
      </c>
      <c r="C103" s="384" t="s">
        <v>646</v>
      </c>
      <c r="D103" s="314"/>
      <c r="E103" s="1149">
        <v>40000</v>
      </c>
      <c r="F103" s="314"/>
    </row>
    <row r="104" spans="1:6" ht="45.75" customHeight="1" thickBot="1">
      <c r="A104" s="694">
        <v>24</v>
      </c>
      <c r="B104" s="383" t="s">
        <v>187</v>
      </c>
      <c r="C104" s="384" t="s">
        <v>649</v>
      </c>
      <c r="D104" s="314"/>
      <c r="E104" s="1149">
        <v>60000</v>
      </c>
      <c r="F104" s="314"/>
    </row>
    <row r="105" spans="1:6" ht="30.75" customHeight="1" thickBot="1">
      <c r="A105" s="694">
        <v>25</v>
      </c>
      <c r="B105" s="383" t="s">
        <v>152</v>
      </c>
      <c r="C105" s="384" t="s">
        <v>649</v>
      </c>
      <c r="D105" s="314"/>
      <c r="E105" s="1149">
        <v>100000</v>
      </c>
      <c r="F105" s="314"/>
    </row>
    <row r="106" spans="1:6" ht="45.75" customHeight="1" thickBot="1">
      <c r="A106" s="694">
        <v>26</v>
      </c>
      <c r="B106" s="383" t="s">
        <v>686</v>
      </c>
      <c r="C106" s="384" t="s">
        <v>649</v>
      </c>
      <c r="D106" s="313">
        <v>640000</v>
      </c>
      <c r="E106" s="1149"/>
      <c r="F106" s="314"/>
    </row>
    <row r="107" spans="1:6" ht="45.75" customHeight="1" thickBot="1">
      <c r="A107" s="309">
        <v>27</v>
      </c>
      <c r="B107" s="383" t="s">
        <v>721</v>
      </c>
      <c r="C107" s="384" t="s">
        <v>649</v>
      </c>
      <c r="D107" s="314"/>
      <c r="E107" s="349">
        <v>400000</v>
      </c>
      <c r="F107" s="314"/>
    </row>
    <row r="108" spans="1:6" ht="45.75" customHeight="1" thickBot="1">
      <c r="A108" s="309">
        <v>28</v>
      </c>
      <c r="B108" s="383" t="s">
        <v>687</v>
      </c>
      <c r="C108" s="384" t="s">
        <v>649</v>
      </c>
      <c r="D108" s="313">
        <v>760000</v>
      </c>
      <c r="E108" s="1149"/>
      <c r="F108" s="314"/>
    </row>
    <row r="109" spans="1:6" ht="45.75" customHeight="1" thickBot="1">
      <c r="A109" s="309">
        <v>29</v>
      </c>
      <c r="B109" s="383" t="s">
        <v>638</v>
      </c>
      <c r="C109" s="384" t="s">
        <v>649</v>
      </c>
      <c r="D109" s="313">
        <v>160000</v>
      </c>
      <c r="E109" s="1149"/>
      <c r="F109" s="314"/>
    </row>
    <row r="110" spans="1:6" ht="45.75" customHeight="1" thickBot="1">
      <c r="A110" s="309">
        <v>30</v>
      </c>
      <c r="B110" s="383" t="s">
        <v>685</v>
      </c>
      <c r="C110" s="384" t="s">
        <v>649</v>
      </c>
      <c r="D110" s="313">
        <v>560000</v>
      </c>
      <c r="E110" s="1149"/>
      <c r="F110" s="314"/>
    </row>
    <row r="111" spans="1:6" ht="45.75" customHeight="1" thickBot="1">
      <c r="A111" s="309">
        <v>31</v>
      </c>
      <c r="B111" s="383" t="s">
        <v>1908</v>
      </c>
      <c r="C111" s="384" t="s">
        <v>649</v>
      </c>
      <c r="D111" s="314"/>
      <c r="E111" s="1149">
        <v>400000</v>
      </c>
      <c r="F111" s="314"/>
    </row>
    <row r="112" spans="1:6" ht="45.75" customHeight="1" thickBot="1">
      <c r="A112" s="309">
        <v>32</v>
      </c>
      <c r="B112" s="383" t="s">
        <v>684</v>
      </c>
      <c r="C112" s="384" t="s">
        <v>649</v>
      </c>
      <c r="D112" s="313">
        <v>540000</v>
      </c>
      <c r="E112" s="1149"/>
      <c r="F112" s="314"/>
    </row>
    <row r="113" spans="1:6" ht="45.75" customHeight="1" thickBot="1">
      <c r="A113" s="309">
        <v>33</v>
      </c>
      <c r="B113" s="383" t="s">
        <v>221</v>
      </c>
      <c r="C113" s="384" t="s">
        <v>649</v>
      </c>
      <c r="D113" s="314" t="s">
        <v>1239</v>
      </c>
      <c r="E113" s="1149">
        <v>20000</v>
      </c>
      <c r="F113" s="314"/>
    </row>
    <row r="114" spans="1:6" ht="30.75" customHeight="1" thickBot="1">
      <c r="A114" s="309">
        <v>34</v>
      </c>
      <c r="B114" s="383" t="s">
        <v>645</v>
      </c>
      <c r="C114" s="384" t="s">
        <v>650</v>
      </c>
      <c r="D114" s="313">
        <v>200000</v>
      </c>
      <c r="E114" s="1149"/>
      <c r="F114" s="314"/>
    </row>
    <row r="115" spans="1:6" ht="45.75" customHeight="1" thickBot="1">
      <c r="A115" s="309">
        <v>35</v>
      </c>
      <c r="B115" s="383" t="s">
        <v>269</v>
      </c>
      <c r="C115" s="384" t="s">
        <v>650</v>
      </c>
      <c r="D115" s="314"/>
      <c r="E115" s="1149">
        <v>100000</v>
      </c>
      <c r="F115" s="314"/>
    </row>
    <row r="116" spans="1:6" ht="30.75" customHeight="1" thickBot="1">
      <c r="A116" s="309">
        <v>36</v>
      </c>
      <c r="B116" s="383" t="s">
        <v>651</v>
      </c>
      <c r="C116" s="384" t="s">
        <v>650</v>
      </c>
      <c r="D116" s="313">
        <v>760000</v>
      </c>
      <c r="E116" s="1149"/>
      <c r="F116" s="314"/>
    </row>
    <row r="117" spans="1:6" ht="30.75" customHeight="1" thickBot="1">
      <c r="A117" s="309">
        <v>37</v>
      </c>
      <c r="B117" s="383" t="s">
        <v>688</v>
      </c>
      <c r="C117" s="384" t="s">
        <v>650</v>
      </c>
      <c r="D117" s="313">
        <v>720000</v>
      </c>
      <c r="E117" s="1149"/>
      <c r="F117" s="314"/>
    </row>
    <row r="118" spans="1:6" ht="30.75" customHeight="1" thickBot="1">
      <c r="A118" s="309">
        <v>38</v>
      </c>
      <c r="B118" s="383" t="s">
        <v>765</v>
      </c>
      <c r="C118" s="384" t="s">
        <v>650</v>
      </c>
      <c r="D118" s="314"/>
      <c r="E118" s="1149">
        <v>100000</v>
      </c>
      <c r="F118" s="314"/>
    </row>
    <row r="119" spans="1:6" ht="60.75" customHeight="1" thickBot="1">
      <c r="A119" s="309">
        <v>39</v>
      </c>
      <c r="B119" s="383" t="s">
        <v>83</v>
      </c>
      <c r="C119" s="384" t="s">
        <v>650</v>
      </c>
      <c r="D119" s="314"/>
      <c r="E119" s="1149">
        <v>40000</v>
      </c>
      <c r="F119" s="314"/>
    </row>
    <row r="120" spans="1:6" ht="30.75" customHeight="1" thickBot="1">
      <c r="A120" s="309">
        <v>40</v>
      </c>
      <c r="B120" s="383" t="s">
        <v>1401</v>
      </c>
      <c r="C120" s="384" t="s">
        <v>650</v>
      </c>
      <c r="D120" s="313">
        <v>460000</v>
      </c>
      <c r="E120" s="1149"/>
      <c r="F120" s="314"/>
    </row>
    <row r="121" spans="1:6" ht="45.75" customHeight="1" thickBot="1">
      <c r="A121" s="309">
        <v>41</v>
      </c>
      <c r="B121" s="383" t="s">
        <v>727</v>
      </c>
      <c r="C121" s="384" t="s">
        <v>650</v>
      </c>
      <c r="D121" s="313">
        <v>60000</v>
      </c>
      <c r="E121" s="1149"/>
      <c r="F121" s="314"/>
    </row>
    <row r="122" spans="1:6" ht="45.75" customHeight="1" thickBot="1">
      <c r="A122" s="309">
        <v>42</v>
      </c>
      <c r="B122" s="383" t="s">
        <v>689</v>
      </c>
      <c r="C122" s="384" t="s">
        <v>653</v>
      </c>
      <c r="D122" s="313">
        <v>100000</v>
      </c>
      <c r="E122" s="1149"/>
      <c r="F122" s="314"/>
    </row>
    <row r="123" spans="1:6" ht="45.75" customHeight="1" thickBot="1">
      <c r="A123" s="309">
        <v>43</v>
      </c>
      <c r="B123" s="383" t="s">
        <v>656</v>
      </c>
      <c r="C123" s="384" t="s">
        <v>653</v>
      </c>
      <c r="D123" s="313">
        <v>60000</v>
      </c>
      <c r="E123" s="1149"/>
      <c r="F123" s="314"/>
    </row>
    <row r="124" spans="1:6" ht="30.75" customHeight="1" thickBot="1">
      <c r="A124" s="309">
        <v>44</v>
      </c>
      <c r="B124" s="383" t="s">
        <v>146</v>
      </c>
      <c r="C124" s="384" t="s">
        <v>653</v>
      </c>
      <c r="D124" s="314"/>
      <c r="E124" s="1149">
        <v>80000</v>
      </c>
      <c r="F124" s="314"/>
    </row>
    <row r="125" spans="1:6" ht="45.75" customHeight="1" thickBot="1">
      <c r="A125" s="309">
        <v>45</v>
      </c>
      <c r="B125" s="383" t="s">
        <v>50</v>
      </c>
      <c r="C125" s="384" t="s">
        <v>653</v>
      </c>
      <c r="D125" s="314"/>
      <c r="E125" s="1149">
        <v>60000</v>
      </c>
      <c r="F125" s="314"/>
    </row>
    <row r="126" spans="1:6" ht="45.75" customHeight="1" thickBot="1">
      <c r="A126" s="309">
        <v>46</v>
      </c>
      <c r="B126" s="383" t="s">
        <v>46</v>
      </c>
      <c r="C126" s="384" t="s">
        <v>653</v>
      </c>
      <c r="D126" s="314"/>
      <c r="E126" s="1149">
        <v>20000</v>
      </c>
      <c r="F126" s="314"/>
    </row>
    <row r="127" spans="1:6" ht="45.75" customHeight="1" thickBot="1">
      <c r="A127" s="309">
        <v>47</v>
      </c>
      <c r="B127" s="383" t="s">
        <v>60</v>
      </c>
      <c r="C127" s="384" t="s">
        <v>653</v>
      </c>
      <c r="D127" s="314"/>
      <c r="E127" s="1149">
        <v>40000</v>
      </c>
      <c r="F127" s="314"/>
    </row>
    <row r="128" spans="1:6" ht="60.75" customHeight="1" thickBot="1">
      <c r="A128" s="309">
        <v>48</v>
      </c>
      <c r="B128" s="383" t="s">
        <v>435</v>
      </c>
      <c r="C128" s="384" t="s">
        <v>668</v>
      </c>
      <c r="D128" s="314"/>
      <c r="E128" s="1149">
        <v>40000</v>
      </c>
      <c r="F128" s="314"/>
    </row>
    <row r="129" spans="1:6" ht="45.75" customHeight="1" thickBot="1">
      <c r="A129" s="309">
        <v>49</v>
      </c>
      <c r="B129" s="383" t="s">
        <v>672</v>
      </c>
      <c r="C129" s="384" t="s">
        <v>668</v>
      </c>
      <c r="D129" s="313">
        <v>100000</v>
      </c>
      <c r="E129" s="1149"/>
      <c r="F129" s="314"/>
    </row>
    <row r="130" spans="1:6" ht="30.75" customHeight="1" thickBot="1">
      <c r="A130" s="309">
        <v>50</v>
      </c>
      <c r="B130" s="383" t="s">
        <v>693</v>
      </c>
      <c r="C130" s="384" t="s">
        <v>668</v>
      </c>
      <c r="D130" s="313">
        <v>60000</v>
      </c>
      <c r="E130" s="1149"/>
      <c r="F130" s="314"/>
    </row>
    <row r="131" spans="1:6" ht="45.75" customHeight="1" thickBot="1">
      <c r="A131" s="309">
        <v>51</v>
      </c>
      <c r="B131" s="383" t="s">
        <v>670</v>
      </c>
      <c r="C131" s="384" t="s">
        <v>668</v>
      </c>
      <c r="D131" s="313">
        <v>40000</v>
      </c>
      <c r="E131" s="1149"/>
      <c r="F131" s="314"/>
    </row>
    <row r="132" spans="1:6" ht="45.75" customHeight="1" thickBot="1">
      <c r="A132" s="309">
        <v>52</v>
      </c>
      <c r="B132" s="383" t="s">
        <v>732</v>
      </c>
      <c r="C132" s="384" t="s">
        <v>668</v>
      </c>
      <c r="D132" s="313">
        <v>60000</v>
      </c>
      <c r="E132" s="1149"/>
      <c r="F132" s="314"/>
    </row>
    <row r="133" spans="1:6" ht="30.75" customHeight="1" thickBot="1">
      <c r="A133" s="309">
        <v>53</v>
      </c>
      <c r="B133" s="383" t="s">
        <v>1316</v>
      </c>
      <c r="C133" s="384" t="s">
        <v>668</v>
      </c>
      <c r="D133" s="314"/>
      <c r="E133" s="1149">
        <v>40000</v>
      </c>
      <c r="F133" s="314"/>
    </row>
    <row r="134" spans="1:6" ht="60.75" customHeight="1" thickBot="1">
      <c r="A134" s="309">
        <v>54</v>
      </c>
      <c r="B134" s="383" t="s">
        <v>692</v>
      </c>
      <c r="C134" s="384" t="s">
        <v>668</v>
      </c>
      <c r="D134" s="313">
        <v>40000</v>
      </c>
      <c r="E134" s="1149"/>
      <c r="F134" s="314"/>
    </row>
    <row r="135" spans="1:6" ht="30.75" customHeight="1" thickBot="1">
      <c r="A135" s="309">
        <v>55</v>
      </c>
      <c r="B135" s="383" t="s">
        <v>671</v>
      </c>
      <c r="C135" s="384" t="s">
        <v>668</v>
      </c>
      <c r="D135" s="313">
        <v>40000</v>
      </c>
      <c r="E135" s="1149"/>
      <c r="F135" s="314"/>
    </row>
    <row r="136" spans="1:6" ht="30.75" customHeight="1" thickBot="1">
      <c r="A136" s="309">
        <v>56</v>
      </c>
      <c r="B136" s="383" t="s">
        <v>149</v>
      </c>
      <c r="C136" s="384" t="s">
        <v>674</v>
      </c>
      <c r="D136" s="314" t="s">
        <v>1924</v>
      </c>
      <c r="E136" s="1149">
        <v>280000</v>
      </c>
      <c r="F136" s="314"/>
    </row>
    <row r="137" spans="1:6" ht="45.75" customHeight="1" thickBot="1">
      <c r="A137" s="309">
        <v>57</v>
      </c>
      <c r="B137" s="383" t="s">
        <v>675</v>
      </c>
      <c r="C137" s="384" t="s">
        <v>674</v>
      </c>
      <c r="D137" s="313">
        <v>500000</v>
      </c>
      <c r="E137" s="1149"/>
      <c r="F137" s="314"/>
    </row>
    <row r="138" spans="1:6" ht="45.75" customHeight="1" thickBot="1">
      <c r="A138" s="309">
        <v>58</v>
      </c>
      <c r="B138" s="383" t="s">
        <v>150</v>
      </c>
      <c r="C138" s="384" t="s">
        <v>674</v>
      </c>
      <c r="D138" s="314"/>
      <c r="E138" s="1149">
        <v>520000</v>
      </c>
      <c r="F138" s="314"/>
    </row>
    <row r="139" spans="1:6" ht="45.75" customHeight="1" thickBot="1">
      <c r="A139" s="309">
        <v>59</v>
      </c>
      <c r="B139" s="383" t="s">
        <v>182</v>
      </c>
      <c r="C139" s="384" t="s">
        <v>674</v>
      </c>
      <c r="D139" s="314"/>
      <c r="E139" s="1149">
        <v>320000</v>
      </c>
      <c r="F139" s="314"/>
    </row>
    <row r="140" spans="1:6" ht="30.75" customHeight="1" thickBot="1">
      <c r="A140" s="309">
        <v>60</v>
      </c>
      <c r="B140" s="383" t="s">
        <v>742</v>
      </c>
      <c r="C140" s="384" t="s">
        <v>674</v>
      </c>
      <c r="D140" s="313">
        <v>100000</v>
      </c>
      <c r="E140" s="1149"/>
      <c r="F140" s="314"/>
    </row>
    <row r="141" spans="1:6" ht="15.75" thickBot="1">
      <c r="A141" s="309">
        <v>61</v>
      </c>
      <c r="B141" s="383" t="s">
        <v>741</v>
      </c>
      <c r="C141" s="384" t="s">
        <v>674</v>
      </c>
      <c r="D141" s="313">
        <v>160000</v>
      </c>
      <c r="E141" s="1149"/>
      <c r="F141" s="314"/>
    </row>
    <row r="142" spans="1:6" ht="15.75" thickBot="1">
      <c r="A142" s="700" t="s">
        <v>758</v>
      </c>
      <c r="B142" s="701"/>
      <c r="C142" s="383"/>
      <c r="D142" s="1072" t="s">
        <v>1942</v>
      </c>
      <c r="E142" s="1072" t="s">
        <v>1943</v>
      </c>
      <c r="F142" s="696"/>
    </row>
    <row r="143" spans="1:6" ht="15.75" customHeight="1" thickBot="1">
      <c r="A143" s="700" t="s">
        <v>864</v>
      </c>
      <c r="B143" s="701"/>
      <c r="C143" s="383"/>
      <c r="D143" s="1145" t="s">
        <v>1944</v>
      </c>
      <c r="E143" s="1146"/>
      <c r="F143" s="314"/>
    </row>
    <row r="144" spans="1:6" ht="15.75">
      <c r="A144" s="365" t="s">
        <v>1945</v>
      </c>
    </row>
    <row r="145" spans="1:1">
      <c r="A145" s="284"/>
    </row>
  </sheetData>
  <autoFilter ref="A8:I72">
    <filterColumn colId="4">
      <colorFilter dxfId="1" cellColor="0"/>
    </filterColumn>
  </autoFilter>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1"/>
  <sheetViews>
    <sheetView topLeftCell="A70" workbookViewId="0">
      <selection activeCell="F24" sqref="F24"/>
    </sheetView>
  </sheetViews>
  <sheetFormatPr defaultRowHeight="15"/>
  <cols>
    <col min="2" max="2" width="49.28515625" customWidth="1"/>
    <col min="4" max="5" width="12.28515625" customWidth="1"/>
  </cols>
  <sheetData>
    <row r="1" spans="1:6" ht="15.75">
      <c r="A1" s="205" t="s">
        <v>868</v>
      </c>
    </row>
    <row r="2" spans="1:6" ht="15.75">
      <c r="A2" s="205"/>
    </row>
    <row r="3" spans="1:6">
      <c r="A3" s="686" t="s">
        <v>1648</v>
      </c>
    </row>
    <row r="4" spans="1:6" ht="16.5" thickBot="1">
      <c r="A4" s="232" t="s">
        <v>1946</v>
      </c>
    </row>
    <row r="5" spans="1:6" ht="28.5" customHeight="1" thickBot="1">
      <c r="A5" s="939" t="s">
        <v>0</v>
      </c>
      <c r="B5" s="939" t="s">
        <v>121</v>
      </c>
      <c r="C5" s="939" t="s">
        <v>632</v>
      </c>
      <c r="D5" s="941" t="s">
        <v>894</v>
      </c>
      <c r="E5" s="942"/>
      <c r="F5" s="939" t="s">
        <v>699</v>
      </c>
    </row>
    <row r="6" spans="1:6" ht="15.75" thickBot="1">
      <c r="A6" s="943"/>
      <c r="B6" s="943"/>
      <c r="C6" s="943"/>
      <c r="D6" s="940" t="s">
        <v>828</v>
      </c>
      <c r="E6" s="940" t="s">
        <v>829</v>
      </c>
      <c r="F6" s="943"/>
    </row>
    <row r="7" spans="1:6" ht="16.5" thickBot="1">
      <c r="A7" s="382">
        <v>1</v>
      </c>
      <c r="B7" s="687" t="s">
        <v>39</v>
      </c>
      <c r="C7" s="688" t="s">
        <v>668</v>
      </c>
      <c r="D7" s="386"/>
      <c r="E7" s="689">
        <v>65000</v>
      </c>
      <c r="F7" s="386"/>
    </row>
    <row r="8" spans="1:6" ht="63.75" customHeight="1" thickBot="1">
      <c r="A8" s="382">
        <v>2</v>
      </c>
      <c r="B8" s="687" t="s">
        <v>435</v>
      </c>
      <c r="C8" s="688" t="s">
        <v>668</v>
      </c>
      <c r="D8" s="386"/>
      <c r="E8" s="689">
        <v>80000</v>
      </c>
      <c r="F8" s="386"/>
    </row>
    <row r="9" spans="1:6" ht="32.25" customHeight="1" thickBot="1">
      <c r="A9" s="382">
        <v>3</v>
      </c>
      <c r="B9" s="687" t="s">
        <v>1316</v>
      </c>
      <c r="C9" s="688" t="s">
        <v>668</v>
      </c>
      <c r="D9" s="386"/>
      <c r="E9" s="689">
        <v>40000</v>
      </c>
      <c r="F9" s="386"/>
    </row>
    <row r="10" spans="1:6" ht="48" customHeight="1" thickBot="1">
      <c r="A10" s="382">
        <v>4</v>
      </c>
      <c r="B10" s="687" t="s">
        <v>48</v>
      </c>
      <c r="C10" s="688" t="s">
        <v>653</v>
      </c>
      <c r="D10" s="386"/>
      <c r="E10" s="689">
        <v>150000</v>
      </c>
      <c r="F10" s="386"/>
    </row>
    <row r="11" spans="1:6" ht="48" customHeight="1" thickBot="1">
      <c r="A11" s="382">
        <v>5</v>
      </c>
      <c r="B11" s="687" t="s">
        <v>52</v>
      </c>
      <c r="C11" s="688" t="s">
        <v>653</v>
      </c>
      <c r="D11" s="386"/>
      <c r="E11" s="689">
        <v>95000</v>
      </c>
      <c r="F11" s="386"/>
    </row>
    <row r="12" spans="1:6" ht="48" customHeight="1" thickBot="1">
      <c r="A12" s="382">
        <v>6</v>
      </c>
      <c r="B12" s="687" t="s">
        <v>138</v>
      </c>
      <c r="C12" s="688" t="s">
        <v>653</v>
      </c>
      <c r="D12" s="386"/>
      <c r="E12" s="689">
        <v>60000</v>
      </c>
      <c r="F12" s="386"/>
    </row>
    <row r="13" spans="1:6" ht="63.75" customHeight="1" thickBot="1">
      <c r="A13" s="382">
        <v>7</v>
      </c>
      <c r="B13" s="687" t="s">
        <v>56</v>
      </c>
      <c r="C13" s="688" t="s">
        <v>653</v>
      </c>
      <c r="D13" s="386"/>
      <c r="E13" s="689">
        <v>90000</v>
      </c>
      <c r="F13" s="386"/>
    </row>
    <row r="14" spans="1:6" ht="48" customHeight="1" thickBot="1">
      <c r="A14" s="382">
        <v>8</v>
      </c>
      <c r="B14" s="687" t="s">
        <v>722</v>
      </c>
      <c r="C14" s="688" t="s">
        <v>646</v>
      </c>
      <c r="D14" s="689">
        <v>70000</v>
      </c>
      <c r="E14" s="386"/>
      <c r="F14" s="386"/>
    </row>
    <row r="15" spans="1:6" ht="48" customHeight="1" thickBot="1">
      <c r="A15" s="382">
        <v>9</v>
      </c>
      <c r="B15" s="687" t="s">
        <v>647</v>
      </c>
      <c r="C15" s="688" t="s">
        <v>646</v>
      </c>
      <c r="D15" s="689">
        <v>50000</v>
      </c>
      <c r="E15" s="386"/>
      <c r="F15" s="386"/>
    </row>
    <row r="16" spans="1:6" ht="48" customHeight="1" thickBot="1">
      <c r="A16" s="382">
        <v>10</v>
      </c>
      <c r="B16" s="687" t="s">
        <v>168</v>
      </c>
      <c r="C16" s="688" t="s">
        <v>646</v>
      </c>
      <c r="D16" s="386"/>
      <c r="E16" s="689">
        <v>65000</v>
      </c>
      <c r="F16" s="386"/>
    </row>
    <row r="17" spans="1:6" ht="63.75" customHeight="1" thickBot="1">
      <c r="A17" s="382">
        <v>11</v>
      </c>
      <c r="B17" s="687" t="s">
        <v>1314</v>
      </c>
      <c r="C17" s="688" t="s">
        <v>646</v>
      </c>
      <c r="D17" s="386"/>
      <c r="E17" s="689">
        <v>899000</v>
      </c>
      <c r="F17" s="386"/>
    </row>
    <row r="18" spans="1:6" ht="32.25" customHeight="1" thickBot="1">
      <c r="A18" s="382">
        <v>12</v>
      </c>
      <c r="B18" s="687" t="s">
        <v>742</v>
      </c>
      <c r="C18" s="688" t="s">
        <v>674</v>
      </c>
      <c r="D18" s="689">
        <v>85000</v>
      </c>
      <c r="E18" s="386"/>
      <c r="F18" s="386"/>
    </row>
    <row r="19" spans="1:6" ht="48" customHeight="1" thickBot="1">
      <c r="A19" s="382">
        <v>13</v>
      </c>
      <c r="B19" s="687" t="s">
        <v>27</v>
      </c>
      <c r="C19" s="688" t="s">
        <v>649</v>
      </c>
      <c r="D19" s="386"/>
      <c r="E19" s="689">
        <v>100000</v>
      </c>
      <c r="F19" s="386"/>
    </row>
    <row r="20" spans="1:6" ht="48" customHeight="1" thickBot="1">
      <c r="A20" s="382">
        <v>14</v>
      </c>
      <c r="B20" s="687" t="s">
        <v>638</v>
      </c>
      <c r="C20" s="688" t="s">
        <v>649</v>
      </c>
      <c r="D20" s="689">
        <v>65000</v>
      </c>
      <c r="E20" s="386"/>
      <c r="F20" s="386"/>
    </row>
    <row r="21" spans="1:6" ht="48" customHeight="1" thickBot="1">
      <c r="A21" s="382">
        <v>15</v>
      </c>
      <c r="B21" s="687" t="s">
        <v>187</v>
      </c>
      <c r="C21" s="688" t="s">
        <v>649</v>
      </c>
      <c r="D21" s="386"/>
      <c r="E21" s="689">
        <v>55000</v>
      </c>
      <c r="F21" s="386"/>
    </row>
    <row r="22" spans="1:6" ht="32.25" customHeight="1" thickBot="1">
      <c r="A22" s="382">
        <v>16</v>
      </c>
      <c r="B22" s="687" t="s">
        <v>152</v>
      </c>
      <c r="C22" s="688" t="s">
        <v>649</v>
      </c>
      <c r="D22" s="386"/>
      <c r="E22" s="689">
        <v>15000</v>
      </c>
      <c r="F22" s="386"/>
    </row>
    <row r="23" spans="1:6" ht="32.25" customHeight="1" thickBot="1">
      <c r="A23" s="382">
        <v>17</v>
      </c>
      <c r="B23" s="687" t="s">
        <v>91</v>
      </c>
      <c r="C23" s="688" t="s">
        <v>650</v>
      </c>
      <c r="D23" s="386"/>
      <c r="E23" s="689">
        <v>170000</v>
      </c>
      <c r="F23" s="386"/>
    </row>
    <row r="24" spans="1:6" ht="63.75" customHeight="1" thickBot="1">
      <c r="A24" s="382">
        <v>18</v>
      </c>
      <c r="B24" s="687" t="s">
        <v>83</v>
      </c>
      <c r="C24" s="688" t="s">
        <v>650</v>
      </c>
      <c r="D24" s="386"/>
      <c r="E24" s="689">
        <v>40000</v>
      </c>
      <c r="F24" s="386"/>
    </row>
    <row r="25" spans="1:6" ht="32.25" customHeight="1" thickBot="1">
      <c r="A25" s="382">
        <v>19</v>
      </c>
      <c r="B25" s="687" t="s">
        <v>688</v>
      </c>
      <c r="C25" s="688" t="s">
        <v>650</v>
      </c>
      <c r="D25" s="689">
        <v>170000</v>
      </c>
      <c r="E25" s="386"/>
      <c r="F25" s="386"/>
    </row>
    <row r="26" spans="1:6" ht="48" customHeight="1" thickBot="1">
      <c r="A26" s="382">
        <v>20</v>
      </c>
      <c r="B26" s="687" t="s">
        <v>755</v>
      </c>
      <c r="C26" s="688" t="s">
        <v>642</v>
      </c>
      <c r="D26" s="689">
        <v>25000</v>
      </c>
      <c r="E26" s="386"/>
      <c r="F26" s="386"/>
    </row>
    <row r="27" spans="1:6" ht="32.25" customHeight="1" thickBot="1">
      <c r="A27" s="382">
        <v>21</v>
      </c>
      <c r="B27" s="687" t="s">
        <v>644</v>
      </c>
      <c r="C27" s="688" t="s">
        <v>642</v>
      </c>
      <c r="D27" s="386"/>
      <c r="E27" s="689">
        <v>75000</v>
      </c>
      <c r="F27" s="386"/>
    </row>
    <row r="28" spans="1:6" ht="48" customHeight="1" thickBot="1">
      <c r="A28" s="382">
        <v>22</v>
      </c>
      <c r="B28" s="687" t="s">
        <v>1458</v>
      </c>
      <c r="C28" s="688" t="s">
        <v>642</v>
      </c>
      <c r="D28" s="386"/>
      <c r="E28" s="689">
        <v>85000</v>
      </c>
      <c r="F28" s="386"/>
    </row>
    <row r="29" spans="1:6" ht="48" customHeight="1" thickBot="1">
      <c r="A29" s="382">
        <v>23</v>
      </c>
      <c r="B29" s="687" t="s">
        <v>728</v>
      </c>
      <c r="C29" s="688" t="s">
        <v>642</v>
      </c>
      <c r="D29" s="689">
        <v>60000</v>
      </c>
      <c r="E29" s="386"/>
      <c r="F29" s="386"/>
    </row>
    <row r="30" spans="1:6" ht="48" customHeight="1" thickBot="1">
      <c r="A30" s="382">
        <v>24</v>
      </c>
      <c r="B30" s="687" t="s">
        <v>637</v>
      </c>
      <c r="C30" s="688" t="s">
        <v>636</v>
      </c>
      <c r="D30" s="689">
        <v>40000</v>
      </c>
      <c r="E30" s="386"/>
      <c r="F30" s="386"/>
    </row>
    <row r="31" spans="1:6" ht="32.25" customHeight="1" thickBot="1">
      <c r="A31" s="382">
        <v>25</v>
      </c>
      <c r="B31" s="687" t="s">
        <v>98</v>
      </c>
      <c r="C31" s="688" t="s">
        <v>636</v>
      </c>
      <c r="D31" s="386"/>
      <c r="E31" s="689">
        <v>105000</v>
      </c>
      <c r="F31" s="386"/>
    </row>
    <row r="32" spans="1:6" ht="48" customHeight="1" thickBot="1">
      <c r="A32" s="382">
        <v>26</v>
      </c>
      <c r="B32" s="687" t="s">
        <v>210</v>
      </c>
      <c r="C32" s="688" t="s">
        <v>636</v>
      </c>
      <c r="D32" s="386"/>
      <c r="E32" s="689">
        <v>115000</v>
      </c>
      <c r="F32" s="386"/>
    </row>
    <row r="33" spans="1:6" ht="48" customHeight="1" thickBot="1">
      <c r="A33" s="746">
        <v>27</v>
      </c>
      <c r="B33" s="687" t="s">
        <v>641</v>
      </c>
      <c r="C33" s="688" t="s">
        <v>636</v>
      </c>
      <c r="D33" s="689">
        <v>90000</v>
      </c>
      <c r="E33" s="387"/>
      <c r="F33" s="386"/>
    </row>
    <row r="34" spans="1:6" ht="48" customHeight="1" thickBot="1">
      <c r="A34" s="746">
        <v>28</v>
      </c>
      <c r="B34" s="687" t="s">
        <v>639</v>
      </c>
      <c r="C34" s="688" t="s">
        <v>636</v>
      </c>
      <c r="D34" s="386"/>
      <c r="E34" s="689">
        <v>60000</v>
      </c>
      <c r="F34" s="386"/>
    </row>
    <row r="35" spans="1:6" ht="32.25" customHeight="1" thickBot="1">
      <c r="A35" s="746">
        <v>29</v>
      </c>
      <c r="B35" s="687" t="s">
        <v>744</v>
      </c>
      <c r="C35" s="688" t="s">
        <v>636</v>
      </c>
      <c r="D35" s="689">
        <v>50000</v>
      </c>
      <c r="E35" s="386"/>
      <c r="F35" s="386"/>
    </row>
    <row r="36" spans="1:6" ht="63.75" customHeight="1" thickBot="1">
      <c r="A36" s="746">
        <v>30</v>
      </c>
      <c r="B36" s="687" t="s">
        <v>154</v>
      </c>
      <c r="C36" s="688" t="s">
        <v>636</v>
      </c>
      <c r="D36" s="386"/>
      <c r="E36" s="689">
        <v>50000</v>
      </c>
      <c r="F36" s="386"/>
    </row>
    <row r="37" spans="1:6" ht="16.5" thickBot="1">
      <c r="A37" s="746">
        <v>31</v>
      </c>
      <c r="B37" s="687" t="s">
        <v>142</v>
      </c>
      <c r="C37" s="688" t="s">
        <v>746</v>
      </c>
      <c r="D37" s="386"/>
      <c r="E37" s="689">
        <v>25000</v>
      </c>
      <c r="F37" s="386"/>
    </row>
    <row r="38" spans="1:6" ht="16.5" thickBot="1">
      <c r="A38" s="401" t="s">
        <v>758</v>
      </c>
      <c r="B38" s="402"/>
      <c r="C38" s="336"/>
      <c r="D38" s="388">
        <v>705000</v>
      </c>
      <c r="E38" s="388">
        <v>2439000</v>
      </c>
      <c r="F38" s="389"/>
    </row>
    <row r="39" spans="1:6" ht="16.5" customHeight="1" thickBot="1">
      <c r="A39" s="401" t="s">
        <v>864</v>
      </c>
      <c r="B39" s="402"/>
      <c r="C39" s="336"/>
      <c r="D39" s="403">
        <v>3144000</v>
      </c>
      <c r="E39" s="404"/>
      <c r="F39" s="390"/>
    </row>
    <row r="40" spans="1:6">
      <c r="A40" s="244" t="s">
        <v>1947</v>
      </c>
    </row>
    <row r="41" spans="1:6">
      <c r="A41" s="284"/>
    </row>
    <row r="42" spans="1:6" ht="16.5">
      <c r="A42" s="246"/>
      <c r="B42" s="248"/>
    </row>
    <row r="43" spans="1:6" ht="15.75">
      <c r="A43" s="205" t="s">
        <v>1649</v>
      </c>
    </row>
    <row r="44" spans="1:6" ht="15.75">
      <c r="A44" s="205"/>
    </row>
    <row r="45" spans="1:6">
      <c r="A45" s="686" t="s">
        <v>1650</v>
      </c>
    </row>
    <row r="46" spans="1:6" ht="15.75">
      <c r="A46" s="232" t="s">
        <v>1946</v>
      </c>
    </row>
    <row r="47" spans="1:6" ht="16.5" thickBot="1">
      <c r="A47" s="232"/>
    </row>
    <row r="48" spans="1:6" ht="43.5" thickBot="1">
      <c r="A48" s="1004" t="s">
        <v>0</v>
      </c>
      <c r="B48" s="1005" t="s">
        <v>121</v>
      </c>
      <c r="C48" s="1005" t="s">
        <v>632</v>
      </c>
      <c r="D48" s="1005" t="s">
        <v>894</v>
      </c>
      <c r="E48" s="1005" t="s">
        <v>699</v>
      </c>
    </row>
    <row r="49" spans="1:6" ht="48" thickBot="1">
      <c r="A49" s="382">
        <v>1</v>
      </c>
      <c r="B49" s="687" t="s">
        <v>842</v>
      </c>
      <c r="C49" s="688" t="s">
        <v>1171</v>
      </c>
      <c r="D49" s="689">
        <v>20000</v>
      </c>
      <c r="E49" s="687"/>
    </row>
    <row r="50" spans="1:6" ht="16.5" thickBot="1">
      <c r="A50" s="401" t="s">
        <v>758</v>
      </c>
      <c r="B50" s="402"/>
      <c r="C50" s="336"/>
      <c r="D50" s="388">
        <v>20000</v>
      </c>
      <c r="E50" s="389"/>
    </row>
    <row r="51" spans="1:6">
      <c r="A51" s="244" t="s">
        <v>1948</v>
      </c>
    </row>
    <row r="52" spans="1:6">
      <c r="A52" s="284"/>
    </row>
    <row r="53" spans="1:6" ht="15.75">
      <c r="A53" s="205" t="s">
        <v>696</v>
      </c>
    </row>
    <row r="54" spans="1:6" ht="15.75">
      <c r="A54" s="205"/>
    </row>
    <row r="55" spans="1:6">
      <c r="A55" s="686" t="s">
        <v>1212</v>
      </c>
    </row>
    <row r="56" spans="1:6" ht="16.5" thickBot="1">
      <c r="A56" s="232" t="s">
        <v>1949</v>
      </c>
    </row>
    <row r="57" spans="1:6" ht="28.5" customHeight="1" thickBot="1">
      <c r="A57" s="939" t="s">
        <v>0</v>
      </c>
      <c r="B57" s="939" t="s">
        <v>121</v>
      </c>
      <c r="C57" s="939" t="s">
        <v>632</v>
      </c>
      <c r="D57" s="941" t="s">
        <v>894</v>
      </c>
      <c r="E57" s="942"/>
      <c r="F57" s="939" t="s">
        <v>699</v>
      </c>
    </row>
    <row r="58" spans="1:6" ht="15.75" thickBot="1">
      <c r="A58" s="943"/>
      <c r="B58" s="943"/>
      <c r="C58" s="943"/>
      <c r="D58" s="940" t="s">
        <v>828</v>
      </c>
      <c r="E58" s="940" t="s">
        <v>829</v>
      </c>
      <c r="F58" s="943"/>
    </row>
    <row r="59" spans="1:6" ht="16.5" thickBot="1">
      <c r="A59" s="382">
        <v>1</v>
      </c>
      <c r="B59" s="687" t="s">
        <v>210</v>
      </c>
      <c r="C59" s="688" t="s">
        <v>636</v>
      </c>
      <c r="D59" s="386"/>
      <c r="E59" s="689">
        <v>6000</v>
      </c>
      <c r="F59" s="386"/>
    </row>
    <row r="60" spans="1:6" ht="48" customHeight="1" thickBot="1">
      <c r="A60" s="382">
        <v>2</v>
      </c>
      <c r="B60" s="687" t="s">
        <v>96</v>
      </c>
      <c r="C60" s="688" t="s">
        <v>636</v>
      </c>
      <c r="D60" s="386"/>
      <c r="E60" s="689">
        <v>18000</v>
      </c>
      <c r="F60" s="386"/>
    </row>
    <row r="61" spans="1:6" ht="32.25" customHeight="1" thickBot="1">
      <c r="A61" s="382">
        <v>3</v>
      </c>
      <c r="B61" s="687" t="s">
        <v>98</v>
      </c>
      <c r="C61" s="688" t="s">
        <v>636</v>
      </c>
      <c r="D61" s="386"/>
      <c r="E61" s="689">
        <v>6000</v>
      </c>
      <c r="F61" s="386"/>
    </row>
    <row r="62" spans="1:6" ht="48" customHeight="1" thickBot="1">
      <c r="A62" s="382">
        <v>4</v>
      </c>
      <c r="B62" s="687" t="s">
        <v>639</v>
      </c>
      <c r="C62" s="688" t="s">
        <v>636</v>
      </c>
      <c r="D62" s="386"/>
      <c r="E62" s="689">
        <v>6000</v>
      </c>
      <c r="F62" s="386"/>
    </row>
    <row r="63" spans="1:6" ht="32.25" customHeight="1" thickBot="1">
      <c r="A63" s="382">
        <v>5</v>
      </c>
      <c r="B63" s="687" t="s">
        <v>870</v>
      </c>
      <c r="C63" s="688" t="s">
        <v>642</v>
      </c>
      <c r="D63" s="689">
        <v>18000</v>
      </c>
      <c r="E63" s="386"/>
      <c r="F63" s="386"/>
    </row>
    <row r="64" spans="1:6" ht="32.25" customHeight="1" thickBot="1">
      <c r="A64" s="382">
        <v>6</v>
      </c>
      <c r="B64" s="687" t="s">
        <v>644</v>
      </c>
      <c r="C64" s="688" t="s">
        <v>642</v>
      </c>
      <c r="D64" s="386"/>
      <c r="E64" s="689">
        <v>3000</v>
      </c>
      <c r="F64" s="386"/>
    </row>
    <row r="65" spans="1:6" ht="48" customHeight="1" thickBot="1">
      <c r="A65" s="382">
        <v>7</v>
      </c>
      <c r="B65" s="687" t="s">
        <v>728</v>
      </c>
      <c r="C65" s="688" t="s">
        <v>642</v>
      </c>
      <c r="D65" s="689">
        <v>6000</v>
      </c>
      <c r="E65" s="386"/>
      <c r="F65" s="386"/>
    </row>
    <row r="66" spans="1:6" ht="63.75" customHeight="1" thickBot="1">
      <c r="A66" s="382">
        <v>8</v>
      </c>
      <c r="B66" s="687" t="s">
        <v>1314</v>
      </c>
      <c r="C66" s="688" t="s">
        <v>646</v>
      </c>
      <c r="D66" s="386"/>
      <c r="E66" s="689">
        <v>3000</v>
      </c>
      <c r="F66" s="386"/>
    </row>
    <row r="67" spans="1:6" ht="48" customHeight="1" thickBot="1">
      <c r="A67" s="382">
        <v>9</v>
      </c>
      <c r="B67" s="687" t="s">
        <v>687</v>
      </c>
      <c r="C67" s="688" t="s">
        <v>649</v>
      </c>
      <c r="D67" s="689">
        <v>3000</v>
      </c>
      <c r="E67" s="386"/>
      <c r="F67" s="386"/>
    </row>
    <row r="68" spans="1:6" ht="48" customHeight="1" thickBot="1">
      <c r="A68" s="382">
        <v>10</v>
      </c>
      <c r="B68" s="687" t="s">
        <v>205</v>
      </c>
      <c r="C68" s="688" t="s">
        <v>649</v>
      </c>
      <c r="D68" s="386"/>
      <c r="E68" s="689">
        <v>6000</v>
      </c>
      <c r="F68" s="386"/>
    </row>
    <row r="69" spans="1:6" ht="32.25" customHeight="1" thickBot="1">
      <c r="A69" s="382">
        <v>11</v>
      </c>
      <c r="B69" s="687" t="s">
        <v>688</v>
      </c>
      <c r="C69" s="688" t="s">
        <v>650</v>
      </c>
      <c r="D69" s="689">
        <v>15000</v>
      </c>
      <c r="E69" s="386"/>
      <c r="F69" s="386"/>
    </row>
    <row r="70" spans="1:6" ht="32.25" customHeight="1" thickBot="1">
      <c r="A70" s="382">
        <v>12</v>
      </c>
      <c r="B70" s="687" t="s">
        <v>651</v>
      </c>
      <c r="C70" s="688" t="s">
        <v>650</v>
      </c>
      <c r="D70" s="689">
        <v>3000</v>
      </c>
      <c r="E70" s="386"/>
      <c r="F70" s="386"/>
    </row>
    <row r="71" spans="1:6" ht="63.75" customHeight="1" thickBot="1">
      <c r="A71" s="382">
        <v>13</v>
      </c>
      <c r="B71" s="687" t="s">
        <v>83</v>
      </c>
      <c r="C71" s="688" t="s">
        <v>650</v>
      </c>
      <c r="D71" s="386"/>
      <c r="E71" s="689">
        <v>3000</v>
      </c>
      <c r="F71" s="386"/>
    </row>
    <row r="72" spans="1:6" ht="32.25" customHeight="1" thickBot="1">
      <c r="A72" s="382">
        <v>14</v>
      </c>
      <c r="B72" s="687" t="s">
        <v>1950</v>
      </c>
      <c r="C72" s="688" t="s">
        <v>650</v>
      </c>
      <c r="D72" s="386"/>
      <c r="E72" s="689">
        <v>12000</v>
      </c>
      <c r="F72" s="386"/>
    </row>
    <row r="73" spans="1:6" ht="48" customHeight="1" thickBot="1">
      <c r="A73" s="382">
        <v>15</v>
      </c>
      <c r="B73" s="687" t="s">
        <v>138</v>
      </c>
      <c r="C73" s="688" t="s">
        <v>653</v>
      </c>
      <c r="D73" s="386"/>
      <c r="E73" s="689">
        <v>3000</v>
      </c>
      <c r="F73" s="386"/>
    </row>
    <row r="74" spans="1:6" ht="63.75" customHeight="1" thickBot="1">
      <c r="A74" s="382">
        <v>16</v>
      </c>
      <c r="B74" s="687" t="s">
        <v>56</v>
      </c>
      <c r="C74" s="688" t="s">
        <v>653</v>
      </c>
      <c r="D74" s="386"/>
      <c r="E74" s="689">
        <v>12000</v>
      </c>
      <c r="F74" s="386"/>
    </row>
    <row r="75" spans="1:6" ht="32.25" customHeight="1" thickBot="1">
      <c r="A75" s="382">
        <v>17</v>
      </c>
      <c r="B75" s="687" t="s">
        <v>658</v>
      </c>
      <c r="C75" s="688" t="s">
        <v>653</v>
      </c>
      <c r="D75" s="689">
        <v>3000</v>
      </c>
      <c r="E75" s="386"/>
      <c r="F75" s="386"/>
    </row>
    <row r="76" spans="1:6" ht="48" customHeight="1" thickBot="1">
      <c r="A76" s="382">
        <v>18</v>
      </c>
      <c r="B76" s="687" t="s">
        <v>48</v>
      </c>
      <c r="C76" s="688" t="s">
        <v>653</v>
      </c>
      <c r="D76" s="386"/>
      <c r="E76" s="689">
        <v>6000</v>
      </c>
      <c r="F76" s="386"/>
    </row>
    <row r="77" spans="1:6" ht="48" customHeight="1" thickBot="1">
      <c r="A77" s="382">
        <v>19</v>
      </c>
      <c r="B77" s="687" t="s">
        <v>147</v>
      </c>
      <c r="C77" s="688" t="s">
        <v>653</v>
      </c>
      <c r="D77" s="386"/>
      <c r="E77" s="689">
        <v>3000</v>
      </c>
      <c r="F77" s="386"/>
    </row>
    <row r="78" spans="1:6" ht="48" customHeight="1" thickBot="1">
      <c r="A78" s="382">
        <v>20</v>
      </c>
      <c r="B78" s="687" t="s">
        <v>656</v>
      </c>
      <c r="C78" s="688" t="s">
        <v>653</v>
      </c>
      <c r="D78" s="689">
        <v>3000</v>
      </c>
      <c r="E78" s="386"/>
      <c r="F78" s="386"/>
    </row>
    <row r="79" spans="1:6" ht="32.25" customHeight="1" thickBot="1">
      <c r="A79" s="382">
        <v>21</v>
      </c>
      <c r="B79" s="687" t="s">
        <v>659</v>
      </c>
      <c r="C79" s="688" t="s">
        <v>653</v>
      </c>
      <c r="D79" s="689">
        <v>3000</v>
      </c>
      <c r="E79" s="386"/>
      <c r="F79" s="386"/>
    </row>
    <row r="80" spans="1:6" ht="32.25" customHeight="1" thickBot="1">
      <c r="A80" s="382">
        <v>22</v>
      </c>
      <c r="B80" s="687" t="s">
        <v>146</v>
      </c>
      <c r="C80" s="688" t="s">
        <v>653</v>
      </c>
      <c r="D80" s="386"/>
      <c r="E80" s="689">
        <v>3000</v>
      </c>
      <c r="F80" s="386"/>
    </row>
    <row r="81" spans="1:6" ht="32.25" customHeight="1" thickBot="1">
      <c r="A81" s="382">
        <v>23</v>
      </c>
      <c r="B81" s="687" t="s">
        <v>1316</v>
      </c>
      <c r="C81" s="688" t="s">
        <v>668</v>
      </c>
      <c r="D81" s="386"/>
      <c r="E81" s="689">
        <v>6000</v>
      </c>
      <c r="F81" s="386"/>
    </row>
    <row r="82" spans="1:6" ht="48" customHeight="1" thickBot="1">
      <c r="A82" s="382">
        <v>24</v>
      </c>
      <c r="B82" s="687" t="s">
        <v>672</v>
      </c>
      <c r="C82" s="688" t="s">
        <v>668</v>
      </c>
      <c r="D82" s="689">
        <v>6000</v>
      </c>
      <c r="E82" s="386"/>
      <c r="F82" s="386"/>
    </row>
    <row r="83" spans="1:6" ht="48" customHeight="1" thickBot="1">
      <c r="A83" s="382">
        <v>25</v>
      </c>
      <c r="B83" s="687" t="s">
        <v>671</v>
      </c>
      <c r="C83" s="688" t="s">
        <v>668</v>
      </c>
      <c r="D83" s="689">
        <v>6000</v>
      </c>
      <c r="E83" s="386"/>
      <c r="F83" s="386"/>
    </row>
    <row r="84" spans="1:6" ht="63.75" customHeight="1" thickBot="1">
      <c r="A84" s="382">
        <v>26</v>
      </c>
      <c r="B84" s="687" t="s">
        <v>25</v>
      </c>
      <c r="C84" s="688" t="s">
        <v>668</v>
      </c>
      <c r="D84" s="386"/>
      <c r="E84" s="689">
        <v>3000</v>
      </c>
      <c r="F84" s="386"/>
    </row>
    <row r="85" spans="1:6" ht="63.75" customHeight="1" thickBot="1">
      <c r="A85" s="746">
        <v>27</v>
      </c>
      <c r="B85" s="687" t="s">
        <v>262</v>
      </c>
      <c r="C85" s="688" t="s">
        <v>668</v>
      </c>
      <c r="D85" s="386"/>
      <c r="E85" s="689">
        <v>6000</v>
      </c>
      <c r="F85" s="386"/>
    </row>
    <row r="86" spans="1:6" ht="32.25" customHeight="1" thickBot="1">
      <c r="A86" s="746">
        <v>28</v>
      </c>
      <c r="B86" s="687" t="s">
        <v>29</v>
      </c>
      <c r="C86" s="688" t="s">
        <v>668</v>
      </c>
      <c r="D86" s="386"/>
      <c r="E86" s="689">
        <v>3000</v>
      </c>
      <c r="F86" s="386"/>
    </row>
    <row r="87" spans="1:6" ht="32.25" customHeight="1" thickBot="1">
      <c r="A87" s="746">
        <v>29</v>
      </c>
      <c r="B87" s="687" t="s">
        <v>149</v>
      </c>
      <c r="C87" s="688" t="s">
        <v>674</v>
      </c>
      <c r="D87" s="386"/>
      <c r="E87" s="689">
        <v>21000</v>
      </c>
      <c r="F87" s="386"/>
    </row>
    <row r="88" spans="1:6" ht="63.75" customHeight="1" thickBot="1">
      <c r="A88" s="746">
        <v>30</v>
      </c>
      <c r="B88" s="687" t="s">
        <v>150</v>
      </c>
      <c r="C88" s="688" t="s">
        <v>674</v>
      </c>
      <c r="D88" s="386"/>
      <c r="E88" s="689">
        <v>9000</v>
      </c>
      <c r="F88" s="386"/>
    </row>
    <row r="89" spans="1:6" ht="48" customHeight="1" thickBot="1">
      <c r="A89" s="746">
        <v>31</v>
      </c>
      <c r="B89" s="687" t="s">
        <v>675</v>
      </c>
      <c r="C89" s="688" t="s">
        <v>674</v>
      </c>
      <c r="D89" s="689">
        <v>3000</v>
      </c>
      <c r="E89" s="688"/>
      <c r="F89" s="386"/>
    </row>
    <row r="90" spans="1:6" ht="48" customHeight="1" thickBot="1">
      <c r="A90" s="746">
        <v>32</v>
      </c>
      <c r="B90" s="687" t="s">
        <v>1473</v>
      </c>
      <c r="C90" s="688" t="s">
        <v>674</v>
      </c>
      <c r="D90" s="386"/>
      <c r="E90" s="689">
        <v>3000</v>
      </c>
      <c r="F90" s="386"/>
    </row>
    <row r="91" spans="1:6" ht="32.25" customHeight="1" thickBot="1">
      <c r="A91" s="746">
        <v>33</v>
      </c>
      <c r="B91" s="687" t="s">
        <v>778</v>
      </c>
      <c r="C91" s="688" t="s">
        <v>642</v>
      </c>
      <c r="D91" s="386"/>
      <c r="E91" s="689">
        <v>6000</v>
      </c>
      <c r="F91" s="386"/>
    </row>
    <row r="92" spans="1:6" ht="16.5" thickBot="1">
      <c r="A92" s="746">
        <v>34</v>
      </c>
      <c r="B92" s="687" t="s">
        <v>776</v>
      </c>
      <c r="C92" s="688" t="s">
        <v>642</v>
      </c>
      <c r="D92" s="386"/>
      <c r="E92" s="689">
        <v>6000</v>
      </c>
      <c r="F92" s="386"/>
    </row>
    <row r="93" spans="1:6" ht="16.5" thickBot="1">
      <c r="A93" s="401" t="s">
        <v>758</v>
      </c>
      <c r="B93" s="402"/>
      <c r="C93" s="687"/>
      <c r="D93" s="1147">
        <v>69000</v>
      </c>
      <c r="E93" s="1147">
        <v>153000</v>
      </c>
      <c r="F93" s="389"/>
    </row>
    <row r="94" spans="1:6" ht="17.25" customHeight="1" thickBot="1">
      <c r="A94" s="700" t="s">
        <v>864</v>
      </c>
      <c r="B94" s="701"/>
      <c r="C94" s="929"/>
      <c r="D94" s="1097">
        <v>222000</v>
      </c>
      <c r="E94" s="1098"/>
      <c r="F94" s="312"/>
    </row>
    <row r="95" spans="1:6">
      <c r="A95" s="244" t="s">
        <v>1951</v>
      </c>
    </row>
    <row r="96" spans="1:6">
      <c r="A96" s="244"/>
    </row>
    <row r="97" spans="1:1">
      <c r="A97" s="244"/>
    </row>
    <row r="98" spans="1:1">
      <c r="A98" s="244"/>
    </row>
    <row r="99" spans="1:1">
      <c r="A99" s="244"/>
    </row>
    <row r="100" spans="1:1">
      <c r="A100" s="244"/>
    </row>
    <row r="101" spans="1:1">
      <c r="A101" s="244"/>
    </row>
    <row r="102" spans="1:1">
      <c r="A102" s="244"/>
    </row>
    <row r="103" spans="1:1">
      <c r="A103" s="244"/>
    </row>
    <row r="104" spans="1:1">
      <c r="A104" s="244"/>
    </row>
    <row r="105" spans="1:1">
      <c r="A105" s="244"/>
    </row>
    <row r="106" spans="1:1">
      <c r="A106" s="244"/>
    </row>
    <row r="107" spans="1:1">
      <c r="A107" s="244"/>
    </row>
    <row r="108" spans="1:1">
      <c r="A108" s="244"/>
    </row>
    <row r="109" spans="1:1">
      <c r="A109" s="244"/>
    </row>
    <row r="110" spans="1:1">
      <c r="A110" s="244"/>
    </row>
    <row r="111" spans="1:1">
      <c r="A111" s="244"/>
    </row>
    <row r="112" spans="1:1">
      <c r="A112" s="244"/>
    </row>
    <row r="113" spans="1:1">
      <c r="A113" s="244"/>
    </row>
    <row r="114" spans="1:1">
      <c r="A114" s="244"/>
    </row>
    <row r="115" spans="1:1">
      <c r="A115" s="244"/>
    </row>
    <row r="116" spans="1:1">
      <c r="A116" s="284"/>
    </row>
    <row r="117" spans="1:1">
      <c r="A117" s="284"/>
    </row>
    <row r="118" spans="1:1">
      <c r="A118" s="284"/>
    </row>
    <row r="119" spans="1:1">
      <c r="A119" s="284"/>
    </row>
    <row r="120" spans="1:1">
      <c r="A120" s="284"/>
    </row>
    <row r="121" spans="1:1">
      <c r="A121" s="284"/>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146"/>
  <sheetViews>
    <sheetView topLeftCell="A70" workbookViewId="0">
      <selection activeCell="F24" sqref="F24"/>
    </sheetView>
  </sheetViews>
  <sheetFormatPr defaultRowHeight="15"/>
  <cols>
    <col min="2" max="2" width="39.85546875" customWidth="1"/>
  </cols>
  <sheetData>
    <row r="1" spans="1:6" ht="15.75">
      <c r="A1" s="205" t="s">
        <v>868</v>
      </c>
    </row>
    <row r="2" spans="1:6" ht="15.75">
      <c r="A2" s="205"/>
    </row>
    <row r="3" spans="1:6">
      <c r="A3" s="686" t="s">
        <v>1648</v>
      </c>
    </row>
    <row r="4" spans="1:6" ht="16.5" thickBot="1">
      <c r="A4" s="232" t="s">
        <v>1952</v>
      </c>
    </row>
    <row r="5" spans="1:6" ht="28.5" customHeight="1" thickBot="1">
      <c r="A5" s="939" t="s">
        <v>0</v>
      </c>
      <c r="B5" s="939" t="s">
        <v>121</v>
      </c>
      <c r="C5" s="939" t="s">
        <v>632</v>
      </c>
      <c r="D5" s="941" t="s">
        <v>894</v>
      </c>
      <c r="E5" s="942"/>
      <c r="F5" s="939" t="s">
        <v>699</v>
      </c>
    </row>
    <row r="6" spans="1:6" ht="15.75" thickBot="1">
      <c r="A6" s="943"/>
      <c r="B6" s="943"/>
      <c r="C6" s="943"/>
      <c r="D6" s="940" t="s">
        <v>828</v>
      </c>
      <c r="E6" s="940" t="s">
        <v>829</v>
      </c>
      <c r="F6" s="943"/>
    </row>
    <row r="7" spans="1:6" ht="16.5" thickBot="1">
      <c r="A7" s="382">
        <v>1</v>
      </c>
      <c r="B7" s="687" t="s">
        <v>39</v>
      </c>
      <c r="C7" s="687" t="s">
        <v>668</v>
      </c>
      <c r="D7" s="386"/>
      <c r="E7" s="689">
        <v>175000</v>
      </c>
      <c r="F7" s="386"/>
    </row>
    <row r="8" spans="1:6" ht="48" customHeight="1" thickBot="1">
      <c r="A8" s="382">
        <v>2</v>
      </c>
      <c r="B8" s="687" t="s">
        <v>213</v>
      </c>
      <c r="C8" s="687" t="s">
        <v>668</v>
      </c>
      <c r="D8" s="386"/>
      <c r="E8" s="689">
        <v>30000</v>
      </c>
      <c r="F8" s="386"/>
    </row>
    <row r="9" spans="1:6" ht="63.75" customHeight="1" thickBot="1">
      <c r="A9" s="382">
        <v>3</v>
      </c>
      <c r="B9" s="687" t="s">
        <v>435</v>
      </c>
      <c r="C9" s="687" t="s">
        <v>668</v>
      </c>
      <c r="D9" s="386"/>
      <c r="E9" s="689">
        <v>30000</v>
      </c>
      <c r="F9" s="386"/>
    </row>
    <row r="10" spans="1:6" ht="32.25" customHeight="1" thickBot="1">
      <c r="A10" s="382">
        <v>4</v>
      </c>
      <c r="B10" s="687" t="s">
        <v>1316</v>
      </c>
      <c r="C10" s="687" t="s">
        <v>668</v>
      </c>
      <c r="D10" s="386"/>
      <c r="E10" s="689">
        <v>90000</v>
      </c>
      <c r="F10" s="386"/>
    </row>
    <row r="11" spans="1:6" ht="48" customHeight="1" thickBot="1">
      <c r="A11" s="382">
        <v>5</v>
      </c>
      <c r="B11" s="687" t="s">
        <v>655</v>
      </c>
      <c r="C11" s="687" t="s">
        <v>653</v>
      </c>
      <c r="D11" s="689">
        <v>55000</v>
      </c>
      <c r="E11" s="386"/>
      <c r="F11" s="386"/>
    </row>
    <row r="12" spans="1:6" ht="48" customHeight="1" thickBot="1">
      <c r="A12" s="382">
        <v>6</v>
      </c>
      <c r="B12" s="687" t="s">
        <v>48</v>
      </c>
      <c r="C12" s="687" t="s">
        <v>653</v>
      </c>
      <c r="D12" s="386"/>
      <c r="E12" s="689">
        <v>55000</v>
      </c>
      <c r="F12" s="386"/>
    </row>
    <row r="13" spans="1:6" ht="48" customHeight="1" thickBot="1">
      <c r="A13" s="382">
        <v>7</v>
      </c>
      <c r="B13" s="687" t="s">
        <v>52</v>
      </c>
      <c r="C13" s="687" t="s">
        <v>653</v>
      </c>
      <c r="D13" s="386"/>
      <c r="E13" s="689">
        <v>30000</v>
      </c>
      <c r="F13" s="386"/>
    </row>
    <row r="14" spans="1:6" ht="48" customHeight="1" thickBot="1">
      <c r="A14" s="382">
        <v>8</v>
      </c>
      <c r="B14" s="687" t="s">
        <v>46</v>
      </c>
      <c r="C14" s="687" t="s">
        <v>653</v>
      </c>
      <c r="D14" s="386"/>
      <c r="E14" s="689">
        <v>30000</v>
      </c>
      <c r="F14" s="386"/>
    </row>
    <row r="15" spans="1:6" ht="48" customHeight="1" thickBot="1">
      <c r="A15" s="382">
        <v>9</v>
      </c>
      <c r="B15" s="687" t="s">
        <v>138</v>
      </c>
      <c r="C15" s="687" t="s">
        <v>653</v>
      </c>
      <c r="D15" s="386"/>
      <c r="E15" s="689">
        <v>55000</v>
      </c>
      <c r="F15" s="386"/>
    </row>
    <row r="16" spans="1:6" ht="48" customHeight="1" thickBot="1">
      <c r="A16" s="382">
        <v>10</v>
      </c>
      <c r="B16" s="687" t="s">
        <v>743</v>
      </c>
      <c r="C16" s="687" t="s">
        <v>653</v>
      </c>
      <c r="D16" s="689">
        <v>80000</v>
      </c>
      <c r="E16" s="386"/>
      <c r="F16" s="386"/>
    </row>
    <row r="17" spans="1:6" ht="48" customHeight="1" thickBot="1">
      <c r="A17" s="382">
        <v>11</v>
      </c>
      <c r="B17" s="687" t="s">
        <v>65</v>
      </c>
      <c r="C17" s="687" t="s">
        <v>646</v>
      </c>
      <c r="D17" s="386"/>
      <c r="E17" s="689">
        <v>75000</v>
      </c>
      <c r="F17" s="386"/>
    </row>
    <row r="18" spans="1:6" ht="48" customHeight="1" thickBot="1">
      <c r="A18" s="382">
        <v>12</v>
      </c>
      <c r="B18" s="687" t="s">
        <v>1473</v>
      </c>
      <c r="C18" s="687" t="s">
        <v>674</v>
      </c>
      <c r="D18" s="386"/>
      <c r="E18" s="689">
        <v>90000</v>
      </c>
      <c r="F18" s="386"/>
    </row>
    <row r="19" spans="1:6" ht="32.25" customHeight="1" thickBot="1">
      <c r="A19" s="382">
        <v>13</v>
      </c>
      <c r="B19" s="687" t="s">
        <v>742</v>
      </c>
      <c r="C19" s="687" t="s">
        <v>674</v>
      </c>
      <c r="D19" s="689">
        <v>145000</v>
      </c>
      <c r="E19" s="386"/>
      <c r="F19" s="386"/>
    </row>
    <row r="20" spans="1:6" ht="48" customHeight="1" thickBot="1">
      <c r="A20" s="382">
        <v>14</v>
      </c>
      <c r="B20" s="687" t="s">
        <v>27</v>
      </c>
      <c r="C20" s="687" t="s">
        <v>649</v>
      </c>
      <c r="D20" s="386"/>
      <c r="E20" s="689">
        <v>15000</v>
      </c>
      <c r="F20" s="386"/>
    </row>
    <row r="21" spans="1:6" ht="48" customHeight="1" thickBot="1">
      <c r="A21" s="382">
        <v>15</v>
      </c>
      <c r="B21" s="687" t="s">
        <v>684</v>
      </c>
      <c r="C21" s="687" t="s">
        <v>649</v>
      </c>
      <c r="D21" s="689">
        <v>105000</v>
      </c>
      <c r="E21" s="386"/>
      <c r="F21" s="386"/>
    </row>
    <row r="22" spans="1:6" ht="48" customHeight="1" thickBot="1">
      <c r="A22" s="382">
        <v>16</v>
      </c>
      <c r="B22" s="687" t="s">
        <v>685</v>
      </c>
      <c r="C22" s="687" t="s">
        <v>649</v>
      </c>
      <c r="D22" s="689">
        <v>60000</v>
      </c>
      <c r="E22" s="386"/>
      <c r="F22" s="386"/>
    </row>
    <row r="23" spans="1:6" ht="48" customHeight="1" thickBot="1">
      <c r="A23" s="382">
        <v>17</v>
      </c>
      <c r="B23" s="687" t="s">
        <v>686</v>
      </c>
      <c r="C23" s="687" t="s">
        <v>649</v>
      </c>
      <c r="D23" s="689">
        <v>90000</v>
      </c>
      <c r="E23" s="386"/>
      <c r="F23" s="386"/>
    </row>
    <row r="24" spans="1:6" ht="48" customHeight="1" thickBot="1">
      <c r="A24" s="382">
        <v>18</v>
      </c>
      <c r="B24" s="687" t="s">
        <v>187</v>
      </c>
      <c r="C24" s="687" t="s">
        <v>649</v>
      </c>
      <c r="D24" s="386"/>
      <c r="E24" s="689">
        <v>162500</v>
      </c>
      <c r="F24" s="386"/>
    </row>
    <row r="25" spans="1:6" ht="32.25" customHeight="1" thickBot="1">
      <c r="A25" s="382">
        <v>19</v>
      </c>
      <c r="B25" s="687" t="s">
        <v>152</v>
      </c>
      <c r="C25" s="687" t="s">
        <v>649</v>
      </c>
      <c r="D25" s="386"/>
      <c r="E25" s="689">
        <v>85000</v>
      </c>
      <c r="F25" s="386"/>
    </row>
    <row r="26" spans="1:6" ht="32.25" customHeight="1" thickBot="1">
      <c r="A26" s="382">
        <v>20</v>
      </c>
      <c r="B26" s="687" t="s">
        <v>91</v>
      </c>
      <c r="C26" s="687" t="s">
        <v>650</v>
      </c>
      <c r="D26" s="386"/>
      <c r="E26" s="689">
        <v>35000</v>
      </c>
      <c r="F26" s="386"/>
    </row>
    <row r="27" spans="1:6" ht="32.25" customHeight="1" thickBot="1">
      <c r="A27" s="382">
        <v>21</v>
      </c>
      <c r="B27" s="687" t="s">
        <v>688</v>
      </c>
      <c r="C27" s="687" t="s">
        <v>650</v>
      </c>
      <c r="D27" s="689">
        <v>70000</v>
      </c>
      <c r="E27" s="386"/>
      <c r="F27" s="386"/>
    </row>
    <row r="28" spans="1:6" ht="48" customHeight="1" thickBot="1">
      <c r="A28" s="382">
        <v>22</v>
      </c>
      <c r="B28" s="687" t="s">
        <v>727</v>
      </c>
      <c r="C28" s="687" t="s">
        <v>650</v>
      </c>
      <c r="D28" s="689">
        <v>57500</v>
      </c>
      <c r="E28" s="386"/>
      <c r="F28" s="386"/>
    </row>
    <row r="29" spans="1:6" ht="48" customHeight="1" thickBot="1">
      <c r="A29" s="382">
        <v>23</v>
      </c>
      <c r="B29" s="687" t="s">
        <v>715</v>
      </c>
      <c r="C29" s="687" t="s">
        <v>642</v>
      </c>
      <c r="D29" s="689">
        <v>55000</v>
      </c>
      <c r="E29" s="386"/>
      <c r="F29" s="386"/>
    </row>
    <row r="30" spans="1:6" ht="48" customHeight="1" thickBot="1">
      <c r="A30" s="382">
        <v>24</v>
      </c>
      <c r="B30" s="687" t="s">
        <v>106</v>
      </c>
      <c r="C30" s="687" t="s">
        <v>636</v>
      </c>
      <c r="D30" s="386"/>
      <c r="E30" s="689">
        <v>85000</v>
      </c>
      <c r="F30" s="386"/>
    </row>
    <row r="31" spans="1:6" ht="48" customHeight="1" thickBot="1">
      <c r="A31" s="382">
        <v>25</v>
      </c>
      <c r="B31" s="687" t="s">
        <v>640</v>
      </c>
      <c r="C31" s="687" t="s">
        <v>636</v>
      </c>
      <c r="D31" s="689">
        <v>45000</v>
      </c>
      <c r="E31" s="386"/>
      <c r="F31" s="386"/>
    </row>
    <row r="32" spans="1:6" ht="48" customHeight="1" thickBot="1">
      <c r="A32" s="382">
        <v>26</v>
      </c>
      <c r="B32" s="687" t="s">
        <v>96</v>
      </c>
      <c r="C32" s="687" t="s">
        <v>636</v>
      </c>
      <c r="D32" s="386"/>
      <c r="E32" s="689">
        <v>200000</v>
      </c>
      <c r="F32" s="386"/>
    </row>
    <row r="33" spans="1:6" ht="48" customHeight="1" thickBot="1">
      <c r="A33" s="746">
        <v>27</v>
      </c>
      <c r="B33" s="687" t="s">
        <v>641</v>
      </c>
      <c r="C33" s="687" t="s">
        <v>636</v>
      </c>
      <c r="D33" s="689">
        <v>130000</v>
      </c>
      <c r="E33" s="387"/>
      <c r="F33" s="386"/>
    </row>
    <row r="34" spans="1:6" ht="32.25" customHeight="1" thickBot="1">
      <c r="A34" s="746">
        <v>28</v>
      </c>
      <c r="B34" s="687" t="s">
        <v>744</v>
      </c>
      <c r="C34" s="687" t="s">
        <v>636</v>
      </c>
      <c r="D34" s="689">
        <v>275000</v>
      </c>
      <c r="E34" s="386"/>
      <c r="F34" s="386"/>
    </row>
    <row r="35" spans="1:6" ht="63.75" customHeight="1" thickBot="1">
      <c r="A35" s="746">
        <v>29</v>
      </c>
      <c r="B35" s="687" t="s">
        <v>154</v>
      </c>
      <c r="C35" s="687" t="s">
        <v>636</v>
      </c>
      <c r="D35" s="386"/>
      <c r="E35" s="689">
        <v>190000</v>
      </c>
      <c r="F35" s="386"/>
    </row>
    <row r="36" spans="1:6" ht="32.25" customHeight="1" thickBot="1">
      <c r="A36" s="746">
        <v>30</v>
      </c>
      <c r="B36" s="687" t="s">
        <v>745</v>
      </c>
      <c r="C36" s="687" t="s">
        <v>746</v>
      </c>
      <c r="D36" s="689">
        <v>15000</v>
      </c>
      <c r="E36" s="386"/>
      <c r="F36" s="386"/>
    </row>
    <row r="37" spans="1:6" ht="63.75" customHeight="1" thickBot="1">
      <c r="A37" s="746">
        <v>31</v>
      </c>
      <c r="B37" s="687" t="s">
        <v>662</v>
      </c>
      <c r="C37" s="687" t="s">
        <v>746</v>
      </c>
      <c r="D37" s="689">
        <v>50000</v>
      </c>
      <c r="E37" s="386"/>
      <c r="F37" s="386"/>
    </row>
    <row r="38" spans="1:6" ht="63.75" customHeight="1" thickBot="1">
      <c r="A38" s="746">
        <v>32</v>
      </c>
      <c r="B38" s="687" t="s">
        <v>748</v>
      </c>
      <c r="C38" s="687" t="s">
        <v>746</v>
      </c>
      <c r="D38" s="689">
        <v>40000</v>
      </c>
      <c r="E38" s="386"/>
      <c r="F38" s="386"/>
    </row>
    <row r="39" spans="1:6" ht="16.5" thickBot="1">
      <c r="A39" s="746">
        <v>33</v>
      </c>
      <c r="B39" s="687" t="s">
        <v>144</v>
      </c>
      <c r="C39" s="687" t="s">
        <v>1224</v>
      </c>
      <c r="D39" s="386"/>
      <c r="E39" s="689">
        <v>47500</v>
      </c>
      <c r="F39" s="386"/>
    </row>
    <row r="40" spans="1:6" ht="16.5" thickBot="1">
      <c r="A40" s="401" t="s">
        <v>758</v>
      </c>
      <c r="B40" s="402"/>
      <c r="C40" s="336"/>
      <c r="D40" s="388">
        <v>1272500</v>
      </c>
      <c r="E40" s="388">
        <v>1480000</v>
      </c>
      <c r="F40" s="389"/>
    </row>
    <row r="41" spans="1:6" ht="16.5" customHeight="1" thickBot="1">
      <c r="A41" s="401" t="s">
        <v>864</v>
      </c>
      <c r="B41" s="402"/>
      <c r="C41" s="336"/>
      <c r="D41" s="403">
        <v>2752500</v>
      </c>
      <c r="E41" s="404"/>
      <c r="F41" s="390"/>
    </row>
    <row r="42" spans="1:6">
      <c r="A42" s="244" t="s">
        <v>1953</v>
      </c>
    </row>
    <row r="43" spans="1:6">
      <c r="A43" s="284"/>
    </row>
    <row r="44" spans="1:6">
      <c r="A44" s="284"/>
    </row>
    <row r="45" spans="1:6">
      <c r="A45" s="284"/>
    </row>
    <row r="46" spans="1:6">
      <c r="A46" s="284"/>
    </row>
    <row r="47" spans="1:6" ht="16.5">
      <c r="A47" s="246"/>
      <c r="B47" s="248"/>
    </row>
    <row r="48" spans="1:6" ht="15.75">
      <c r="A48" s="205" t="s">
        <v>1649</v>
      </c>
    </row>
    <row r="49" spans="1:5" ht="15.75">
      <c r="A49" s="205"/>
    </row>
    <row r="50" spans="1:5">
      <c r="A50" s="686" t="s">
        <v>1650</v>
      </c>
    </row>
    <row r="51" spans="1:5" ht="15.75">
      <c r="A51" s="232" t="s">
        <v>1954</v>
      </c>
    </row>
    <row r="52" spans="1:5" ht="16.5" thickBot="1">
      <c r="A52" s="232"/>
    </row>
    <row r="53" spans="1:5" ht="43.5" thickBot="1">
      <c r="A53" s="1004" t="s">
        <v>0</v>
      </c>
      <c r="B53" s="1005" t="s">
        <v>121</v>
      </c>
      <c r="C53" s="1005" t="s">
        <v>632</v>
      </c>
      <c r="D53" s="1005" t="s">
        <v>894</v>
      </c>
      <c r="E53" s="1005" t="s">
        <v>699</v>
      </c>
    </row>
    <row r="54" spans="1:5" ht="48" thickBot="1">
      <c r="A54" s="382">
        <v>1</v>
      </c>
      <c r="B54" s="687" t="s">
        <v>1515</v>
      </c>
      <c r="C54" s="688" t="s">
        <v>1171</v>
      </c>
      <c r="D54" s="689">
        <v>10000</v>
      </c>
      <c r="E54" s="687"/>
    </row>
    <row r="55" spans="1:5" ht="32.25" thickBot="1">
      <c r="A55" s="382">
        <v>2</v>
      </c>
      <c r="B55" s="687" t="s">
        <v>1194</v>
      </c>
      <c r="C55" s="688" t="s">
        <v>1182</v>
      </c>
      <c r="D55" s="689">
        <v>15000</v>
      </c>
      <c r="E55" s="687"/>
    </row>
    <row r="56" spans="1:5" ht="48" customHeight="1" thickBot="1">
      <c r="A56" s="382">
        <v>3</v>
      </c>
      <c r="B56" s="687" t="s">
        <v>860</v>
      </c>
      <c r="C56" s="688" t="s">
        <v>1182</v>
      </c>
      <c r="D56" s="689">
        <v>10000</v>
      </c>
      <c r="E56" s="687"/>
    </row>
    <row r="57" spans="1:5" ht="48" customHeight="1" thickBot="1">
      <c r="A57" s="382">
        <v>4</v>
      </c>
      <c r="B57" s="687" t="s">
        <v>1415</v>
      </c>
      <c r="C57" s="688" t="s">
        <v>1182</v>
      </c>
      <c r="D57" s="689">
        <v>10000</v>
      </c>
      <c r="E57" s="687"/>
    </row>
    <row r="58" spans="1:5" ht="48" customHeight="1" thickBot="1">
      <c r="A58" s="382">
        <v>5</v>
      </c>
      <c r="B58" s="687" t="s">
        <v>879</v>
      </c>
      <c r="C58" s="688" t="s">
        <v>1198</v>
      </c>
      <c r="D58" s="689">
        <v>10000</v>
      </c>
      <c r="E58" s="687"/>
    </row>
    <row r="59" spans="1:5" ht="32.25" thickBot="1">
      <c r="A59" s="382">
        <v>6</v>
      </c>
      <c r="B59" s="687" t="s">
        <v>1205</v>
      </c>
      <c r="C59" s="688" t="s">
        <v>1198</v>
      </c>
      <c r="D59" s="689">
        <v>10000</v>
      </c>
      <c r="E59" s="687"/>
    </row>
    <row r="60" spans="1:5" ht="16.5" thickBot="1">
      <c r="A60" s="401" t="s">
        <v>758</v>
      </c>
      <c r="B60" s="402"/>
      <c r="C60" s="336"/>
      <c r="D60" s="388">
        <v>65000</v>
      </c>
      <c r="E60" s="389"/>
    </row>
    <row r="61" spans="1:5">
      <c r="A61" s="244" t="s">
        <v>1955</v>
      </c>
    </row>
    <row r="62" spans="1:5">
      <c r="A62" s="284"/>
    </row>
    <row r="63" spans="1:5">
      <c r="A63" s="284"/>
    </row>
    <row r="64" spans="1:5">
      <c r="A64" s="284"/>
    </row>
    <row r="65" spans="1:6" ht="16.5">
      <c r="A65" s="246"/>
      <c r="B65" s="248"/>
    </row>
    <row r="66" spans="1:6" ht="15.75">
      <c r="A66" s="205" t="s">
        <v>696</v>
      </c>
    </row>
    <row r="67" spans="1:6" ht="15.75">
      <c r="A67" s="205"/>
    </row>
    <row r="68" spans="1:6">
      <c r="A68" s="686" t="s">
        <v>1212</v>
      </c>
    </row>
    <row r="69" spans="1:6" ht="16.5" thickBot="1">
      <c r="A69" s="232" t="s">
        <v>1956</v>
      </c>
    </row>
    <row r="70" spans="1:6" ht="28.5" customHeight="1" thickBot="1">
      <c r="A70" s="939" t="s">
        <v>0</v>
      </c>
      <c r="B70" s="939" t="s">
        <v>121</v>
      </c>
      <c r="C70" s="939" t="s">
        <v>632</v>
      </c>
      <c r="D70" s="941" t="s">
        <v>894</v>
      </c>
      <c r="E70" s="942"/>
      <c r="F70" s="939" t="s">
        <v>699</v>
      </c>
    </row>
    <row r="71" spans="1:6" ht="15.75" thickBot="1">
      <c r="A71" s="943"/>
      <c r="B71" s="943"/>
      <c r="C71" s="943"/>
      <c r="D71" s="940" t="s">
        <v>828</v>
      </c>
      <c r="E71" s="940" t="s">
        <v>829</v>
      </c>
      <c r="F71" s="943"/>
    </row>
    <row r="72" spans="1:6" ht="16.5" hidden="1" thickBot="1">
      <c r="A72" s="382">
        <v>1</v>
      </c>
      <c r="B72" s="383" t="s">
        <v>640</v>
      </c>
      <c r="C72" s="384" t="s">
        <v>636</v>
      </c>
      <c r="D72" s="313">
        <v>3000</v>
      </c>
      <c r="E72" s="386"/>
      <c r="F72" s="386"/>
    </row>
    <row r="73" spans="1:6" ht="30.75" hidden="1" customHeight="1" thickBot="1">
      <c r="A73" s="382">
        <v>2</v>
      </c>
      <c r="B73" s="383" t="s">
        <v>744</v>
      </c>
      <c r="C73" s="384" t="s">
        <v>636</v>
      </c>
      <c r="D73" s="313">
        <v>9000</v>
      </c>
      <c r="E73" s="386"/>
      <c r="F73" s="386"/>
    </row>
    <row r="74" spans="1:6" ht="45.75" customHeight="1" thickBot="1">
      <c r="A74" s="382">
        <v>3</v>
      </c>
      <c r="B74" s="383" t="s">
        <v>781</v>
      </c>
      <c r="C74" s="384" t="s">
        <v>636</v>
      </c>
      <c r="D74" s="312"/>
      <c r="E74" s="349">
        <v>6000</v>
      </c>
      <c r="F74" s="386"/>
    </row>
    <row r="75" spans="1:6" ht="45.75" hidden="1" customHeight="1" thickBot="1">
      <c r="A75" s="382">
        <v>4</v>
      </c>
      <c r="B75" s="383" t="s">
        <v>641</v>
      </c>
      <c r="C75" s="384" t="s">
        <v>636</v>
      </c>
      <c r="D75" s="313">
        <v>10000</v>
      </c>
      <c r="E75" s="386"/>
      <c r="F75" s="386"/>
    </row>
    <row r="76" spans="1:6" ht="30.75" customHeight="1" thickBot="1">
      <c r="A76" s="382">
        <v>5</v>
      </c>
      <c r="B76" s="383" t="s">
        <v>778</v>
      </c>
      <c r="C76" s="384" t="s">
        <v>642</v>
      </c>
      <c r="D76" s="312"/>
      <c r="E76" s="349">
        <v>6000</v>
      </c>
      <c r="F76" s="386"/>
    </row>
    <row r="77" spans="1:6" ht="45.75" customHeight="1" thickBot="1">
      <c r="A77" s="382">
        <v>6</v>
      </c>
      <c r="B77" s="383" t="s">
        <v>776</v>
      </c>
      <c r="C77" s="384" t="s">
        <v>642</v>
      </c>
      <c r="D77" s="312"/>
      <c r="E77" s="349">
        <v>15000</v>
      </c>
      <c r="F77" s="386"/>
    </row>
    <row r="78" spans="1:6" ht="45.75" customHeight="1" thickBot="1">
      <c r="A78" s="1154">
        <v>7</v>
      </c>
      <c r="B78" s="1148" t="s">
        <v>1935</v>
      </c>
      <c r="C78" s="1151" t="s">
        <v>642</v>
      </c>
      <c r="D78" s="1155"/>
      <c r="E78" s="1153">
        <v>9000</v>
      </c>
      <c r="F78" s="1156"/>
    </row>
    <row r="79" spans="1:6" ht="45.75" customHeight="1" thickBot="1">
      <c r="A79" s="382">
        <v>8</v>
      </c>
      <c r="B79" s="383" t="s">
        <v>1434</v>
      </c>
      <c r="C79" s="384" t="s">
        <v>646</v>
      </c>
      <c r="D79" s="312"/>
      <c r="E79" s="349">
        <v>6000</v>
      </c>
      <c r="F79" s="386"/>
    </row>
    <row r="80" spans="1:6" ht="45.75" hidden="1" customHeight="1" thickBot="1">
      <c r="A80" s="382">
        <v>9</v>
      </c>
      <c r="B80" s="383" t="s">
        <v>686</v>
      </c>
      <c r="C80" s="384" t="s">
        <v>649</v>
      </c>
      <c r="D80" s="313">
        <v>15000</v>
      </c>
      <c r="E80" s="386"/>
      <c r="F80" s="386"/>
    </row>
    <row r="81" spans="1:6" ht="45.75" hidden="1" customHeight="1" thickBot="1">
      <c r="A81" s="382">
        <v>10</v>
      </c>
      <c r="B81" s="383" t="s">
        <v>81</v>
      </c>
      <c r="C81" s="384" t="s">
        <v>649</v>
      </c>
      <c r="D81" s="312"/>
      <c r="E81" s="313">
        <v>3000</v>
      </c>
      <c r="F81" s="386"/>
    </row>
    <row r="82" spans="1:6" ht="45.75" hidden="1" customHeight="1" thickBot="1">
      <c r="A82" s="382">
        <v>11</v>
      </c>
      <c r="B82" s="383" t="s">
        <v>685</v>
      </c>
      <c r="C82" s="384" t="s">
        <v>649</v>
      </c>
      <c r="D82" s="313">
        <v>6000</v>
      </c>
      <c r="E82" s="386"/>
      <c r="F82" s="386"/>
    </row>
    <row r="83" spans="1:6" ht="45.75" hidden="1" customHeight="1" thickBot="1">
      <c r="A83" s="382">
        <v>12</v>
      </c>
      <c r="B83" s="383" t="s">
        <v>187</v>
      </c>
      <c r="C83" s="384" t="s">
        <v>649</v>
      </c>
      <c r="D83" s="312"/>
      <c r="E83" s="313">
        <v>16000</v>
      </c>
      <c r="F83" s="386"/>
    </row>
    <row r="84" spans="1:6" ht="45.75" hidden="1" customHeight="1" thickBot="1">
      <c r="A84" s="382">
        <v>13</v>
      </c>
      <c r="B84" s="383" t="s">
        <v>684</v>
      </c>
      <c r="C84" s="384" t="s">
        <v>649</v>
      </c>
      <c r="D84" s="313">
        <v>6000</v>
      </c>
      <c r="E84" s="386"/>
      <c r="F84" s="386"/>
    </row>
    <row r="85" spans="1:6" ht="45.75" hidden="1" customHeight="1" thickBot="1">
      <c r="A85" s="382">
        <v>14</v>
      </c>
      <c r="B85" s="383" t="s">
        <v>205</v>
      </c>
      <c r="C85" s="384" t="s">
        <v>649</v>
      </c>
      <c r="D85" s="312"/>
      <c r="E85" s="313">
        <v>3000</v>
      </c>
      <c r="F85" s="386"/>
    </row>
    <row r="86" spans="1:6" ht="30.75" hidden="1" customHeight="1" thickBot="1">
      <c r="A86" s="382">
        <v>15</v>
      </c>
      <c r="B86" s="383" t="s">
        <v>152</v>
      </c>
      <c r="C86" s="384" t="s">
        <v>649</v>
      </c>
      <c r="D86" s="312"/>
      <c r="E86" s="313">
        <v>3000</v>
      </c>
      <c r="F86" s="386"/>
    </row>
    <row r="87" spans="1:6" ht="45.75" hidden="1" customHeight="1" thickBot="1">
      <c r="A87" s="382">
        <v>16</v>
      </c>
      <c r="B87" s="383" t="s">
        <v>27</v>
      </c>
      <c r="C87" s="384" t="s">
        <v>649</v>
      </c>
      <c r="D87" s="312"/>
      <c r="E87" s="313">
        <v>3000</v>
      </c>
      <c r="F87" s="386"/>
    </row>
    <row r="88" spans="1:6" ht="45.75" customHeight="1" thickBot="1">
      <c r="A88" s="382">
        <v>17</v>
      </c>
      <c r="B88" s="383" t="s">
        <v>831</v>
      </c>
      <c r="C88" s="384" t="s">
        <v>649</v>
      </c>
      <c r="D88" s="312"/>
      <c r="E88" s="349">
        <v>3000</v>
      </c>
      <c r="F88" s="386"/>
    </row>
    <row r="89" spans="1:6" ht="30.75" hidden="1" customHeight="1" thickBot="1">
      <c r="A89" s="382">
        <v>18</v>
      </c>
      <c r="B89" s="383" t="s">
        <v>1401</v>
      </c>
      <c r="C89" s="384" t="s">
        <v>650</v>
      </c>
      <c r="D89" s="313">
        <v>6000</v>
      </c>
      <c r="E89" s="386"/>
      <c r="F89" s="386"/>
    </row>
    <row r="90" spans="1:6" ht="30.75" hidden="1" customHeight="1" thickBot="1">
      <c r="A90" s="382">
        <v>19</v>
      </c>
      <c r="B90" s="383" t="s">
        <v>688</v>
      </c>
      <c r="C90" s="384" t="s">
        <v>650</v>
      </c>
      <c r="D90" s="313">
        <v>18000</v>
      </c>
      <c r="E90" s="386"/>
      <c r="F90" s="386"/>
    </row>
    <row r="91" spans="1:6" ht="30.75" hidden="1" customHeight="1" thickBot="1">
      <c r="A91" s="382">
        <v>20</v>
      </c>
      <c r="B91" s="383" t="s">
        <v>651</v>
      </c>
      <c r="C91" s="384" t="s">
        <v>650</v>
      </c>
      <c r="D91" s="313">
        <v>15000</v>
      </c>
      <c r="E91" s="386"/>
      <c r="F91" s="386"/>
    </row>
    <row r="92" spans="1:6" ht="30.75" hidden="1" customHeight="1" thickBot="1">
      <c r="A92" s="382">
        <v>21</v>
      </c>
      <c r="B92" s="383" t="s">
        <v>91</v>
      </c>
      <c r="C92" s="384" t="s">
        <v>650</v>
      </c>
      <c r="D92" s="312"/>
      <c r="E92" s="313">
        <v>3000</v>
      </c>
      <c r="F92" s="386"/>
    </row>
    <row r="93" spans="1:6" ht="60.75" hidden="1" customHeight="1" thickBot="1">
      <c r="A93" s="382">
        <v>22</v>
      </c>
      <c r="B93" s="383" t="s">
        <v>83</v>
      </c>
      <c r="C93" s="384" t="s">
        <v>650</v>
      </c>
      <c r="D93" s="312"/>
      <c r="E93" s="313">
        <v>3000</v>
      </c>
      <c r="F93" s="386"/>
    </row>
    <row r="94" spans="1:6" ht="30.75" customHeight="1" thickBot="1">
      <c r="A94" s="382">
        <v>23</v>
      </c>
      <c r="B94" s="383" t="s">
        <v>1950</v>
      </c>
      <c r="C94" s="384" t="s">
        <v>650</v>
      </c>
      <c r="D94" s="312"/>
      <c r="E94" s="349">
        <v>15000</v>
      </c>
      <c r="F94" s="386"/>
    </row>
    <row r="95" spans="1:6" ht="45.75" hidden="1" customHeight="1" thickBot="1">
      <c r="A95" s="382">
        <v>24</v>
      </c>
      <c r="B95" s="383" t="s">
        <v>46</v>
      </c>
      <c r="C95" s="384" t="s">
        <v>653</v>
      </c>
      <c r="D95" s="312"/>
      <c r="E95" s="313">
        <v>6000</v>
      </c>
      <c r="F95" s="386"/>
    </row>
    <row r="96" spans="1:6" ht="30.75" hidden="1" customHeight="1" thickBot="1">
      <c r="A96" s="382">
        <v>25</v>
      </c>
      <c r="B96" s="383" t="s">
        <v>655</v>
      </c>
      <c r="C96" s="384" t="s">
        <v>653</v>
      </c>
      <c r="D96" s="313">
        <v>9000</v>
      </c>
      <c r="E96" s="386"/>
      <c r="F96" s="386"/>
    </row>
    <row r="97" spans="1:6" ht="45.75" hidden="1" customHeight="1" thickBot="1">
      <c r="A97" s="382">
        <v>26</v>
      </c>
      <c r="B97" s="383" t="s">
        <v>138</v>
      </c>
      <c r="C97" s="384" t="s">
        <v>653</v>
      </c>
      <c r="D97" s="312"/>
      <c r="E97" s="313">
        <v>6000</v>
      </c>
      <c r="F97" s="386"/>
    </row>
    <row r="98" spans="1:6" ht="30.75" hidden="1" customHeight="1" thickBot="1">
      <c r="A98" s="746">
        <v>27</v>
      </c>
      <c r="B98" s="383" t="s">
        <v>213</v>
      </c>
      <c r="C98" s="384" t="s">
        <v>668</v>
      </c>
      <c r="D98" s="312"/>
      <c r="E98" s="313">
        <v>3000</v>
      </c>
      <c r="F98" s="386"/>
    </row>
    <row r="99" spans="1:6" ht="45.75" hidden="1" customHeight="1" thickBot="1">
      <c r="A99" s="746">
        <v>28</v>
      </c>
      <c r="B99" s="383" t="s">
        <v>672</v>
      </c>
      <c r="C99" s="384" t="s">
        <v>668</v>
      </c>
      <c r="D99" s="313">
        <v>3000</v>
      </c>
      <c r="E99" s="386"/>
      <c r="F99" s="386"/>
    </row>
    <row r="100" spans="1:6" ht="45.75" hidden="1" customHeight="1" thickBot="1">
      <c r="A100" s="746">
        <v>29</v>
      </c>
      <c r="B100" s="383" t="s">
        <v>669</v>
      </c>
      <c r="C100" s="384" t="s">
        <v>668</v>
      </c>
      <c r="D100" s="313">
        <v>63000</v>
      </c>
      <c r="E100" s="386"/>
      <c r="F100" s="386"/>
    </row>
    <row r="101" spans="1:6" ht="45.75" hidden="1" customHeight="1" thickBot="1">
      <c r="A101" s="746">
        <v>30</v>
      </c>
      <c r="B101" s="383" t="s">
        <v>39</v>
      </c>
      <c r="C101" s="384" t="s">
        <v>668</v>
      </c>
      <c r="D101" s="312"/>
      <c r="E101" s="313">
        <v>3000</v>
      </c>
      <c r="F101" s="386"/>
    </row>
    <row r="102" spans="1:6" ht="60.75" hidden="1" customHeight="1" thickBot="1">
      <c r="A102" s="746">
        <v>31</v>
      </c>
      <c r="B102" s="383" t="s">
        <v>25</v>
      </c>
      <c r="C102" s="384" t="s">
        <v>668</v>
      </c>
      <c r="D102" s="312"/>
      <c r="E102" s="313">
        <v>3000</v>
      </c>
      <c r="F102" s="386"/>
    </row>
    <row r="103" spans="1:6" ht="30.75" hidden="1" customHeight="1" thickBot="1">
      <c r="A103" s="746">
        <v>32</v>
      </c>
      <c r="B103" s="383" t="s">
        <v>693</v>
      </c>
      <c r="C103" s="384" t="s">
        <v>668</v>
      </c>
      <c r="D103" s="313">
        <v>3000</v>
      </c>
      <c r="E103" s="386"/>
      <c r="F103" s="386"/>
    </row>
    <row r="104" spans="1:6" ht="60.75" hidden="1" customHeight="1" thickBot="1">
      <c r="A104" s="746">
        <v>33</v>
      </c>
      <c r="B104" s="383" t="s">
        <v>435</v>
      </c>
      <c r="C104" s="384" t="s">
        <v>668</v>
      </c>
      <c r="D104" s="312"/>
      <c r="E104" s="313">
        <v>3000</v>
      </c>
      <c r="F104" s="386"/>
    </row>
    <row r="105" spans="1:6" ht="45.75" hidden="1" customHeight="1" thickBot="1">
      <c r="A105" s="746">
        <v>34</v>
      </c>
      <c r="B105" s="383" t="s">
        <v>732</v>
      </c>
      <c r="C105" s="384" t="s">
        <v>668</v>
      </c>
      <c r="D105" s="313">
        <v>3000</v>
      </c>
      <c r="E105" s="386"/>
      <c r="F105" s="386"/>
    </row>
    <row r="106" spans="1:6" ht="45.75" hidden="1" customHeight="1" thickBot="1">
      <c r="A106" s="746">
        <v>35</v>
      </c>
      <c r="B106" s="383" t="s">
        <v>295</v>
      </c>
      <c r="C106" s="384" t="s">
        <v>668</v>
      </c>
      <c r="D106" s="312"/>
      <c r="E106" s="313">
        <v>3000</v>
      </c>
      <c r="F106" s="386"/>
    </row>
    <row r="107" spans="1:6" ht="45.75" hidden="1" customHeight="1" thickBot="1">
      <c r="A107" s="746">
        <v>36</v>
      </c>
      <c r="B107" s="383" t="s">
        <v>1957</v>
      </c>
      <c r="C107" s="384" t="s">
        <v>668</v>
      </c>
      <c r="D107" s="313">
        <v>18000</v>
      </c>
      <c r="E107" s="386"/>
      <c r="F107" s="386"/>
    </row>
    <row r="108" spans="1:6" ht="45.75" hidden="1" customHeight="1" thickBot="1">
      <c r="A108" s="746">
        <v>37</v>
      </c>
      <c r="B108" s="383" t="s">
        <v>691</v>
      </c>
      <c r="C108" s="384" t="s">
        <v>668</v>
      </c>
      <c r="D108" s="313">
        <v>3000</v>
      </c>
      <c r="E108" s="386"/>
      <c r="F108" s="386"/>
    </row>
    <row r="109" spans="1:6" ht="60.75" hidden="1" customHeight="1" thickBot="1">
      <c r="A109" s="746">
        <v>38</v>
      </c>
      <c r="B109" s="383" t="s">
        <v>273</v>
      </c>
      <c r="C109" s="384" t="s">
        <v>668</v>
      </c>
      <c r="D109" s="312"/>
      <c r="E109" s="313">
        <v>10000</v>
      </c>
      <c r="F109" s="386"/>
    </row>
    <row r="110" spans="1:6" ht="30.75" hidden="1" customHeight="1" thickBot="1">
      <c r="A110" s="746">
        <v>39</v>
      </c>
      <c r="B110" s="383" t="s">
        <v>151</v>
      </c>
      <c r="C110" s="384" t="s">
        <v>674</v>
      </c>
      <c r="D110" s="312"/>
      <c r="E110" s="313">
        <v>9000</v>
      </c>
      <c r="F110" s="386"/>
    </row>
    <row r="111" spans="1:6" ht="45.75" hidden="1" customHeight="1" thickBot="1">
      <c r="A111" s="746">
        <v>40</v>
      </c>
      <c r="B111" s="383" t="s">
        <v>675</v>
      </c>
      <c r="C111" s="384" t="s">
        <v>674</v>
      </c>
      <c r="D111" s="313">
        <v>3000</v>
      </c>
      <c r="E111" s="386"/>
      <c r="F111" s="386"/>
    </row>
    <row r="112" spans="1:6" ht="30.75" hidden="1" customHeight="1" thickBot="1">
      <c r="A112" s="746">
        <v>41</v>
      </c>
      <c r="B112" s="383" t="s">
        <v>149</v>
      </c>
      <c r="C112" s="384" t="s">
        <v>674</v>
      </c>
      <c r="D112" s="312"/>
      <c r="E112" s="313">
        <v>9000</v>
      </c>
      <c r="F112" s="386"/>
    </row>
    <row r="113" spans="1:6" ht="30.75" hidden="1" customHeight="1" thickBot="1">
      <c r="A113" s="746">
        <v>42</v>
      </c>
      <c r="B113" s="383" t="s">
        <v>822</v>
      </c>
      <c r="C113" s="384" t="s">
        <v>674</v>
      </c>
      <c r="D113" s="313">
        <v>12000</v>
      </c>
      <c r="E113" s="386"/>
      <c r="F113" s="386"/>
    </row>
    <row r="114" spans="1:6" ht="45.75" customHeight="1" thickBot="1">
      <c r="A114" s="746">
        <v>43</v>
      </c>
      <c r="B114" s="383" t="s">
        <v>820</v>
      </c>
      <c r="C114" s="384" t="s">
        <v>674</v>
      </c>
      <c r="D114" s="312"/>
      <c r="E114" s="349">
        <v>12000</v>
      </c>
      <c r="F114" s="386"/>
    </row>
    <row r="115" spans="1:6" ht="45.75" hidden="1" customHeight="1" thickBot="1">
      <c r="A115" s="746">
        <v>44</v>
      </c>
      <c r="B115" s="383" t="s">
        <v>150</v>
      </c>
      <c r="C115" s="384" t="s">
        <v>674</v>
      </c>
      <c r="D115" s="312"/>
      <c r="E115" s="313">
        <v>10000</v>
      </c>
      <c r="F115" s="386"/>
    </row>
    <row r="116" spans="1:6" ht="17.25" hidden="1" thickBot="1">
      <c r="A116" s="746">
        <v>45</v>
      </c>
      <c r="B116" s="383" t="s">
        <v>144</v>
      </c>
      <c r="C116" s="384" t="s">
        <v>1224</v>
      </c>
      <c r="D116" s="312"/>
      <c r="E116" s="313">
        <v>10000</v>
      </c>
      <c r="F116" s="386"/>
    </row>
    <row r="117" spans="1:6" ht="16.5" hidden="1" thickBot="1">
      <c r="A117" s="401" t="s">
        <v>758</v>
      </c>
      <c r="B117" s="402"/>
      <c r="C117" s="687"/>
      <c r="D117" s="1147">
        <v>205000</v>
      </c>
      <c r="E117" s="1147">
        <v>181000</v>
      </c>
      <c r="F117" s="389"/>
    </row>
    <row r="118" spans="1:6" ht="17.25" hidden="1" customHeight="1" thickBot="1">
      <c r="A118" s="700" t="s">
        <v>864</v>
      </c>
      <c r="B118" s="701"/>
      <c r="C118" s="929"/>
      <c r="D118" s="1097">
        <v>386000</v>
      </c>
      <c r="E118" s="1098"/>
      <c r="F118" s="312"/>
    </row>
    <row r="119" spans="1:6" hidden="1">
      <c r="A119" s="244" t="s">
        <v>1958</v>
      </c>
    </row>
    <row r="120" spans="1:6">
      <c r="A120" s="244"/>
    </row>
    <row r="121" spans="1:6">
      <c r="A121" s="244"/>
    </row>
    <row r="122" spans="1:6" ht="16.5">
      <c r="A122" s="246"/>
      <c r="B122" s="248"/>
    </row>
    <row r="123" spans="1:6" ht="15.75">
      <c r="A123" s="205" t="s">
        <v>704</v>
      </c>
    </row>
    <row r="124" spans="1:6" ht="15.75">
      <c r="A124" s="205"/>
    </row>
    <row r="125" spans="1:6" ht="15.75">
      <c r="A125" s="205" t="s">
        <v>1717</v>
      </c>
    </row>
    <row r="126" spans="1:6" ht="15.75">
      <c r="A126" s="232" t="s">
        <v>1959</v>
      </c>
    </row>
    <row r="127" spans="1:6" ht="15.75" thickBot="1">
      <c r="A127" s="987"/>
    </row>
    <row r="128" spans="1:6" ht="48" thickBot="1">
      <c r="A128" s="252" t="s">
        <v>0</v>
      </c>
      <c r="B128" s="253" t="s">
        <v>632</v>
      </c>
      <c r="C128" s="988" t="s">
        <v>894</v>
      </c>
      <c r="D128" s="989" t="s">
        <v>634</v>
      </c>
    </row>
    <row r="129" spans="1:4" ht="32.25" thickBot="1">
      <c r="A129" s="273">
        <v>1</v>
      </c>
      <c r="B129" s="256" t="s">
        <v>890</v>
      </c>
      <c r="C129" s="1034" t="s">
        <v>707</v>
      </c>
      <c r="D129" s="413"/>
    </row>
    <row r="130" spans="1:4" ht="32.25" thickBot="1">
      <c r="A130" s="288" t="s">
        <v>758</v>
      </c>
      <c r="B130" s="289"/>
      <c r="C130" s="283" t="s">
        <v>707</v>
      </c>
      <c r="D130" s="418"/>
    </row>
    <row r="131" spans="1:4">
      <c r="A131" s="244" t="s">
        <v>1773</v>
      </c>
    </row>
    <row r="132" spans="1:4">
      <c r="A132" s="244"/>
    </row>
    <row r="133" spans="1:4">
      <c r="A133" s="244"/>
    </row>
    <row r="134" spans="1:4">
      <c r="A134" s="244"/>
    </row>
    <row r="135" spans="1:4">
      <c r="A135" s="244"/>
    </row>
    <row r="136" spans="1:4">
      <c r="A136" s="244"/>
    </row>
    <row r="137" spans="1:4">
      <c r="A137" s="244"/>
    </row>
    <row r="138" spans="1:4">
      <c r="A138" s="244"/>
    </row>
    <row r="139" spans="1:4">
      <c r="A139" s="244"/>
    </row>
    <row r="140" spans="1:4">
      <c r="A140" s="244"/>
    </row>
    <row r="141" spans="1:4">
      <c r="A141" s="284"/>
    </row>
    <row r="142" spans="1:4">
      <c r="A142" s="284"/>
    </row>
    <row r="143" spans="1:4">
      <c r="A143" s="284"/>
    </row>
    <row r="144" spans="1:4">
      <c r="A144" s="284"/>
    </row>
    <row r="145" spans="1:1">
      <c r="A145" s="284"/>
    </row>
    <row r="146" spans="1:1">
      <c r="A146" s="284"/>
    </row>
  </sheetData>
  <autoFilter ref="A71:F119">
    <filterColumn colId="4">
      <colorFilter dxfId="0" cellColor="0"/>
    </filterColumn>
  </autoFilter>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9"/>
  <sheetViews>
    <sheetView topLeftCell="A22" workbookViewId="0">
      <selection activeCell="C11" sqref="C11"/>
    </sheetView>
  </sheetViews>
  <sheetFormatPr defaultRowHeight="15"/>
  <cols>
    <col min="2" max="2" width="25" customWidth="1"/>
    <col min="3" max="3" width="16.7109375" customWidth="1"/>
    <col min="4" max="4" width="11.7109375" customWidth="1"/>
    <col min="5" max="5" width="18.7109375" style="68" customWidth="1"/>
  </cols>
  <sheetData>
    <row r="1" spans="1:6" ht="15.75" thickBot="1"/>
    <row r="2" spans="1:6" ht="28.5" customHeight="1" thickBot="1">
      <c r="A2" s="939" t="s">
        <v>0</v>
      </c>
      <c r="B2" s="939" t="s">
        <v>121</v>
      </c>
      <c r="C2" s="939" t="s">
        <v>632</v>
      </c>
      <c r="D2" s="941" t="s">
        <v>894</v>
      </c>
      <c r="E2" s="942"/>
      <c r="F2" s="939" t="s">
        <v>699</v>
      </c>
    </row>
    <row r="3" spans="1:6" ht="15.75" thickBot="1">
      <c r="A3" s="943"/>
      <c r="B3" s="943"/>
      <c r="C3" s="943"/>
      <c r="D3" s="940" t="s">
        <v>828</v>
      </c>
      <c r="E3" s="940" t="s">
        <v>829</v>
      </c>
      <c r="F3" s="943"/>
    </row>
    <row r="4" spans="1:6" ht="16.5" thickBot="1">
      <c r="A4" s="382">
        <v>1</v>
      </c>
      <c r="B4" s="687" t="s">
        <v>39</v>
      </c>
      <c r="C4" s="688" t="s">
        <v>668</v>
      </c>
      <c r="D4" s="386"/>
      <c r="E4" s="739">
        <v>35000</v>
      </c>
      <c r="F4" s="386"/>
    </row>
    <row r="5" spans="1:6" ht="48" customHeight="1" thickBot="1">
      <c r="A5" s="382">
        <v>2</v>
      </c>
      <c r="B5" s="687" t="s">
        <v>31</v>
      </c>
      <c r="C5" s="688" t="s">
        <v>668</v>
      </c>
      <c r="D5" s="386"/>
      <c r="E5" s="739">
        <v>40000</v>
      </c>
      <c r="F5" s="386"/>
    </row>
    <row r="6" spans="1:6" ht="48" customHeight="1" thickBot="1">
      <c r="A6" s="382">
        <v>3</v>
      </c>
      <c r="B6" s="687" t="s">
        <v>262</v>
      </c>
      <c r="C6" s="688" t="s">
        <v>668</v>
      </c>
      <c r="D6" s="386"/>
      <c r="E6" s="739">
        <v>100000</v>
      </c>
      <c r="F6" s="386"/>
    </row>
    <row r="7" spans="1:6" ht="63.75" customHeight="1" thickBot="1">
      <c r="A7" s="382">
        <v>4</v>
      </c>
      <c r="B7" s="687" t="s">
        <v>435</v>
      </c>
      <c r="C7" s="688" t="s">
        <v>668</v>
      </c>
      <c r="D7" s="386"/>
      <c r="E7" s="739">
        <v>50000</v>
      </c>
      <c r="F7" s="386"/>
    </row>
    <row r="8" spans="1:6" ht="32.25" customHeight="1" thickBot="1">
      <c r="A8" s="382">
        <v>5</v>
      </c>
      <c r="B8" s="687" t="s">
        <v>1316</v>
      </c>
      <c r="C8" s="688" t="s">
        <v>668</v>
      </c>
      <c r="D8" s="386"/>
      <c r="E8" s="739">
        <v>40000</v>
      </c>
      <c r="F8" s="386"/>
    </row>
    <row r="9" spans="1:6" ht="48" customHeight="1" thickBot="1">
      <c r="A9" s="382">
        <v>6</v>
      </c>
      <c r="B9" s="687" t="s">
        <v>670</v>
      </c>
      <c r="C9" s="688" t="s">
        <v>668</v>
      </c>
      <c r="D9" s="689">
        <v>135000</v>
      </c>
      <c r="E9" s="738"/>
      <c r="F9" s="386"/>
    </row>
    <row r="10" spans="1:6" ht="32.25" customHeight="1" thickBot="1">
      <c r="A10" s="382">
        <v>7</v>
      </c>
      <c r="B10" s="687" t="s">
        <v>693</v>
      </c>
      <c r="C10" s="688" t="s">
        <v>668</v>
      </c>
      <c r="D10" s="689">
        <v>15000</v>
      </c>
      <c r="E10" s="738"/>
      <c r="F10" s="386"/>
    </row>
    <row r="11" spans="1:6" ht="48" customHeight="1" thickBot="1">
      <c r="A11" s="382">
        <v>8</v>
      </c>
      <c r="B11" s="687" t="s">
        <v>671</v>
      </c>
      <c r="C11" s="688" t="s">
        <v>668</v>
      </c>
      <c r="D11" s="689">
        <v>50000</v>
      </c>
      <c r="E11" s="738"/>
      <c r="F11" s="386"/>
    </row>
    <row r="12" spans="1:6" ht="48" customHeight="1" thickBot="1">
      <c r="A12" s="382">
        <v>9</v>
      </c>
      <c r="B12" s="687" t="s">
        <v>732</v>
      </c>
      <c r="C12" s="688" t="s">
        <v>668</v>
      </c>
      <c r="D12" s="689">
        <v>30000</v>
      </c>
      <c r="E12" s="738"/>
      <c r="F12" s="386"/>
    </row>
    <row r="13" spans="1:6" ht="32.25" customHeight="1" thickBot="1">
      <c r="A13" s="382">
        <v>10</v>
      </c>
      <c r="B13" s="687" t="s">
        <v>655</v>
      </c>
      <c r="C13" s="688" t="s">
        <v>653</v>
      </c>
      <c r="D13" s="689">
        <v>45000</v>
      </c>
      <c r="E13" s="738"/>
      <c r="F13" s="386"/>
    </row>
    <row r="14" spans="1:6" ht="48" customHeight="1" thickBot="1">
      <c r="A14" s="382">
        <v>11</v>
      </c>
      <c r="B14" s="687" t="s">
        <v>48</v>
      </c>
      <c r="C14" s="688" t="s">
        <v>653</v>
      </c>
      <c r="D14" s="386"/>
      <c r="E14" s="739">
        <v>30000</v>
      </c>
      <c r="F14" s="386"/>
    </row>
    <row r="15" spans="1:6" ht="48" customHeight="1" thickBot="1">
      <c r="A15" s="382">
        <v>12</v>
      </c>
      <c r="B15" s="687" t="s">
        <v>52</v>
      </c>
      <c r="C15" s="688" t="s">
        <v>653</v>
      </c>
      <c r="D15" s="386"/>
      <c r="E15" s="739">
        <v>80000</v>
      </c>
      <c r="F15" s="386"/>
    </row>
    <row r="16" spans="1:6" ht="32.25" customHeight="1" thickBot="1">
      <c r="A16" s="382">
        <v>13</v>
      </c>
      <c r="B16" s="687" t="s">
        <v>46</v>
      </c>
      <c r="C16" s="688" t="s">
        <v>653</v>
      </c>
      <c r="D16" s="386"/>
      <c r="E16" s="739">
        <v>95000</v>
      </c>
      <c r="F16" s="386"/>
    </row>
    <row r="17" spans="1:6" ht="48" customHeight="1" thickBot="1">
      <c r="A17" s="382">
        <v>14</v>
      </c>
      <c r="B17" s="687" t="s">
        <v>138</v>
      </c>
      <c r="C17" s="688" t="s">
        <v>653</v>
      </c>
      <c r="D17" s="386"/>
      <c r="E17" s="739">
        <v>15000</v>
      </c>
      <c r="F17" s="386"/>
    </row>
    <row r="18" spans="1:6" ht="48" customHeight="1" thickBot="1">
      <c r="A18" s="382">
        <v>15</v>
      </c>
      <c r="B18" s="687" t="s">
        <v>656</v>
      </c>
      <c r="C18" s="688" t="s">
        <v>653</v>
      </c>
      <c r="D18" s="689">
        <v>75000</v>
      </c>
      <c r="E18" s="738"/>
      <c r="F18" s="386"/>
    </row>
    <row r="19" spans="1:6" ht="48" customHeight="1" thickBot="1">
      <c r="A19" s="382">
        <v>16</v>
      </c>
      <c r="B19" s="687" t="s">
        <v>689</v>
      </c>
      <c r="C19" s="688" t="s">
        <v>653</v>
      </c>
      <c r="D19" s="689">
        <v>60000</v>
      </c>
      <c r="E19" s="738"/>
      <c r="F19" s="386"/>
    </row>
    <row r="20" spans="1:6" ht="32.25" customHeight="1" thickBot="1">
      <c r="A20" s="382">
        <v>17</v>
      </c>
      <c r="B20" s="687" t="s">
        <v>146</v>
      </c>
      <c r="C20" s="688" t="s">
        <v>653</v>
      </c>
      <c r="D20" s="386"/>
      <c r="E20" s="739">
        <v>225000</v>
      </c>
      <c r="F20" s="386"/>
    </row>
    <row r="21" spans="1:6" ht="32.25" customHeight="1" thickBot="1">
      <c r="A21" s="382">
        <v>18</v>
      </c>
      <c r="B21" s="687" t="s">
        <v>147</v>
      </c>
      <c r="C21" s="688" t="s">
        <v>653</v>
      </c>
      <c r="D21" s="386"/>
      <c r="E21" s="739">
        <v>45000</v>
      </c>
      <c r="F21" s="386"/>
    </row>
    <row r="22" spans="1:6" ht="32.25" customHeight="1" thickBot="1">
      <c r="A22" s="382">
        <v>19</v>
      </c>
      <c r="B22" s="687" t="s">
        <v>658</v>
      </c>
      <c r="C22" s="688" t="s">
        <v>653</v>
      </c>
      <c r="D22" s="689">
        <v>225000</v>
      </c>
      <c r="E22" s="738"/>
      <c r="F22" s="386"/>
    </row>
    <row r="23" spans="1:6" ht="32.25" customHeight="1" thickBot="1">
      <c r="A23" s="382">
        <v>20</v>
      </c>
      <c r="B23" s="687" t="s">
        <v>659</v>
      </c>
      <c r="C23" s="688" t="s">
        <v>653</v>
      </c>
      <c r="D23" s="689">
        <v>225000</v>
      </c>
      <c r="E23" s="738"/>
      <c r="F23" s="386"/>
    </row>
    <row r="24" spans="1:6" ht="48" customHeight="1" thickBot="1">
      <c r="A24" s="382">
        <v>21</v>
      </c>
      <c r="B24" s="687" t="s">
        <v>60</v>
      </c>
      <c r="C24" s="688" t="s">
        <v>653</v>
      </c>
      <c r="D24" s="386"/>
      <c r="E24" s="739">
        <v>225000</v>
      </c>
      <c r="F24" s="386"/>
    </row>
    <row r="25" spans="1:6" ht="48" customHeight="1" thickBot="1">
      <c r="A25" s="382">
        <v>22</v>
      </c>
      <c r="B25" s="687" t="s">
        <v>690</v>
      </c>
      <c r="C25" s="688" t="s">
        <v>653</v>
      </c>
      <c r="D25" s="386"/>
      <c r="E25" s="739">
        <v>390000</v>
      </c>
      <c r="F25" s="386"/>
    </row>
    <row r="26" spans="1:6" ht="48" customHeight="1" thickBot="1">
      <c r="A26" s="382">
        <v>23</v>
      </c>
      <c r="B26" s="736" t="s">
        <v>56</v>
      </c>
      <c r="C26" s="737" t="s">
        <v>653</v>
      </c>
      <c r="D26" s="738"/>
      <c r="E26" s="739">
        <v>30000</v>
      </c>
      <c r="F26" s="386"/>
    </row>
    <row r="27" spans="1:6" ht="48" customHeight="1" thickBot="1">
      <c r="A27" s="382">
        <v>24</v>
      </c>
      <c r="B27" s="687" t="s">
        <v>50</v>
      </c>
      <c r="C27" s="688" t="s">
        <v>653</v>
      </c>
      <c r="D27" s="386"/>
      <c r="E27" s="739">
        <v>60000</v>
      </c>
      <c r="F27" s="386"/>
    </row>
    <row r="28" spans="1:6" ht="48" customHeight="1" thickBot="1">
      <c r="A28" s="382">
        <v>25</v>
      </c>
      <c r="B28" s="687" t="s">
        <v>683</v>
      </c>
      <c r="C28" s="688" t="s">
        <v>646</v>
      </c>
      <c r="D28" s="689">
        <v>30000</v>
      </c>
      <c r="E28" s="738"/>
      <c r="F28" s="386"/>
    </row>
    <row r="29" spans="1:6" ht="48" customHeight="1" thickBot="1">
      <c r="A29" s="382">
        <v>26</v>
      </c>
      <c r="B29" s="687" t="s">
        <v>722</v>
      </c>
      <c r="C29" s="688" t="s">
        <v>646</v>
      </c>
      <c r="D29" s="689">
        <v>60000</v>
      </c>
      <c r="E29" s="738"/>
      <c r="F29" s="386"/>
    </row>
    <row r="30" spans="1:6" ht="48" customHeight="1" thickBot="1">
      <c r="A30" s="746">
        <v>27</v>
      </c>
      <c r="B30" s="687" t="s">
        <v>148</v>
      </c>
      <c r="C30" s="688" t="s">
        <v>646</v>
      </c>
      <c r="D30" s="386"/>
      <c r="E30" s="739">
        <v>45000</v>
      </c>
      <c r="F30" s="386"/>
    </row>
    <row r="31" spans="1:6" ht="32.25" customHeight="1" thickBot="1">
      <c r="A31" s="746">
        <v>28</v>
      </c>
      <c r="B31" s="687" t="s">
        <v>723</v>
      </c>
      <c r="C31" s="688" t="s">
        <v>646</v>
      </c>
      <c r="D31" s="689">
        <v>130000</v>
      </c>
      <c r="E31" s="738"/>
      <c r="F31" s="386"/>
    </row>
    <row r="32" spans="1:6" ht="48" customHeight="1" thickBot="1">
      <c r="A32" s="746">
        <v>29</v>
      </c>
      <c r="B32" s="687" t="s">
        <v>168</v>
      </c>
      <c r="C32" s="688" t="s">
        <v>646</v>
      </c>
      <c r="D32" s="386"/>
      <c r="E32" s="739">
        <v>65000</v>
      </c>
      <c r="F32" s="386"/>
    </row>
    <row r="33" spans="1:6" ht="32.25" customHeight="1" thickBot="1">
      <c r="A33" s="746">
        <v>30</v>
      </c>
      <c r="B33" s="687" t="s">
        <v>72</v>
      </c>
      <c r="C33" s="688" t="s">
        <v>674</v>
      </c>
      <c r="D33" s="386"/>
      <c r="E33" s="739">
        <v>30000</v>
      </c>
      <c r="F33" s="386"/>
    </row>
    <row r="34" spans="1:6" ht="48" customHeight="1" thickBot="1">
      <c r="A34" s="746">
        <v>31</v>
      </c>
      <c r="B34" s="687" t="s">
        <v>1473</v>
      </c>
      <c r="C34" s="688" t="s">
        <v>674</v>
      </c>
      <c r="D34" s="386"/>
      <c r="E34" s="739">
        <v>50000</v>
      </c>
      <c r="F34" s="386"/>
    </row>
    <row r="35" spans="1:6" ht="48" customHeight="1" thickBot="1">
      <c r="A35" s="746">
        <v>32</v>
      </c>
      <c r="B35" s="687" t="s">
        <v>74</v>
      </c>
      <c r="C35" s="688" t="s">
        <v>674</v>
      </c>
      <c r="D35" s="386"/>
      <c r="E35" s="739">
        <v>75000</v>
      </c>
      <c r="F35" s="386"/>
    </row>
    <row r="36" spans="1:6" ht="32.25" customHeight="1" thickBot="1">
      <c r="A36" s="746">
        <v>33</v>
      </c>
      <c r="B36" s="687" t="s">
        <v>149</v>
      </c>
      <c r="C36" s="688" t="s">
        <v>674</v>
      </c>
      <c r="D36" s="386"/>
      <c r="E36" s="739">
        <v>50000</v>
      </c>
      <c r="F36" s="386"/>
    </row>
    <row r="37" spans="1:6" ht="48" customHeight="1" thickBot="1">
      <c r="A37" s="746">
        <v>34</v>
      </c>
      <c r="B37" s="687" t="s">
        <v>675</v>
      </c>
      <c r="C37" s="688" t="s">
        <v>674</v>
      </c>
      <c r="D37" s="689">
        <v>90000</v>
      </c>
      <c r="E37" s="738"/>
      <c r="F37" s="386"/>
    </row>
    <row r="38" spans="1:6" ht="32.25" customHeight="1" thickBot="1">
      <c r="A38" s="746">
        <v>35</v>
      </c>
      <c r="B38" s="687" t="s">
        <v>742</v>
      </c>
      <c r="C38" s="688" t="s">
        <v>674</v>
      </c>
      <c r="D38" s="689">
        <v>60000</v>
      </c>
      <c r="E38" s="738"/>
      <c r="F38" s="386"/>
    </row>
    <row r="39" spans="1:6" ht="48" customHeight="1" thickBot="1">
      <c r="A39" s="746">
        <v>36</v>
      </c>
      <c r="B39" s="687" t="s">
        <v>81</v>
      </c>
      <c r="C39" s="688" t="s">
        <v>649</v>
      </c>
      <c r="D39" s="386"/>
      <c r="E39" s="739">
        <v>70000</v>
      </c>
      <c r="F39" s="386"/>
    </row>
    <row r="40" spans="1:6" ht="48" customHeight="1" thickBot="1">
      <c r="A40" s="746">
        <v>37</v>
      </c>
      <c r="B40" s="687" t="s">
        <v>27</v>
      </c>
      <c r="C40" s="688" t="s">
        <v>649</v>
      </c>
      <c r="D40" s="386"/>
      <c r="E40" s="739">
        <v>55000</v>
      </c>
      <c r="F40" s="386"/>
    </row>
    <row r="41" spans="1:6" ht="48" customHeight="1" thickBot="1">
      <c r="A41" s="746">
        <v>38</v>
      </c>
      <c r="B41" s="687" t="s">
        <v>831</v>
      </c>
      <c r="C41" s="688" t="s">
        <v>649</v>
      </c>
      <c r="D41" s="386"/>
      <c r="E41" s="739">
        <v>30000</v>
      </c>
      <c r="F41" s="386"/>
    </row>
    <row r="42" spans="1:6" ht="48" customHeight="1" thickBot="1">
      <c r="A42" s="746">
        <v>39</v>
      </c>
      <c r="B42" s="687" t="s">
        <v>684</v>
      </c>
      <c r="C42" s="688" t="s">
        <v>649</v>
      </c>
      <c r="D42" s="689">
        <v>45000</v>
      </c>
      <c r="E42" s="738"/>
      <c r="F42" s="386"/>
    </row>
    <row r="43" spans="1:6" ht="48" customHeight="1" thickBot="1">
      <c r="A43" s="746">
        <v>40</v>
      </c>
      <c r="B43" s="687" t="s">
        <v>687</v>
      </c>
      <c r="C43" s="688" t="s">
        <v>649</v>
      </c>
      <c r="D43" s="689">
        <v>105000</v>
      </c>
      <c r="E43" s="738"/>
      <c r="F43" s="386"/>
    </row>
    <row r="44" spans="1:6" ht="48" customHeight="1" thickBot="1">
      <c r="A44" s="746">
        <v>41</v>
      </c>
      <c r="B44" s="687" t="s">
        <v>205</v>
      </c>
      <c r="C44" s="688" t="s">
        <v>649</v>
      </c>
      <c r="D44" s="386"/>
      <c r="E44" s="739">
        <v>60000</v>
      </c>
      <c r="F44" s="386"/>
    </row>
    <row r="45" spans="1:6" ht="48" customHeight="1" thickBot="1">
      <c r="A45" s="746">
        <v>42</v>
      </c>
      <c r="B45" s="687" t="s">
        <v>685</v>
      </c>
      <c r="C45" s="688" t="s">
        <v>649</v>
      </c>
      <c r="D45" s="689">
        <v>15000</v>
      </c>
      <c r="E45" s="738"/>
      <c r="F45" s="386"/>
    </row>
    <row r="46" spans="1:6" ht="48" customHeight="1" thickBot="1">
      <c r="A46" s="746">
        <v>43</v>
      </c>
      <c r="B46" s="687" t="s">
        <v>686</v>
      </c>
      <c r="C46" s="688" t="s">
        <v>649</v>
      </c>
      <c r="D46" s="689">
        <v>45000</v>
      </c>
      <c r="E46" s="738"/>
      <c r="F46" s="386"/>
    </row>
    <row r="47" spans="1:6" ht="48" customHeight="1" thickBot="1">
      <c r="A47" s="746">
        <v>44</v>
      </c>
      <c r="B47" s="687" t="s">
        <v>721</v>
      </c>
      <c r="C47" s="688" t="s">
        <v>649</v>
      </c>
      <c r="D47" s="386"/>
      <c r="E47" s="739">
        <v>120000</v>
      </c>
      <c r="F47" s="386"/>
    </row>
    <row r="48" spans="1:6" ht="48" customHeight="1" thickBot="1">
      <c r="A48" s="746">
        <v>45</v>
      </c>
      <c r="B48" s="687" t="s">
        <v>638</v>
      </c>
      <c r="C48" s="688" t="s">
        <v>649</v>
      </c>
      <c r="D48" s="689">
        <v>135000</v>
      </c>
      <c r="E48" s="738"/>
      <c r="F48" s="386"/>
    </row>
    <row r="49" spans="1:6" ht="32.25" customHeight="1" thickBot="1">
      <c r="A49" s="746">
        <v>46</v>
      </c>
      <c r="B49" s="687" t="s">
        <v>187</v>
      </c>
      <c r="C49" s="688" t="s">
        <v>649</v>
      </c>
      <c r="D49" s="386"/>
      <c r="E49" s="739">
        <v>107500</v>
      </c>
      <c r="F49" s="386"/>
    </row>
    <row r="50" spans="1:6" ht="32.25" customHeight="1" thickBot="1">
      <c r="A50" s="746">
        <v>47</v>
      </c>
      <c r="B50" s="687" t="s">
        <v>152</v>
      </c>
      <c r="C50" s="688" t="s">
        <v>649</v>
      </c>
      <c r="D50" s="386"/>
      <c r="E50" s="739">
        <v>100000</v>
      </c>
      <c r="F50" s="386"/>
    </row>
    <row r="51" spans="1:6" ht="32.25" customHeight="1" thickBot="1">
      <c r="A51" s="746">
        <v>48</v>
      </c>
      <c r="B51" s="687" t="s">
        <v>91</v>
      </c>
      <c r="C51" s="688" t="s">
        <v>650</v>
      </c>
      <c r="D51" s="386"/>
      <c r="E51" s="739">
        <v>30000</v>
      </c>
      <c r="F51" s="386"/>
    </row>
    <row r="52" spans="1:6" ht="48" customHeight="1" thickBot="1">
      <c r="A52" s="746">
        <v>49</v>
      </c>
      <c r="B52" s="687" t="s">
        <v>83</v>
      </c>
      <c r="C52" s="688" t="s">
        <v>650</v>
      </c>
      <c r="D52" s="386"/>
      <c r="E52" s="739">
        <v>65000</v>
      </c>
      <c r="F52" s="386"/>
    </row>
    <row r="53" spans="1:6" ht="32.25" customHeight="1" thickBot="1">
      <c r="A53" s="746">
        <v>50</v>
      </c>
      <c r="B53" s="687" t="s">
        <v>1401</v>
      </c>
      <c r="C53" s="688" t="s">
        <v>650</v>
      </c>
      <c r="D53" s="689">
        <v>15000</v>
      </c>
      <c r="E53" s="738"/>
      <c r="F53" s="386"/>
    </row>
    <row r="54" spans="1:6" ht="32.25" customHeight="1" thickBot="1">
      <c r="A54" s="746">
        <v>51</v>
      </c>
      <c r="B54" s="687" t="s">
        <v>644</v>
      </c>
      <c r="C54" s="688" t="s">
        <v>642</v>
      </c>
      <c r="D54" s="386" t="s">
        <v>1299</v>
      </c>
      <c r="E54" s="739">
        <v>30000</v>
      </c>
      <c r="F54" s="386"/>
    </row>
    <row r="55" spans="1:6" ht="48" customHeight="1" thickBot="1">
      <c r="A55" s="746">
        <v>52</v>
      </c>
      <c r="B55" s="687" t="s">
        <v>682</v>
      </c>
      <c r="C55" s="688" t="s">
        <v>642</v>
      </c>
      <c r="D55" s="689">
        <v>120000</v>
      </c>
      <c r="E55" s="738"/>
      <c r="F55" s="386"/>
    </row>
    <row r="56" spans="1:6" ht="48" customHeight="1" thickBot="1">
      <c r="A56" s="746">
        <v>53</v>
      </c>
      <c r="B56" s="687" t="s">
        <v>207</v>
      </c>
      <c r="C56" s="688" t="s">
        <v>642</v>
      </c>
      <c r="D56" s="386"/>
      <c r="E56" s="739">
        <v>165000</v>
      </c>
      <c r="F56" s="386"/>
    </row>
    <row r="57" spans="1:6" ht="48" customHeight="1" thickBot="1">
      <c r="A57" s="746">
        <v>54</v>
      </c>
      <c r="B57" s="687" t="s">
        <v>728</v>
      </c>
      <c r="C57" s="688" t="s">
        <v>642</v>
      </c>
      <c r="D57" s="689">
        <v>150000</v>
      </c>
      <c r="E57" s="738"/>
      <c r="F57" s="386"/>
    </row>
    <row r="58" spans="1:6" ht="48" customHeight="1" thickBot="1">
      <c r="A58" s="746">
        <v>55</v>
      </c>
      <c r="B58" s="687" t="s">
        <v>715</v>
      </c>
      <c r="C58" s="688" t="s">
        <v>642</v>
      </c>
      <c r="D58" s="689">
        <v>180000</v>
      </c>
      <c r="E58" s="738"/>
      <c r="F58" s="386"/>
    </row>
    <row r="59" spans="1:6" ht="48" customHeight="1" thickBot="1">
      <c r="A59" s="746">
        <v>56</v>
      </c>
      <c r="B59" s="687" t="s">
        <v>1651</v>
      </c>
      <c r="C59" s="688" t="s">
        <v>642</v>
      </c>
      <c r="D59" s="386"/>
      <c r="E59" s="739">
        <v>90000</v>
      </c>
      <c r="F59" s="386"/>
    </row>
    <row r="60" spans="1:6" ht="32.25" customHeight="1" thickBot="1">
      <c r="A60" s="746">
        <v>57</v>
      </c>
      <c r="B60" s="687" t="s">
        <v>1935</v>
      </c>
      <c r="C60" s="688" t="s">
        <v>642</v>
      </c>
      <c r="D60" s="386"/>
      <c r="E60" s="739">
        <v>45000</v>
      </c>
      <c r="F60" s="386"/>
    </row>
    <row r="61" spans="1:6" ht="48" customHeight="1" thickBot="1">
      <c r="A61" s="746">
        <v>58</v>
      </c>
      <c r="B61" s="687" t="s">
        <v>210</v>
      </c>
      <c r="C61" s="688" t="s">
        <v>636</v>
      </c>
      <c r="D61" s="386"/>
      <c r="E61" s="739">
        <v>155000</v>
      </c>
      <c r="F61" s="386"/>
    </row>
    <row r="62" spans="1:6" ht="32.25" customHeight="1" thickBot="1">
      <c r="A62" s="746">
        <v>59</v>
      </c>
      <c r="B62" s="687" t="s">
        <v>640</v>
      </c>
      <c r="C62" s="688" t="s">
        <v>636</v>
      </c>
      <c r="D62" s="689">
        <v>210000</v>
      </c>
      <c r="E62" s="738"/>
      <c r="F62" s="386"/>
    </row>
    <row r="63" spans="1:6" ht="48" customHeight="1" thickBot="1">
      <c r="A63" s="746">
        <v>60</v>
      </c>
      <c r="B63" s="687" t="s">
        <v>641</v>
      </c>
      <c r="C63" s="688" t="s">
        <v>636</v>
      </c>
      <c r="D63" s="689">
        <v>30000</v>
      </c>
      <c r="E63" s="738"/>
      <c r="F63" s="386"/>
    </row>
    <row r="64" spans="1:6" ht="32.25" customHeight="1" thickBot="1">
      <c r="A64" s="746">
        <v>61</v>
      </c>
      <c r="B64" s="687" t="s">
        <v>639</v>
      </c>
      <c r="C64" s="688" t="s">
        <v>636</v>
      </c>
      <c r="D64" s="386"/>
      <c r="E64" s="739">
        <v>15000</v>
      </c>
      <c r="F64" s="386"/>
    </row>
    <row r="65" spans="1:6" ht="32.25" customHeight="1" thickBot="1">
      <c r="A65" s="746">
        <v>62</v>
      </c>
      <c r="B65" s="687" t="s">
        <v>744</v>
      </c>
      <c r="C65" s="688" t="s">
        <v>636</v>
      </c>
      <c r="D65" s="689">
        <v>90000</v>
      </c>
      <c r="E65" s="738"/>
      <c r="F65" s="386"/>
    </row>
    <row r="66" spans="1:6" ht="63.75" customHeight="1" thickBot="1">
      <c r="A66" s="746">
        <v>63</v>
      </c>
      <c r="B66" s="687" t="s">
        <v>154</v>
      </c>
      <c r="C66" s="688" t="s">
        <v>636</v>
      </c>
      <c r="D66" s="386"/>
      <c r="E66" s="739">
        <v>112500</v>
      </c>
      <c r="F66" s="386"/>
    </row>
    <row r="67" spans="1:6" ht="48" customHeight="1" thickBot="1">
      <c r="A67" s="746">
        <v>64</v>
      </c>
      <c r="B67" s="687" t="s">
        <v>747</v>
      </c>
      <c r="C67" s="688" t="s">
        <v>746</v>
      </c>
      <c r="D67" s="386"/>
      <c r="E67" s="739">
        <v>50000</v>
      </c>
      <c r="F67" s="386"/>
    </row>
    <row r="68" spans="1:6" ht="48" customHeight="1" thickBot="1">
      <c r="A68" s="746">
        <v>65</v>
      </c>
      <c r="B68" s="687" t="s">
        <v>663</v>
      </c>
      <c r="C68" s="688" t="s">
        <v>746</v>
      </c>
      <c r="D68" s="386"/>
      <c r="E68" s="739">
        <v>65000</v>
      </c>
      <c r="F68" s="386"/>
    </row>
    <row r="69" spans="1:6" ht="48" customHeight="1" thickBot="1">
      <c r="A69" s="746">
        <v>66</v>
      </c>
      <c r="B69" s="687" t="s">
        <v>664</v>
      </c>
      <c r="C69" s="688" t="s">
        <v>746</v>
      </c>
      <c r="D69" s="386"/>
      <c r="E69" s="739">
        <v>35000</v>
      </c>
      <c r="F69" s="386"/>
    </row>
    <row r="70" spans="1:6" ht="48" customHeight="1" thickBot="1">
      <c r="A70" s="746">
        <v>67</v>
      </c>
      <c r="B70" s="687" t="s">
        <v>749</v>
      </c>
      <c r="C70" s="688" t="s">
        <v>746</v>
      </c>
      <c r="D70" s="386"/>
      <c r="E70" s="739">
        <v>90000</v>
      </c>
      <c r="F70" s="386"/>
    </row>
    <row r="71" spans="1:6" ht="48" customHeight="1" thickBot="1">
      <c r="A71" s="746">
        <v>68</v>
      </c>
      <c r="B71" s="687" t="s">
        <v>1247</v>
      </c>
      <c r="C71" s="688" t="s">
        <v>756</v>
      </c>
      <c r="D71" s="689">
        <v>90000</v>
      </c>
      <c r="E71" s="738"/>
      <c r="F71" s="386"/>
    </row>
    <row r="72" spans="1:6" ht="16.5" thickBot="1">
      <c r="A72" s="746">
        <v>69</v>
      </c>
      <c r="B72" s="687" t="s">
        <v>144</v>
      </c>
      <c r="C72" s="688" t="s">
        <v>1224</v>
      </c>
      <c r="D72" s="386"/>
      <c r="E72" s="739">
        <v>85000</v>
      </c>
      <c r="F72" s="386"/>
    </row>
    <row r="73" spans="1:6" ht="16.5" thickBot="1">
      <c r="A73" s="401" t="s">
        <v>758</v>
      </c>
      <c r="B73" s="402"/>
      <c r="C73" s="336"/>
      <c r="D73" s="388">
        <v>2460000</v>
      </c>
      <c r="E73" s="1038">
        <v>3350000</v>
      </c>
      <c r="F73" s="389"/>
    </row>
    <row r="74" spans="1:6" ht="16.5" customHeight="1" thickBot="1">
      <c r="A74" s="401" t="s">
        <v>864</v>
      </c>
      <c r="B74" s="402"/>
      <c r="C74" s="336"/>
      <c r="D74" s="403">
        <v>5810000</v>
      </c>
      <c r="E74" s="1189"/>
      <c r="F74" s="390"/>
    </row>
    <row r="75" spans="1:6">
      <c r="A75" s="244" t="s">
        <v>2046</v>
      </c>
    </row>
    <row r="76" spans="1:6">
      <c r="A76" s="284"/>
    </row>
    <row r="77" spans="1:6">
      <c r="A77" s="284"/>
    </row>
    <row r="78" spans="1:6">
      <c r="A78" s="284"/>
    </row>
    <row r="79" spans="1:6">
      <c r="A79" s="284"/>
    </row>
    <row r="80" spans="1:6">
      <c r="A80" s="284"/>
    </row>
    <row r="81" spans="1:5">
      <c r="A81" s="284"/>
    </row>
    <row r="82" spans="1:5">
      <c r="A82" s="284"/>
    </row>
    <row r="83" spans="1:5" ht="16.5">
      <c r="A83" s="246"/>
      <c r="B83" s="248"/>
    </row>
    <row r="84" spans="1:5" ht="15.75">
      <c r="A84" s="205" t="s">
        <v>1649</v>
      </c>
    </row>
    <row r="85" spans="1:5" ht="15.75">
      <c r="A85" s="205"/>
    </row>
    <row r="86" spans="1:5">
      <c r="A86" s="686" t="s">
        <v>1650</v>
      </c>
    </row>
    <row r="87" spans="1:5" ht="15.75">
      <c r="A87" s="232" t="s">
        <v>2047</v>
      </c>
    </row>
    <row r="88" spans="1:5" ht="16.5" thickBot="1">
      <c r="A88" s="232"/>
    </row>
    <row r="89" spans="1:5" ht="43.5" thickBot="1">
      <c r="A89" s="1004" t="s">
        <v>0</v>
      </c>
      <c r="B89" s="1005" t="s">
        <v>121</v>
      </c>
      <c r="C89" s="1005" t="s">
        <v>632</v>
      </c>
      <c r="D89" s="1005" t="s">
        <v>894</v>
      </c>
      <c r="E89" s="1005" t="s">
        <v>699</v>
      </c>
    </row>
    <row r="90" spans="1:5" ht="16.5" thickBot="1">
      <c r="A90" s="382">
        <v>1</v>
      </c>
      <c r="B90" s="687" t="s">
        <v>842</v>
      </c>
      <c r="C90" s="688" t="s">
        <v>1171</v>
      </c>
      <c r="D90" s="689">
        <v>10000</v>
      </c>
      <c r="E90" s="736"/>
    </row>
    <row r="91" spans="1:5" ht="63.75" customHeight="1" thickBot="1">
      <c r="A91" s="382">
        <v>2</v>
      </c>
      <c r="B91" s="687" t="s">
        <v>1184</v>
      </c>
      <c r="C91" s="688" t="s">
        <v>1182</v>
      </c>
      <c r="D91" s="689">
        <v>20000</v>
      </c>
      <c r="E91" s="736"/>
    </row>
    <row r="92" spans="1:5" ht="48" customHeight="1" thickBot="1">
      <c r="A92" s="382">
        <v>3</v>
      </c>
      <c r="B92" s="687" t="s">
        <v>1646</v>
      </c>
      <c r="C92" s="688" t="s">
        <v>1182</v>
      </c>
      <c r="D92" s="689">
        <v>20000</v>
      </c>
      <c r="E92" s="736"/>
    </row>
    <row r="93" spans="1:5" ht="48" customHeight="1" thickBot="1">
      <c r="A93" s="382">
        <v>4</v>
      </c>
      <c r="B93" s="687" t="s">
        <v>860</v>
      </c>
      <c r="C93" s="688" t="s">
        <v>1182</v>
      </c>
      <c r="D93" s="689">
        <v>10000</v>
      </c>
      <c r="E93" s="736"/>
    </row>
    <row r="94" spans="1:5" ht="16.5" thickBot="1">
      <c r="A94" s="382">
        <v>5</v>
      </c>
      <c r="B94" s="687" t="s">
        <v>1205</v>
      </c>
      <c r="C94" s="688" t="s">
        <v>1198</v>
      </c>
      <c r="D94" s="689">
        <v>10000</v>
      </c>
      <c r="E94" s="736"/>
    </row>
    <row r="95" spans="1:5" ht="16.5" thickBot="1">
      <c r="A95" s="401" t="s">
        <v>758</v>
      </c>
      <c r="B95" s="402"/>
      <c r="C95" s="336"/>
      <c r="D95" s="388">
        <v>70000</v>
      </c>
      <c r="E95" s="1103"/>
    </row>
    <row r="96" spans="1:5">
      <c r="A96" s="244" t="s">
        <v>2048</v>
      </c>
    </row>
    <row r="97" spans="1:6">
      <c r="A97" s="284"/>
    </row>
    <row r="98" spans="1:6">
      <c r="A98" s="284"/>
    </row>
    <row r="99" spans="1:6">
      <c r="A99" s="284"/>
    </row>
    <row r="100" spans="1:6">
      <c r="A100" s="284"/>
    </row>
    <row r="101" spans="1:6">
      <c r="A101" s="284"/>
    </row>
    <row r="102" spans="1:6">
      <c r="A102" s="284"/>
    </row>
    <row r="103" spans="1:6">
      <c r="A103" s="284"/>
    </row>
    <row r="104" spans="1:6">
      <c r="A104" s="284"/>
    </row>
    <row r="105" spans="1:6">
      <c r="A105" s="284"/>
    </row>
    <row r="106" spans="1:6">
      <c r="A106" s="284"/>
    </row>
    <row r="107" spans="1:6" ht="16.5">
      <c r="A107" s="246"/>
      <c r="B107" s="248"/>
    </row>
    <row r="108" spans="1:6" ht="15.75">
      <c r="A108" s="205" t="s">
        <v>696</v>
      </c>
    </row>
    <row r="109" spans="1:6" ht="15.75">
      <c r="A109" s="205"/>
    </row>
    <row r="110" spans="1:6">
      <c r="A110" s="686" t="s">
        <v>1212</v>
      </c>
    </row>
    <row r="111" spans="1:6" ht="16.5" thickBot="1">
      <c r="A111" s="232" t="s">
        <v>2049</v>
      </c>
    </row>
    <row r="112" spans="1:6" ht="28.5" customHeight="1" thickBot="1">
      <c r="A112" s="939" t="s">
        <v>0</v>
      </c>
      <c r="B112" s="939" t="s">
        <v>121</v>
      </c>
      <c r="C112" s="939" t="s">
        <v>632</v>
      </c>
      <c r="D112" s="941" t="s">
        <v>894</v>
      </c>
      <c r="E112" s="942"/>
      <c r="F112" s="939" t="s">
        <v>699</v>
      </c>
    </row>
    <row r="113" spans="1:6" ht="15.75" thickBot="1">
      <c r="A113" s="943"/>
      <c r="B113" s="943"/>
      <c r="C113" s="943"/>
      <c r="D113" s="940" t="s">
        <v>828</v>
      </c>
      <c r="E113" s="940" t="s">
        <v>829</v>
      </c>
      <c r="F113" s="943"/>
    </row>
    <row r="114" spans="1:6" ht="16.5" thickBot="1">
      <c r="A114" s="382">
        <v>1</v>
      </c>
      <c r="B114" s="687" t="s">
        <v>210</v>
      </c>
      <c r="C114" s="688" t="s">
        <v>636</v>
      </c>
      <c r="D114" s="386"/>
      <c r="E114" s="739">
        <v>3000</v>
      </c>
      <c r="F114" s="386"/>
    </row>
    <row r="115" spans="1:6" ht="48" customHeight="1" thickBot="1">
      <c r="A115" s="382">
        <v>2</v>
      </c>
      <c r="B115" s="687" t="s">
        <v>781</v>
      </c>
      <c r="C115" s="688" t="s">
        <v>636</v>
      </c>
      <c r="D115" s="386"/>
      <c r="E115" s="739">
        <v>6000</v>
      </c>
      <c r="F115" s="386"/>
    </row>
    <row r="116" spans="1:6" ht="63.75" customHeight="1" thickBot="1">
      <c r="A116" s="382">
        <v>3</v>
      </c>
      <c r="B116" s="687" t="s">
        <v>435</v>
      </c>
      <c r="C116" s="688" t="s">
        <v>642</v>
      </c>
      <c r="D116" s="386"/>
      <c r="E116" s="739">
        <v>3000</v>
      </c>
      <c r="F116" s="386"/>
    </row>
    <row r="117" spans="1:6" ht="32.25" customHeight="1" thickBot="1">
      <c r="A117" s="382">
        <v>4</v>
      </c>
      <c r="B117" s="687" t="s">
        <v>693</v>
      </c>
      <c r="C117" s="688" t="s">
        <v>642</v>
      </c>
      <c r="D117" s="689">
        <v>6000</v>
      </c>
      <c r="E117" s="738"/>
      <c r="F117" s="386"/>
    </row>
    <row r="118" spans="1:6" ht="63.75" customHeight="1" thickBot="1">
      <c r="A118" s="382">
        <v>5</v>
      </c>
      <c r="B118" s="687" t="s">
        <v>273</v>
      </c>
      <c r="C118" s="688" t="s">
        <v>642</v>
      </c>
      <c r="D118" s="386"/>
      <c r="E118" s="739">
        <v>3000</v>
      </c>
      <c r="F118" s="386"/>
    </row>
    <row r="119" spans="1:6" ht="48" customHeight="1" thickBot="1">
      <c r="A119" s="382">
        <v>6</v>
      </c>
      <c r="B119" s="687" t="s">
        <v>671</v>
      </c>
      <c r="C119" s="688" t="s">
        <v>642</v>
      </c>
      <c r="D119" s="689">
        <v>19000</v>
      </c>
      <c r="E119" s="738"/>
      <c r="F119" s="386"/>
    </row>
    <row r="120" spans="1:6" ht="32.25" customHeight="1" thickBot="1">
      <c r="A120" s="382">
        <v>7</v>
      </c>
      <c r="B120" s="687" t="s">
        <v>645</v>
      </c>
      <c r="C120" s="688" t="s">
        <v>642</v>
      </c>
      <c r="D120" s="689">
        <v>6000</v>
      </c>
      <c r="E120" s="738"/>
      <c r="F120" s="386"/>
    </row>
    <row r="121" spans="1:6" ht="32.25" customHeight="1" thickBot="1">
      <c r="A121" s="382">
        <v>8</v>
      </c>
      <c r="B121" s="687" t="s">
        <v>778</v>
      </c>
      <c r="C121" s="688" t="s">
        <v>642</v>
      </c>
      <c r="D121" s="386"/>
      <c r="E121" s="739">
        <v>3000</v>
      </c>
      <c r="F121" s="386"/>
    </row>
    <row r="122" spans="1:6" ht="48" customHeight="1" thickBot="1">
      <c r="A122" s="382">
        <v>9</v>
      </c>
      <c r="B122" s="687" t="s">
        <v>776</v>
      </c>
      <c r="C122" s="688" t="s">
        <v>642</v>
      </c>
      <c r="D122" s="386"/>
      <c r="E122" s="739">
        <v>21000</v>
      </c>
      <c r="F122" s="386"/>
    </row>
    <row r="123" spans="1:6" ht="48" customHeight="1" thickBot="1">
      <c r="A123" s="382">
        <v>10</v>
      </c>
      <c r="B123" s="687" t="s">
        <v>207</v>
      </c>
      <c r="C123" s="688" t="s">
        <v>642</v>
      </c>
      <c r="D123" s="386"/>
      <c r="E123" s="739">
        <v>15000</v>
      </c>
      <c r="F123" s="386"/>
    </row>
    <row r="124" spans="1:6" ht="48" customHeight="1" thickBot="1">
      <c r="A124" s="382">
        <v>11</v>
      </c>
      <c r="B124" s="687" t="s">
        <v>1651</v>
      </c>
      <c r="C124" s="688" t="s">
        <v>642</v>
      </c>
      <c r="D124" s="386"/>
      <c r="E124" s="739">
        <v>3000</v>
      </c>
      <c r="F124" s="386"/>
    </row>
    <row r="125" spans="1:6" ht="32.25" customHeight="1" thickBot="1">
      <c r="A125" s="382">
        <v>12</v>
      </c>
      <c r="B125" s="687" t="s">
        <v>1935</v>
      </c>
      <c r="C125" s="688" t="s">
        <v>642</v>
      </c>
      <c r="D125" s="386"/>
      <c r="E125" s="739">
        <v>9000</v>
      </c>
      <c r="F125" s="386"/>
    </row>
    <row r="126" spans="1:6" ht="48" customHeight="1" thickBot="1">
      <c r="A126" s="382">
        <v>13</v>
      </c>
      <c r="B126" s="687" t="s">
        <v>1314</v>
      </c>
      <c r="C126" s="688" t="s">
        <v>646</v>
      </c>
      <c r="D126" s="386"/>
      <c r="E126" s="739">
        <v>6000</v>
      </c>
      <c r="F126" s="386"/>
    </row>
    <row r="127" spans="1:6" ht="32.25" customHeight="1" thickBot="1">
      <c r="A127" s="382">
        <v>14</v>
      </c>
      <c r="B127" s="687" t="s">
        <v>723</v>
      </c>
      <c r="C127" s="688" t="s">
        <v>646</v>
      </c>
      <c r="D127" s="689">
        <v>3000</v>
      </c>
      <c r="E127" s="738"/>
      <c r="F127" s="386"/>
    </row>
    <row r="128" spans="1:6" ht="48" customHeight="1" thickBot="1">
      <c r="A128" s="382">
        <v>15</v>
      </c>
      <c r="B128" s="687" t="s">
        <v>1434</v>
      </c>
      <c r="C128" s="688" t="s">
        <v>646</v>
      </c>
      <c r="D128" s="386"/>
      <c r="E128" s="739">
        <v>9000</v>
      </c>
      <c r="F128" s="386"/>
    </row>
    <row r="129" spans="1:6" ht="48" customHeight="1" thickBot="1">
      <c r="A129" s="382">
        <v>16</v>
      </c>
      <c r="B129" s="687" t="s">
        <v>65</v>
      </c>
      <c r="C129" s="688" t="s">
        <v>646</v>
      </c>
      <c r="D129" s="386"/>
      <c r="E129" s="739">
        <v>3000</v>
      </c>
      <c r="F129" s="386"/>
    </row>
    <row r="130" spans="1:6" ht="48" customHeight="1" thickBot="1">
      <c r="A130" s="382">
        <v>17</v>
      </c>
      <c r="B130" s="687" t="s">
        <v>722</v>
      </c>
      <c r="C130" s="688" t="s">
        <v>646</v>
      </c>
      <c r="D130" s="689">
        <v>12000</v>
      </c>
      <c r="E130" s="738"/>
      <c r="F130" s="386"/>
    </row>
    <row r="131" spans="1:6" ht="48" customHeight="1" thickBot="1">
      <c r="A131" s="382">
        <v>18</v>
      </c>
      <c r="B131" s="687" t="s">
        <v>647</v>
      </c>
      <c r="C131" s="688" t="s">
        <v>646</v>
      </c>
      <c r="D131" s="689">
        <v>3000</v>
      </c>
      <c r="E131" s="738"/>
      <c r="F131" s="386"/>
    </row>
    <row r="132" spans="1:6" ht="48" customHeight="1" thickBot="1">
      <c r="A132" s="382">
        <v>19</v>
      </c>
      <c r="B132" s="687" t="s">
        <v>148</v>
      </c>
      <c r="C132" s="688" t="s">
        <v>646</v>
      </c>
      <c r="D132" s="386"/>
      <c r="E132" s="739">
        <v>3000</v>
      </c>
      <c r="F132" s="386"/>
    </row>
    <row r="133" spans="1:6" ht="48" customHeight="1" thickBot="1">
      <c r="A133" s="382">
        <v>20</v>
      </c>
      <c r="B133" s="687" t="s">
        <v>205</v>
      </c>
      <c r="C133" s="688" t="s">
        <v>649</v>
      </c>
      <c r="D133" s="386"/>
      <c r="E133" s="739">
        <v>15000</v>
      </c>
      <c r="F133" s="386"/>
    </row>
    <row r="134" spans="1:6" ht="48" customHeight="1" thickBot="1">
      <c r="A134" s="382">
        <v>21</v>
      </c>
      <c r="B134" s="687" t="s">
        <v>721</v>
      </c>
      <c r="C134" s="688" t="s">
        <v>649</v>
      </c>
      <c r="D134" s="386"/>
      <c r="E134" s="739">
        <v>18000</v>
      </c>
      <c r="F134" s="386"/>
    </row>
    <row r="135" spans="1:6" ht="48" customHeight="1" thickBot="1">
      <c r="A135" s="382">
        <v>22</v>
      </c>
      <c r="B135" s="687" t="s">
        <v>638</v>
      </c>
      <c r="C135" s="688" t="s">
        <v>649</v>
      </c>
      <c r="D135" s="689">
        <v>12000</v>
      </c>
      <c r="E135" s="738"/>
      <c r="F135" s="386"/>
    </row>
    <row r="136" spans="1:6" ht="48" customHeight="1" thickBot="1">
      <c r="A136" s="382">
        <v>23</v>
      </c>
      <c r="B136" s="687" t="s">
        <v>686</v>
      </c>
      <c r="C136" s="688" t="s">
        <v>649</v>
      </c>
      <c r="D136" s="689">
        <v>6000</v>
      </c>
      <c r="E136" s="738"/>
      <c r="F136" s="386"/>
    </row>
    <row r="137" spans="1:6" ht="48" customHeight="1" thickBot="1">
      <c r="A137" s="382">
        <v>24</v>
      </c>
      <c r="B137" s="687" t="s">
        <v>831</v>
      </c>
      <c r="C137" s="688" t="s">
        <v>649</v>
      </c>
      <c r="D137" s="386"/>
      <c r="E137" s="739">
        <v>12000</v>
      </c>
      <c r="F137" s="386"/>
    </row>
    <row r="138" spans="1:6" ht="48" customHeight="1" thickBot="1">
      <c r="A138" s="382">
        <v>25</v>
      </c>
      <c r="B138" s="687" t="s">
        <v>687</v>
      </c>
      <c r="C138" s="688" t="s">
        <v>649</v>
      </c>
      <c r="D138" s="689">
        <v>6000</v>
      </c>
      <c r="E138" s="738"/>
      <c r="F138" s="386"/>
    </row>
    <row r="139" spans="1:6" ht="32.25" customHeight="1" thickBot="1">
      <c r="A139" s="382">
        <v>26</v>
      </c>
      <c r="B139" s="687" t="s">
        <v>187</v>
      </c>
      <c r="C139" s="688" t="s">
        <v>649</v>
      </c>
      <c r="D139" s="386"/>
      <c r="E139" s="739">
        <v>20000</v>
      </c>
      <c r="F139" s="386"/>
    </row>
    <row r="140" spans="1:6" ht="32.25" customHeight="1" thickBot="1">
      <c r="A140" s="746">
        <v>27</v>
      </c>
      <c r="B140" s="687" t="s">
        <v>152</v>
      </c>
      <c r="C140" s="688" t="s">
        <v>649</v>
      </c>
      <c r="D140" s="386"/>
      <c r="E140" s="739">
        <v>20000</v>
      </c>
      <c r="F140" s="386"/>
    </row>
    <row r="141" spans="1:6" ht="32.25" customHeight="1" thickBot="1">
      <c r="A141" s="746">
        <v>28</v>
      </c>
      <c r="B141" s="687" t="s">
        <v>651</v>
      </c>
      <c r="C141" s="688" t="s">
        <v>650</v>
      </c>
      <c r="D141" s="689">
        <v>3000</v>
      </c>
      <c r="E141" s="738"/>
      <c r="F141" s="386"/>
    </row>
    <row r="142" spans="1:6" ht="32.25" customHeight="1" thickBot="1">
      <c r="A142" s="746">
        <v>29</v>
      </c>
      <c r="B142" s="687" t="s">
        <v>91</v>
      </c>
      <c r="C142" s="688" t="s">
        <v>650</v>
      </c>
      <c r="D142" s="386"/>
      <c r="E142" s="739">
        <v>10000</v>
      </c>
      <c r="F142" s="386"/>
    </row>
    <row r="143" spans="1:6" ht="32.25" customHeight="1" thickBot="1">
      <c r="A143" s="746">
        <v>30</v>
      </c>
      <c r="B143" s="687" t="s">
        <v>658</v>
      </c>
      <c r="C143" s="688" t="s">
        <v>653</v>
      </c>
      <c r="D143" s="689">
        <v>3000</v>
      </c>
      <c r="E143" s="738"/>
      <c r="F143" s="386"/>
    </row>
    <row r="144" spans="1:6" ht="48" customHeight="1" thickBot="1">
      <c r="A144" s="746">
        <v>31</v>
      </c>
      <c r="B144" s="687" t="s">
        <v>56</v>
      </c>
      <c r="C144" s="688" t="s">
        <v>653</v>
      </c>
      <c r="D144" s="386"/>
      <c r="E144" s="739">
        <v>3000</v>
      </c>
      <c r="F144" s="386"/>
    </row>
    <row r="145" spans="1:6" ht="48" customHeight="1" thickBot="1">
      <c r="A145" s="746">
        <v>32</v>
      </c>
      <c r="B145" s="687" t="s">
        <v>689</v>
      </c>
      <c r="C145" s="688" t="s">
        <v>653</v>
      </c>
      <c r="D145" s="689">
        <v>3000</v>
      </c>
      <c r="E145" s="738"/>
      <c r="F145" s="386"/>
    </row>
    <row r="146" spans="1:6" ht="48" customHeight="1" thickBot="1">
      <c r="A146" s="746">
        <v>33</v>
      </c>
      <c r="B146" s="687" t="s">
        <v>749</v>
      </c>
      <c r="C146" s="688" t="s">
        <v>1653</v>
      </c>
      <c r="D146" s="386"/>
      <c r="E146" s="739">
        <v>9000</v>
      </c>
      <c r="F146" s="386"/>
    </row>
    <row r="147" spans="1:6" ht="48" customHeight="1" thickBot="1">
      <c r="A147" s="746">
        <v>34</v>
      </c>
      <c r="B147" s="687" t="s">
        <v>691</v>
      </c>
      <c r="C147" s="688" t="s">
        <v>668</v>
      </c>
      <c r="D147" s="689">
        <v>15000</v>
      </c>
      <c r="E147" s="738"/>
      <c r="F147" s="386"/>
    </row>
    <row r="148" spans="1:6" ht="32.25" customHeight="1" thickBot="1">
      <c r="A148" s="746">
        <v>35</v>
      </c>
      <c r="B148" s="687" t="s">
        <v>1316</v>
      </c>
      <c r="C148" s="688" t="s">
        <v>668</v>
      </c>
      <c r="D148" s="386"/>
      <c r="E148" s="739">
        <v>6000</v>
      </c>
      <c r="F148" s="386"/>
    </row>
    <row r="149" spans="1:6" ht="48" customHeight="1" thickBot="1">
      <c r="A149" s="746">
        <v>36</v>
      </c>
      <c r="B149" s="687" t="s">
        <v>670</v>
      </c>
      <c r="C149" s="688" t="s">
        <v>668</v>
      </c>
      <c r="D149" s="689">
        <v>15000</v>
      </c>
      <c r="E149" s="738"/>
      <c r="F149" s="386"/>
    </row>
    <row r="150" spans="1:6" ht="48" customHeight="1" thickBot="1">
      <c r="A150" s="746">
        <v>37</v>
      </c>
      <c r="B150" s="687" t="s">
        <v>25</v>
      </c>
      <c r="C150" s="688" t="s">
        <v>668</v>
      </c>
      <c r="D150" s="386"/>
      <c r="E150" s="739">
        <v>3000</v>
      </c>
      <c r="F150" s="386"/>
    </row>
    <row r="151" spans="1:6" ht="48" customHeight="1" thickBot="1">
      <c r="A151" s="746">
        <v>38</v>
      </c>
      <c r="B151" s="687" t="s">
        <v>262</v>
      </c>
      <c r="C151" s="688" t="s">
        <v>668</v>
      </c>
      <c r="D151" s="386"/>
      <c r="E151" s="739">
        <v>3000</v>
      </c>
      <c r="F151" s="386"/>
    </row>
    <row r="152" spans="1:6" ht="48" customHeight="1" thickBot="1">
      <c r="A152" s="746">
        <v>39</v>
      </c>
      <c r="B152" s="687" t="s">
        <v>672</v>
      </c>
      <c r="C152" s="688" t="s">
        <v>668</v>
      </c>
      <c r="D152" s="689">
        <v>6000</v>
      </c>
      <c r="E152" s="738"/>
      <c r="F152" s="386"/>
    </row>
    <row r="153" spans="1:6" ht="48" customHeight="1" thickBot="1">
      <c r="A153" s="746">
        <v>40</v>
      </c>
      <c r="B153" s="687" t="s">
        <v>31</v>
      </c>
      <c r="C153" s="688" t="s">
        <v>668</v>
      </c>
      <c r="D153" s="386"/>
      <c r="E153" s="739">
        <v>3000</v>
      </c>
      <c r="F153" s="386"/>
    </row>
    <row r="154" spans="1:6" ht="48" customHeight="1" thickBot="1">
      <c r="A154" s="746">
        <v>41</v>
      </c>
      <c r="B154" s="687" t="s">
        <v>732</v>
      </c>
      <c r="C154" s="688" t="s">
        <v>668</v>
      </c>
      <c r="D154" s="689">
        <v>9000</v>
      </c>
      <c r="E154" s="738"/>
      <c r="F154" s="386"/>
    </row>
    <row r="155" spans="1:6" ht="16.5" thickBot="1">
      <c r="A155" s="746">
        <v>42</v>
      </c>
      <c r="B155" s="687" t="s">
        <v>72</v>
      </c>
      <c r="C155" s="688" t="s">
        <v>674</v>
      </c>
      <c r="D155" s="386"/>
      <c r="E155" s="739">
        <v>10000</v>
      </c>
      <c r="F155" s="386"/>
    </row>
    <row r="156" spans="1:6" ht="16.5" thickBot="1">
      <c r="A156" s="401" t="s">
        <v>758</v>
      </c>
      <c r="B156" s="402"/>
      <c r="C156" s="687"/>
      <c r="D156" s="1147">
        <v>127000</v>
      </c>
      <c r="E156" s="1183">
        <v>219000</v>
      </c>
      <c r="F156" s="389"/>
    </row>
    <row r="157" spans="1:6" ht="36.75" customHeight="1" thickBot="1">
      <c r="A157" s="401" t="s">
        <v>864</v>
      </c>
      <c r="B157" s="402"/>
      <c r="C157" s="687"/>
      <c r="D157" s="1184">
        <v>346000</v>
      </c>
      <c r="E157" s="1193"/>
      <c r="F157" s="386"/>
    </row>
    <row r="158" spans="1:6">
      <c r="A158" s="244" t="s">
        <v>2050</v>
      </c>
    </row>
    <row r="159" spans="1:6">
      <c r="A159" s="244"/>
    </row>
    <row r="160" spans="1:6">
      <c r="A160" s="244"/>
    </row>
    <row r="161" spans="1:4">
      <c r="A161" s="244"/>
    </row>
    <row r="162" spans="1:4">
      <c r="A162" s="244"/>
    </row>
    <row r="163" spans="1:4" ht="15.75">
      <c r="A163" s="205" t="s">
        <v>704</v>
      </c>
    </row>
    <row r="164" spans="1:4" ht="15.75">
      <c r="A164" s="205"/>
    </row>
    <row r="165" spans="1:4" ht="15.75">
      <c r="A165" s="205" t="s">
        <v>1717</v>
      </c>
    </row>
    <row r="166" spans="1:4" ht="15.75">
      <c r="A166" s="232" t="s">
        <v>2051</v>
      </c>
    </row>
    <row r="167" spans="1:4" ht="15.75" thickBot="1">
      <c r="A167" s="987"/>
    </row>
    <row r="168" spans="1:4" ht="32.25" thickBot="1">
      <c r="A168" s="252" t="s">
        <v>0</v>
      </c>
      <c r="B168" s="253" t="s">
        <v>632</v>
      </c>
      <c r="C168" s="988" t="s">
        <v>894</v>
      </c>
      <c r="D168" s="989" t="s">
        <v>634</v>
      </c>
    </row>
    <row r="169" spans="1:4" ht="48" customHeight="1" thickBot="1">
      <c r="A169" s="273">
        <v>1</v>
      </c>
      <c r="B169" s="256" t="s">
        <v>706</v>
      </c>
      <c r="C169" s="1034" t="s">
        <v>889</v>
      </c>
      <c r="D169" s="413"/>
    </row>
    <row r="170" spans="1:4" ht="63.75" customHeight="1" thickBot="1">
      <c r="A170" s="273">
        <v>2</v>
      </c>
      <c r="B170" s="256" t="s">
        <v>708</v>
      </c>
      <c r="C170" s="1034" t="s">
        <v>707</v>
      </c>
      <c r="D170" s="413"/>
    </row>
    <row r="171" spans="1:4" ht="48" customHeight="1" thickBot="1">
      <c r="A171" s="273">
        <v>3</v>
      </c>
      <c r="B171" s="256" t="s">
        <v>1920</v>
      </c>
      <c r="C171" s="1034" t="s">
        <v>707</v>
      </c>
      <c r="D171" s="413"/>
    </row>
    <row r="172" spans="1:4" ht="16.5" thickBot="1">
      <c r="A172" s="273">
        <v>4</v>
      </c>
      <c r="B172" s="256" t="s">
        <v>890</v>
      </c>
      <c r="C172" s="1034" t="s">
        <v>707</v>
      </c>
      <c r="D172" s="413"/>
    </row>
    <row r="173" spans="1:4" ht="16.5" thickBot="1">
      <c r="A173" s="288" t="s">
        <v>758</v>
      </c>
      <c r="B173" s="289"/>
      <c r="C173" s="283" t="s">
        <v>2052</v>
      </c>
      <c r="D173" s="418"/>
    </row>
    <row r="174" spans="1:4">
      <c r="A174" s="244" t="s">
        <v>2053</v>
      </c>
    </row>
    <row r="175" spans="1:4">
      <c r="A175" s="244"/>
    </row>
    <row r="176" spans="1:4">
      <c r="A176" s="244"/>
    </row>
    <row r="177" spans="1:1">
      <c r="A177" s="244"/>
    </row>
    <row r="178" spans="1:1">
      <c r="A178" s="244"/>
    </row>
    <row r="179" spans="1:1">
      <c r="A179" s="244"/>
    </row>
    <row r="180" spans="1:1">
      <c r="A180" s="244"/>
    </row>
    <row r="181" spans="1:1">
      <c r="A181" s="244"/>
    </row>
    <row r="182" spans="1:1">
      <c r="A182" s="244"/>
    </row>
    <row r="183" spans="1:1">
      <c r="A183" s="244"/>
    </row>
    <row r="184" spans="1:1">
      <c r="A184" s="284"/>
    </row>
    <row r="185" spans="1:1">
      <c r="A185" s="284"/>
    </row>
    <row r="186" spans="1:1">
      <c r="A186" s="284"/>
    </row>
    <row r="187" spans="1:1">
      <c r="A187" s="284"/>
    </row>
    <row r="188" spans="1:1">
      <c r="A188" s="284"/>
    </row>
    <row r="189" spans="1:1">
      <c r="A189" s="284"/>
    </row>
  </sheetData>
  <pageMargins left="0.7" right="0.7" top="0.75" bottom="0.75" header="0.3" footer="0.3"/>
  <pageSetup paperSize="9" orientation="portrait" horizontalDpi="300" verticalDpi="300"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1"/>
  <sheetViews>
    <sheetView topLeftCell="A34" workbookViewId="0">
      <selection activeCell="C11" sqref="C11"/>
    </sheetView>
  </sheetViews>
  <sheetFormatPr defaultRowHeight="15"/>
  <cols>
    <col min="2" max="2" width="22.7109375" customWidth="1"/>
    <col min="8" max="8" width="11.5703125" style="561" bestFit="1" customWidth="1"/>
  </cols>
  <sheetData>
    <row r="1" spans="1:8" ht="28.5" customHeight="1" thickBot="1">
      <c r="A1" s="939" t="s">
        <v>0</v>
      </c>
      <c r="B1" s="939" t="s">
        <v>121</v>
      </c>
      <c r="C1" s="939" t="s">
        <v>632</v>
      </c>
      <c r="D1" s="941" t="s">
        <v>894</v>
      </c>
      <c r="E1" s="942"/>
      <c r="F1" s="939" t="s">
        <v>699</v>
      </c>
    </row>
    <row r="2" spans="1:8" ht="15.75" thickBot="1">
      <c r="A2" s="943"/>
      <c r="B2" s="943"/>
      <c r="C2" s="943"/>
      <c r="D2" s="940" t="s">
        <v>828</v>
      </c>
      <c r="E2" s="940" t="s">
        <v>829</v>
      </c>
      <c r="F2" s="943"/>
    </row>
    <row r="3" spans="1:8" ht="17.25" thickBot="1">
      <c r="A3" s="980">
        <v>1</v>
      </c>
      <c r="B3" s="383" t="s">
        <v>207</v>
      </c>
      <c r="C3" s="384" t="s">
        <v>642</v>
      </c>
      <c r="D3" s="312"/>
      <c r="E3" s="314">
        <v>30</v>
      </c>
      <c r="F3" s="312"/>
      <c r="G3">
        <v>1000</v>
      </c>
      <c r="H3" s="561">
        <f>E3*G3</f>
        <v>30000</v>
      </c>
    </row>
    <row r="4" spans="1:8" ht="60.75" customHeight="1" thickBot="1">
      <c r="A4" s="980">
        <v>2</v>
      </c>
      <c r="B4" s="383" t="s">
        <v>1651</v>
      </c>
      <c r="C4" s="384" t="s">
        <v>642</v>
      </c>
      <c r="D4" s="312"/>
      <c r="E4" s="314">
        <v>50</v>
      </c>
      <c r="F4" s="312"/>
      <c r="G4">
        <v>1000</v>
      </c>
      <c r="H4" s="561">
        <f t="shared" ref="H4:H41" si="0">E4*G4</f>
        <v>50000</v>
      </c>
    </row>
    <row r="5" spans="1:8" ht="30.75" customHeight="1" thickBot="1">
      <c r="A5" s="980">
        <v>3</v>
      </c>
      <c r="B5" s="383" t="s">
        <v>744</v>
      </c>
      <c r="C5" s="384" t="s">
        <v>717</v>
      </c>
      <c r="D5" s="314">
        <v>30</v>
      </c>
      <c r="E5" s="312"/>
      <c r="F5" s="312"/>
      <c r="G5">
        <v>1000</v>
      </c>
      <c r="H5" s="561">
        <f t="shared" si="0"/>
        <v>0</v>
      </c>
    </row>
    <row r="6" spans="1:8" ht="30.75" customHeight="1" thickBot="1">
      <c r="A6" s="980">
        <v>4</v>
      </c>
      <c r="B6" s="383" t="s">
        <v>639</v>
      </c>
      <c r="C6" s="384" t="s">
        <v>717</v>
      </c>
      <c r="D6" s="312"/>
      <c r="E6" s="314">
        <v>120</v>
      </c>
      <c r="F6" s="312"/>
      <c r="G6">
        <v>1000</v>
      </c>
      <c r="H6" s="561">
        <f t="shared" si="0"/>
        <v>120000</v>
      </c>
    </row>
    <row r="7" spans="1:8" ht="45.75" customHeight="1" thickBot="1">
      <c r="A7" s="980">
        <v>5</v>
      </c>
      <c r="B7" s="383" t="s">
        <v>210</v>
      </c>
      <c r="C7" s="384" t="s">
        <v>717</v>
      </c>
      <c r="D7" s="312"/>
      <c r="E7" s="314">
        <v>90</v>
      </c>
      <c r="F7" s="312"/>
      <c r="G7">
        <v>1000</v>
      </c>
      <c r="H7" s="561">
        <f t="shared" si="0"/>
        <v>90000</v>
      </c>
    </row>
    <row r="8" spans="1:8" ht="60.75" customHeight="1" thickBot="1">
      <c r="A8" s="980">
        <v>6</v>
      </c>
      <c r="B8" s="383" t="s">
        <v>154</v>
      </c>
      <c r="C8" s="384" t="s">
        <v>717</v>
      </c>
      <c r="D8" s="312"/>
      <c r="E8" s="314">
        <v>30</v>
      </c>
      <c r="F8" s="312"/>
      <c r="G8">
        <v>1000</v>
      </c>
      <c r="H8" s="561">
        <f t="shared" si="0"/>
        <v>30000</v>
      </c>
    </row>
    <row r="9" spans="1:8" ht="45.75" customHeight="1" thickBot="1">
      <c r="A9" s="980">
        <v>7</v>
      </c>
      <c r="B9" s="383" t="s">
        <v>641</v>
      </c>
      <c r="C9" s="384" t="s">
        <v>717</v>
      </c>
      <c r="D9" s="314">
        <v>30</v>
      </c>
      <c r="E9" s="312"/>
      <c r="F9" s="312"/>
      <c r="G9">
        <v>1000</v>
      </c>
      <c r="H9" s="561">
        <f t="shared" si="0"/>
        <v>0</v>
      </c>
    </row>
    <row r="10" spans="1:8" ht="45.75" customHeight="1" thickBot="1">
      <c r="A10" s="980">
        <v>8</v>
      </c>
      <c r="B10" s="383" t="s">
        <v>96</v>
      </c>
      <c r="C10" s="384" t="s">
        <v>717</v>
      </c>
      <c r="D10" s="312"/>
      <c r="E10" s="314">
        <v>90</v>
      </c>
      <c r="F10" s="312"/>
      <c r="G10">
        <v>1000</v>
      </c>
      <c r="H10" s="561">
        <f t="shared" si="0"/>
        <v>90000</v>
      </c>
    </row>
    <row r="11" spans="1:8" ht="45.75" customHeight="1" thickBot="1">
      <c r="A11" s="980">
        <v>9</v>
      </c>
      <c r="B11" s="383" t="s">
        <v>640</v>
      </c>
      <c r="C11" s="384" t="s">
        <v>717</v>
      </c>
      <c r="D11" s="314">
        <v>80</v>
      </c>
      <c r="E11" s="312"/>
      <c r="F11" s="312"/>
      <c r="G11">
        <v>1000</v>
      </c>
      <c r="H11" s="561">
        <f t="shared" si="0"/>
        <v>0</v>
      </c>
    </row>
    <row r="12" spans="1:8" ht="45.75" customHeight="1" thickBot="1">
      <c r="A12" s="980">
        <v>10</v>
      </c>
      <c r="B12" s="383" t="s">
        <v>205</v>
      </c>
      <c r="C12" s="384" t="s">
        <v>649</v>
      </c>
      <c r="D12" s="312"/>
      <c r="E12" s="314">
        <v>60</v>
      </c>
      <c r="F12" s="312"/>
      <c r="G12">
        <v>1000</v>
      </c>
      <c r="H12" s="561">
        <f t="shared" si="0"/>
        <v>60000</v>
      </c>
    </row>
    <row r="13" spans="1:8" ht="45.75" customHeight="1" thickBot="1">
      <c r="A13" s="980">
        <v>11</v>
      </c>
      <c r="B13" s="383" t="s">
        <v>685</v>
      </c>
      <c r="C13" s="384" t="s">
        <v>649</v>
      </c>
      <c r="D13" s="314">
        <v>60</v>
      </c>
      <c r="E13" s="312"/>
      <c r="F13" s="312"/>
      <c r="G13">
        <v>1000</v>
      </c>
      <c r="H13" s="561">
        <f t="shared" si="0"/>
        <v>0</v>
      </c>
    </row>
    <row r="14" spans="1:8" ht="45.75" customHeight="1" thickBot="1">
      <c r="A14" s="980">
        <v>12</v>
      </c>
      <c r="B14" s="383" t="s">
        <v>687</v>
      </c>
      <c r="C14" s="384" t="s">
        <v>649</v>
      </c>
      <c r="D14" s="314">
        <v>30</v>
      </c>
      <c r="E14" s="312"/>
      <c r="F14" s="312"/>
      <c r="G14">
        <v>1000</v>
      </c>
      <c r="H14" s="561">
        <f t="shared" si="0"/>
        <v>0</v>
      </c>
    </row>
    <row r="15" spans="1:8" ht="45.75" customHeight="1" thickBot="1">
      <c r="A15" s="980">
        <v>13</v>
      </c>
      <c r="B15" s="383" t="s">
        <v>81</v>
      </c>
      <c r="C15" s="384" t="s">
        <v>649</v>
      </c>
      <c r="D15" s="312"/>
      <c r="E15" s="314">
        <v>30</v>
      </c>
      <c r="F15" s="312"/>
      <c r="G15">
        <v>1000</v>
      </c>
      <c r="H15" s="561">
        <f t="shared" si="0"/>
        <v>30000</v>
      </c>
    </row>
    <row r="16" spans="1:8" ht="45.75" customHeight="1" thickBot="1">
      <c r="A16" s="980">
        <v>14</v>
      </c>
      <c r="B16" s="383" t="s">
        <v>684</v>
      </c>
      <c r="C16" s="384" t="s">
        <v>649</v>
      </c>
      <c r="D16" s="314">
        <v>60</v>
      </c>
      <c r="E16" s="385"/>
      <c r="F16" s="312"/>
      <c r="G16">
        <v>1000</v>
      </c>
      <c r="H16" s="561">
        <f t="shared" si="0"/>
        <v>0</v>
      </c>
    </row>
    <row r="17" spans="1:8" ht="45.75" customHeight="1" thickBot="1">
      <c r="A17" s="980">
        <v>15</v>
      </c>
      <c r="B17" s="383" t="s">
        <v>686</v>
      </c>
      <c r="C17" s="384" t="s">
        <v>649</v>
      </c>
      <c r="D17" s="314">
        <v>30</v>
      </c>
      <c r="E17" s="312"/>
      <c r="F17" s="312"/>
      <c r="G17">
        <v>1000</v>
      </c>
      <c r="H17" s="561">
        <f t="shared" si="0"/>
        <v>0</v>
      </c>
    </row>
    <row r="18" spans="1:8" ht="30.75" customHeight="1" thickBot="1">
      <c r="A18" s="980">
        <v>16</v>
      </c>
      <c r="B18" s="383" t="s">
        <v>723</v>
      </c>
      <c r="C18" s="384" t="s">
        <v>646</v>
      </c>
      <c r="D18" s="314">
        <v>90</v>
      </c>
      <c r="E18" s="312"/>
      <c r="F18" s="312"/>
      <c r="G18">
        <v>1000</v>
      </c>
      <c r="H18" s="561">
        <f t="shared" si="0"/>
        <v>0</v>
      </c>
    </row>
    <row r="19" spans="1:8" ht="45.75" customHeight="1" thickBot="1">
      <c r="A19" s="980">
        <v>17</v>
      </c>
      <c r="B19" s="383" t="s">
        <v>148</v>
      </c>
      <c r="C19" s="384" t="s">
        <v>646</v>
      </c>
      <c r="D19" s="312"/>
      <c r="E19" s="314">
        <v>30</v>
      </c>
      <c r="F19" s="312"/>
      <c r="G19">
        <v>1000</v>
      </c>
      <c r="H19" s="561">
        <f t="shared" si="0"/>
        <v>30000</v>
      </c>
    </row>
    <row r="20" spans="1:8" ht="45.75" customHeight="1" thickBot="1">
      <c r="A20" s="980">
        <v>18</v>
      </c>
      <c r="B20" s="383" t="s">
        <v>1434</v>
      </c>
      <c r="C20" s="384" t="s">
        <v>646</v>
      </c>
      <c r="D20" s="312"/>
      <c r="E20" s="314">
        <v>20</v>
      </c>
      <c r="F20" s="312"/>
      <c r="G20">
        <v>1000</v>
      </c>
      <c r="H20" s="561">
        <f t="shared" si="0"/>
        <v>20000</v>
      </c>
    </row>
    <row r="21" spans="1:8" ht="45.75" customHeight="1" thickBot="1">
      <c r="A21" s="980">
        <v>19</v>
      </c>
      <c r="B21" s="383" t="s">
        <v>647</v>
      </c>
      <c r="C21" s="384" t="s">
        <v>646</v>
      </c>
      <c r="D21" s="314">
        <v>30</v>
      </c>
      <c r="E21" s="385"/>
      <c r="F21" s="312"/>
      <c r="G21">
        <v>1000</v>
      </c>
      <c r="H21" s="561">
        <f t="shared" si="0"/>
        <v>0</v>
      </c>
    </row>
    <row r="22" spans="1:8" ht="60.75" customHeight="1" thickBot="1">
      <c r="A22" s="980">
        <v>20</v>
      </c>
      <c r="B22" s="383" t="s">
        <v>289</v>
      </c>
      <c r="C22" s="384" t="s">
        <v>646</v>
      </c>
      <c r="D22" s="312"/>
      <c r="E22" s="314">
        <v>30</v>
      </c>
      <c r="F22" s="312"/>
      <c r="G22">
        <v>1000</v>
      </c>
      <c r="H22" s="561">
        <f t="shared" si="0"/>
        <v>30000</v>
      </c>
    </row>
    <row r="23" spans="1:8" ht="30.75" customHeight="1" thickBot="1">
      <c r="A23" s="980">
        <v>21</v>
      </c>
      <c r="B23" s="383" t="s">
        <v>1401</v>
      </c>
      <c r="C23" s="384" t="s">
        <v>650</v>
      </c>
      <c r="D23" s="314">
        <v>60</v>
      </c>
      <c r="E23" s="385"/>
      <c r="F23" s="312"/>
      <c r="G23">
        <v>1000</v>
      </c>
      <c r="H23" s="561">
        <f t="shared" si="0"/>
        <v>0</v>
      </c>
    </row>
    <row r="24" spans="1:8" ht="30.75" customHeight="1" thickBot="1">
      <c r="A24" s="980">
        <v>22</v>
      </c>
      <c r="B24" s="383" t="s">
        <v>688</v>
      </c>
      <c r="C24" s="384" t="s">
        <v>650</v>
      </c>
      <c r="D24" s="314">
        <v>120</v>
      </c>
      <c r="E24" s="385"/>
      <c r="F24" s="312"/>
      <c r="G24">
        <v>1000</v>
      </c>
      <c r="H24" s="561">
        <f t="shared" si="0"/>
        <v>0</v>
      </c>
    </row>
    <row r="25" spans="1:8" ht="30.75" customHeight="1" thickBot="1">
      <c r="A25" s="980">
        <v>23</v>
      </c>
      <c r="B25" s="383" t="s">
        <v>91</v>
      </c>
      <c r="C25" s="384" t="s">
        <v>650</v>
      </c>
      <c r="D25" s="312"/>
      <c r="E25" s="314">
        <v>60</v>
      </c>
      <c r="F25" s="312"/>
      <c r="G25">
        <v>1000</v>
      </c>
      <c r="H25" s="561">
        <f t="shared" si="0"/>
        <v>60000</v>
      </c>
    </row>
    <row r="26" spans="1:8" ht="45.75" customHeight="1" thickBot="1">
      <c r="A26" s="980">
        <v>24</v>
      </c>
      <c r="B26" s="383" t="s">
        <v>269</v>
      </c>
      <c r="C26" s="384" t="s">
        <v>650</v>
      </c>
      <c r="D26" s="312"/>
      <c r="E26" s="314">
        <v>150</v>
      </c>
      <c r="F26" s="312"/>
      <c r="G26">
        <v>1000</v>
      </c>
      <c r="H26" s="561">
        <f t="shared" si="0"/>
        <v>150000</v>
      </c>
    </row>
    <row r="27" spans="1:8" ht="30.75" customHeight="1" thickBot="1">
      <c r="A27" s="980">
        <v>25</v>
      </c>
      <c r="B27" s="383" t="s">
        <v>651</v>
      </c>
      <c r="C27" s="384" t="s">
        <v>650</v>
      </c>
      <c r="D27" s="314">
        <v>30</v>
      </c>
      <c r="E27" s="312"/>
      <c r="F27" s="312"/>
      <c r="G27">
        <v>1000</v>
      </c>
      <c r="H27" s="561">
        <f t="shared" si="0"/>
        <v>0</v>
      </c>
    </row>
    <row r="28" spans="1:8" ht="45.75" customHeight="1" thickBot="1">
      <c r="A28" s="980">
        <v>26</v>
      </c>
      <c r="B28" s="383" t="s">
        <v>727</v>
      </c>
      <c r="C28" s="384" t="s">
        <v>650</v>
      </c>
      <c r="D28" s="314">
        <v>60</v>
      </c>
      <c r="E28" s="385"/>
      <c r="F28" s="312"/>
      <c r="G28">
        <v>1000</v>
      </c>
      <c r="H28" s="561">
        <f t="shared" si="0"/>
        <v>0</v>
      </c>
    </row>
    <row r="29" spans="1:8" ht="45.75" customHeight="1" thickBot="1">
      <c r="A29" s="1140">
        <v>27</v>
      </c>
      <c r="B29" s="383" t="s">
        <v>138</v>
      </c>
      <c r="C29" s="384" t="s">
        <v>653</v>
      </c>
      <c r="D29" s="312"/>
      <c r="E29" s="314">
        <v>30</v>
      </c>
      <c r="F29" s="312"/>
      <c r="G29">
        <v>1000</v>
      </c>
      <c r="H29" s="561">
        <f t="shared" si="0"/>
        <v>30000</v>
      </c>
    </row>
    <row r="30" spans="1:8" ht="45.75" customHeight="1" thickBot="1">
      <c r="A30" s="1140">
        <v>28</v>
      </c>
      <c r="B30" s="383" t="s">
        <v>52</v>
      </c>
      <c r="C30" s="384" t="s">
        <v>653</v>
      </c>
      <c r="D30" s="312"/>
      <c r="E30" s="314">
        <v>60</v>
      </c>
      <c r="F30" s="312"/>
      <c r="G30">
        <v>1000</v>
      </c>
      <c r="H30" s="561">
        <f t="shared" si="0"/>
        <v>60000</v>
      </c>
    </row>
    <row r="31" spans="1:8" ht="45.75" customHeight="1" thickBot="1">
      <c r="A31" s="1140">
        <v>29</v>
      </c>
      <c r="B31" s="383" t="s">
        <v>689</v>
      </c>
      <c r="C31" s="384" t="s">
        <v>653</v>
      </c>
      <c r="D31" s="314">
        <v>30</v>
      </c>
      <c r="E31" s="312"/>
      <c r="F31" s="312"/>
      <c r="G31">
        <v>1000</v>
      </c>
      <c r="H31" s="561">
        <f t="shared" si="0"/>
        <v>0</v>
      </c>
    </row>
    <row r="32" spans="1:8" ht="60.75" customHeight="1" thickBot="1">
      <c r="A32" s="1140">
        <v>30</v>
      </c>
      <c r="B32" s="383" t="s">
        <v>435</v>
      </c>
      <c r="C32" s="384" t="s">
        <v>668</v>
      </c>
      <c r="D32" s="312"/>
      <c r="E32" s="314">
        <v>60</v>
      </c>
      <c r="F32" s="312"/>
      <c r="G32">
        <v>1000</v>
      </c>
      <c r="H32" s="561">
        <f t="shared" si="0"/>
        <v>60000</v>
      </c>
    </row>
    <row r="33" spans="1:8" ht="60.75" customHeight="1" thickBot="1">
      <c r="A33" s="1140">
        <v>31</v>
      </c>
      <c r="B33" s="383" t="s">
        <v>692</v>
      </c>
      <c r="C33" s="384" t="s">
        <v>668</v>
      </c>
      <c r="D33" s="314">
        <v>60</v>
      </c>
      <c r="E33" s="312"/>
      <c r="F33" s="312"/>
      <c r="G33">
        <v>1000</v>
      </c>
      <c r="H33" s="561">
        <f t="shared" si="0"/>
        <v>0</v>
      </c>
    </row>
    <row r="34" spans="1:8" ht="45.75" customHeight="1" thickBot="1">
      <c r="A34" s="1140">
        <v>32</v>
      </c>
      <c r="B34" s="383" t="s">
        <v>672</v>
      </c>
      <c r="C34" s="384" t="s">
        <v>668</v>
      </c>
      <c r="D34" s="314">
        <v>120</v>
      </c>
      <c r="E34" s="312"/>
      <c r="F34" s="312"/>
      <c r="G34">
        <v>1000</v>
      </c>
      <c r="H34" s="561">
        <f t="shared" si="0"/>
        <v>0</v>
      </c>
    </row>
    <row r="35" spans="1:8" ht="30.75" customHeight="1" thickBot="1">
      <c r="A35" s="1140">
        <v>33</v>
      </c>
      <c r="B35" s="383" t="s">
        <v>213</v>
      </c>
      <c r="C35" s="384" t="s">
        <v>668</v>
      </c>
      <c r="D35" s="312"/>
      <c r="E35" s="314">
        <v>30</v>
      </c>
      <c r="F35" s="312"/>
      <c r="G35">
        <v>1000</v>
      </c>
      <c r="H35" s="561">
        <f t="shared" si="0"/>
        <v>30000</v>
      </c>
    </row>
    <row r="36" spans="1:8" ht="45.75" customHeight="1" thickBot="1">
      <c r="A36" s="1140">
        <v>34</v>
      </c>
      <c r="B36" s="383" t="s">
        <v>670</v>
      </c>
      <c r="C36" s="384" t="s">
        <v>668</v>
      </c>
      <c r="D36" s="314">
        <v>90</v>
      </c>
      <c r="E36" s="312"/>
      <c r="F36" s="312"/>
      <c r="G36">
        <v>1000</v>
      </c>
      <c r="H36" s="561">
        <f t="shared" si="0"/>
        <v>0</v>
      </c>
    </row>
    <row r="37" spans="1:8" ht="30.75" customHeight="1" thickBot="1">
      <c r="A37" s="1140">
        <v>35</v>
      </c>
      <c r="B37" s="383" t="s">
        <v>149</v>
      </c>
      <c r="C37" s="384" t="s">
        <v>674</v>
      </c>
      <c r="D37" s="312"/>
      <c r="E37" s="314">
        <v>120</v>
      </c>
      <c r="F37" s="312"/>
      <c r="G37">
        <v>1000</v>
      </c>
      <c r="H37" s="561">
        <f t="shared" si="0"/>
        <v>120000</v>
      </c>
    </row>
    <row r="38" spans="1:8" ht="17.25" thickBot="1">
      <c r="A38" s="1140">
        <v>36</v>
      </c>
      <c r="B38" s="383" t="s">
        <v>675</v>
      </c>
      <c r="C38" s="384" t="s">
        <v>674</v>
      </c>
      <c r="D38" s="314">
        <v>60</v>
      </c>
      <c r="E38" s="312"/>
      <c r="F38" s="312"/>
      <c r="G38">
        <v>1000</v>
      </c>
      <c r="H38" s="561">
        <f t="shared" si="0"/>
        <v>0</v>
      </c>
    </row>
    <row r="39" spans="1:8" ht="33.75" thickBot="1">
      <c r="A39" s="992" t="s">
        <v>758</v>
      </c>
      <c r="B39" s="993"/>
      <c r="C39" s="981"/>
      <c r="D39" s="983" t="s">
        <v>2011</v>
      </c>
      <c r="E39" s="983" t="s">
        <v>2012</v>
      </c>
      <c r="F39" s="983"/>
      <c r="G39">
        <v>1000</v>
      </c>
      <c r="H39" s="561" t="e">
        <f t="shared" si="0"/>
        <v>#VALUE!</v>
      </c>
    </row>
    <row r="40" spans="1:8" ht="17.25" customHeight="1" thickBot="1">
      <c r="A40" s="992" t="s">
        <v>864</v>
      </c>
      <c r="B40" s="993"/>
      <c r="C40" s="981"/>
      <c r="D40" s="992" t="s">
        <v>1437</v>
      </c>
      <c r="E40" s="993"/>
      <c r="F40" s="984"/>
      <c r="G40">
        <v>1000</v>
      </c>
      <c r="H40" s="561">
        <f t="shared" si="0"/>
        <v>0</v>
      </c>
    </row>
    <row r="41" spans="1:8" ht="16.5">
      <c r="A41" s="397" t="s">
        <v>2013</v>
      </c>
      <c r="G41">
        <v>1000</v>
      </c>
      <c r="H41" s="561">
        <f t="shared" si="0"/>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
  <sheetViews>
    <sheetView topLeftCell="A58" workbookViewId="0">
      <selection activeCell="C11" sqref="C11"/>
    </sheetView>
  </sheetViews>
  <sheetFormatPr defaultRowHeight="15"/>
  <cols>
    <col min="2" max="2" width="28.42578125" customWidth="1"/>
  </cols>
  <sheetData>
    <row r="1" spans="1:8" ht="31.5" customHeight="1" thickBot="1">
      <c r="A1" s="380" t="s">
        <v>0</v>
      </c>
      <c r="B1" s="380" t="s">
        <v>121</v>
      </c>
      <c r="C1" s="380" t="s">
        <v>632</v>
      </c>
      <c r="D1" s="398" t="s">
        <v>894</v>
      </c>
      <c r="E1" s="399"/>
      <c r="F1" s="380" t="s">
        <v>699</v>
      </c>
    </row>
    <row r="2" spans="1:8" ht="16.5" thickBot="1">
      <c r="A2" s="400"/>
      <c r="B2" s="400"/>
      <c r="C2" s="400"/>
      <c r="D2" s="381" t="s">
        <v>828</v>
      </c>
      <c r="E2" s="381" t="s">
        <v>829</v>
      </c>
      <c r="F2" s="400"/>
    </row>
    <row r="3" spans="1:8" ht="16.5" thickBot="1">
      <c r="A3" s="382">
        <v>1</v>
      </c>
      <c r="B3" s="687" t="s">
        <v>682</v>
      </c>
      <c r="C3" s="688" t="s">
        <v>642</v>
      </c>
      <c r="D3" s="386">
        <v>110</v>
      </c>
      <c r="E3" s="386"/>
      <c r="F3" s="386"/>
      <c r="G3">
        <v>1000</v>
      </c>
      <c r="H3">
        <f>E3*G3</f>
        <v>0</v>
      </c>
    </row>
    <row r="4" spans="1:8" ht="48" customHeight="1" thickBot="1">
      <c r="A4" s="382">
        <v>2</v>
      </c>
      <c r="B4" s="687" t="s">
        <v>715</v>
      </c>
      <c r="C4" s="688" t="s">
        <v>642</v>
      </c>
      <c r="D4" s="386">
        <v>80</v>
      </c>
      <c r="E4" s="386"/>
      <c r="F4" s="386"/>
      <c r="G4">
        <v>1000</v>
      </c>
      <c r="H4">
        <f t="shared" ref="H4:H47" si="0">E4*G4</f>
        <v>0</v>
      </c>
    </row>
    <row r="5" spans="1:8" ht="48" customHeight="1" thickBot="1">
      <c r="A5" s="382">
        <v>3</v>
      </c>
      <c r="B5" s="687" t="s">
        <v>207</v>
      </c>
      <c r="C5" s="688" t="s">
        <v>642</v>
      </c>
      <c r="D5" s="386"/>
      <c r="E5" s="386">
        <v>50</v>
      </c>
      <c r="F5" s="386"/>
      <c r="G5">
        <v>1000</v>
      </c>
      <c r="H5">
        <f t="shared" si="0"/>
        <v>50000</v>
      </c>
    </row>
    <row r="6" spans="1:8" ht="48" customHeight="1" thickBot="1">
      <c r="A6" s="382">
        <v>4</v>
      </c>
      <c r="B6" s="687" t="s">
        <v>728</v>
      </c>
      <c r="C6" s="688" t="s">
        <v>642</v>
      </c>
      <c r="D6" s="386">
        <v>40</v>
      </c>
      <c r="E6" s="386"/>
      <c r="F6" s="386"/>
      <c r="G6">
        <v>1000</v>
      </c>
      <c r="H6">
        <f t="shared" si="0"/>
        <v>0</v>
      </c>
    </row>
    <row r="7" spans="1:8" ht="63.75" customHeight="1" thickBot="1">
      <c r="A7" s="382">
        <v>5</v>
      </c>
      <c r="B7" s="687" t="s">
        <v>681</v>
      </c>
      <c r="C7" s="688" t="s">
        <v>642</v>
      </c>
      <c r="D7" s="386"/>
      <c r="E7" s="386">
        <v>40</v>
      </c>
      <c r="F7" s="386"/>
      <c r="G7">
        <v>1000</v>
      </c>
      <c r="H7">
        <f t="shared" si="0"/>
        <v>40000</v>
      </c>
    </row>
    <row r="8" spans="1:8" ht="32.25" customHeight="1" thickBot="1">
      <c r="A8" s="382">
        <v>6</v>
      </c>
      <c r="B8" s="687" t="s">
        <v>153</v>
      </c>
      <c r="C8" s="688" t="s">
        <v>642</v>
      </c>
      <c r="D8" s="386"/>
      <c r="E8" s="386">
        <v>60</v>
      </c>
      <c r="F8" s="386"/>
      <c r="G8">
        <v>1000</v>
      </c>
      <c r="H8">
        <f t="shared" si="0"/>
        <v>60000</v>
      </c>
    </row>
    <row r="9" spans="1:8" ht="32.25" customHeight="1" thickBot="1">
      <c r="A9" s="382">
        <v>7</v>
      </c>
      <c r="B9" s="687" t="s">
        <v>744</v>
      </c>
      <c r="C9" s="688" t="s">
        <v>717</v>
      </c>
      <c r="D9" s="386">
        <v>110</v>
      </c>
      <c r="E9" s="386"/>
      <c r="F9" s="386"/>
      <c r="G9">
        <v>1000</v>
      </c>
      <c r="H9">
        <f t="shared" si="0"/>
        <v>0</v>
      </c>
    </row>
    <row r="10" spans="1:8" ht="48" customHeight="1" thickBot="1">
      <c r="A10" s="382">
        <v>8</v>
      </c>
      <c r="B10" s="687" t="s">
        <v>639</v>
      </c>
      <c r="C10" s="688" t="s">
        <v>717</v>
      </c>
      <c r="D10" s="386"/>
      <c r="E10" s="386">
        <v>40</v>
      </c>
      <c r="F10" s="386"/>
      <c r="G10">
        <v>1000</v>
      </c>
      <c r="H10">
        <f t="shared" si="0"/>
        <v>40000</v>
      </c>
    </row>
    <row r="11" spans="1:8" ht="48" customHeight="1" thickBot="1">
      <c r="A11" s="382">
        <v>9</v>
      </c>
      <c r="B11" s="687" t="s">
        <v>210</v>
      </c>
      <c r="C11" s="688" t="s">
        <v>717</v>
      </c>
      <c r="D11" s="386"/>
      <c r="E11" s="386">
        <v>140</v>
      </c>
      <c r="F11" s="386"/>
      <c r="G11">
        <v>1000</v>
      </c>
      <c r="H11">
        <f t="shared" si="0"/>
        <v>140000</v>
      </c>
    </row>
    <row r="12" spans="1:8" ht="63.75" customHeight="1" thickBot="1">
      <c r="A12" s="382">
        <v>10</v>
      </c>
      <c r="B12" s="687" t="s">
        <v>154</v>
      </c>
      <c r="C12" s="688" t="s">
        <v>717</v>
      </c>
      <c r="D12" s="386"/>
      <c r="E12" s="386">
        <v>10</v>
      </c>
      <c r="F12" s="386"/>
      <c r="G12">
        <v>1000</v>
      </c>
      <c r="H12">
        <f t="shared" si="0"/>
        <v>10000</v>
      </c>
    </row>
    <row r="13" spans="1:8" ht="48" customHeight="1" thickBot="1">
      <c r="A13" s="382">
        <v>11</v>
      </c>
      <c r="B13" s="687" t="s">
        <v>641</v>
      </c>
      <c r="C13" s="688" t="s">
        <v>717</v>
      </c>
      <c r="D13" s="386">
        <v>60</v>
      </c>
      <c r="E13" s="387"/>
      <c r="F13" s="386"/>
      <c r="G13">
        <v>1000</v>
      </c>
      <c r="H13">
        <f t="shared" si="0"/>
        <v>0</v>
      </c>
    </row>
    <row r="14" spans="1:8" ht="48" customHeight="1" thickBot="1">
      <c r="A14" s="382">
        <v>12</v>
      </c>
      <c r="B14" s="687" t="s">
        <v>96</v>
      </c>
      <c r="C14" s="688" t="s">
        <v>717</v>
      </c>
      <c r="D14" s="386"/>
      <c r="E14" s="386">
        <v>70</v>
      </c>
      <c r="F14" s="386"/>
      <c r="G14">
        <v>1000</v>
      </c>
      <c r="H14">
        <f t="shared" si="0"/>
        <v>70000</v>
      </c>
    </row>
    <row r="15" spans="1:8" ht="48" customHeight="1" thickBot="1">
      <c r="A15" s="382">
        <v>13</v>
      </c>
      <c r="B15" s="687" t="s">
        <v>721</v>
      </c>
      <c r="C15" s="688" t="s">
        <v>649</v>
      </c>
      <c r="D15" s="386"/>
      <c r="E15" s="386">
        <v>110</v>
      </c>
      <c r="F15" s="386"/>
      <c r="G15">
        <v>1000</v>
      </c>
      <c r="H15">
        <f t="shared" si="0"/>
        <v>110000</v>
      </c>
    </row>
    <row r="16" spans="1:8" ht="48" customHeight="1" thickBot="1">
      <c r="A16" s="382">
        <v>14</v>
      </c>
      <c r="B16" s="687" t="s">
        <v>685</v>
      </c>
      <c r="C16" s="688" t="s">
        <v>649</v>
      </c>
      <c r="D16" s="386">
        <v>330</v>
      </c>
      <c r="E16" s="387"/>
      <c r="F16" s="386"/>
      <c r="G16">
        <v>1000</v>
      </c>
      <c r="H16">
        <f t="shared" si="0"/>
        <v>0</v>
      </c>
    </row>
    <row r="17" spans="1:8" ht="48" customHeight="1" thickBot="1">
      <c r="A17" s="382">
        <v>15</v>
      </c>
      <c r="B17" s="687" t="s">
        <v>687</v>
      </c>
      <c r="C17" s="688" t="s">
        <v>649</v>
      </c>
      <c r="D17" s="386">
        <v>150</v>
      </c>
      <c r="E17" s="688"/>
      <c r="F17" s="386"/>
      <c r="G17">
        <v>1000</v>
      </c>
      <c r="H17">
        <f t="shared" si="0"/>
        <v>0</v>
      </c>
    </row>
    <row r="18" spans="1:8" ht="48" customHeight="1" thickBot="1">
      <c r="A18" s="382">
        <v>16</v>
      </c>
      <c r="B18" s="687" t="s">
        <v>81</v>
      </c>
      <c r="C18" s="688" t="s">
        <v>649</v>
      </c>
      <c r="D18" s="386"/>
      <c r="E18" s="688">
        <v>30</v>
      </c>
      <c r="F18" s="386"/>
      <c r="G18">
        <v>1000</v>
      </c>
      <c r="H18">
        <f t="shared" si="0"/>
        <v>30000</v>
      </c>
    </row>
    <row r="19" spans="1:8" ht="48" customHeight="1" thickBot="1">
      <c r="A19" s="382">
        <v>17</v>
      </c>
      <c r="B19" s="687" t="s">
        <v>684</v>
      </c>
      <c r="C19" s="688" t="s">
        <v>649</v>
      </c>
      <c r="D19" s="386">
        <v>230</v>
      </c>
      <c r="E19" s="386"/>
      <c r="F19" s="386"/>
      <c r="G19">
        <v>1000</v>
      </c>
      <c r="H19">
        <f t="shared" si="0"/>
        <v>0</v>
      </c>
    </row>
    <row r="20" spans="1:8" ht="48" customHeight="1" thickBot="1">
      <c r="A20" s="382">
        <v>18</v>
      </c>
      <c r="B20" s="687" t="s">
        <v>686</v>
      </c>
      <c r="C20" s="688" t="s">
        <v>649</v>
      </c>
      <c r="D20" s="386">
        <v>70</v>
      </c>
      <c r="E20" s="386"/>
      <c r="F20" s="386"/>
      <c r="G20">
        <v>1000</v>
      </c>
      <c r="H20">
        <f t="shared" si="0"/>
        <v>0</v>
      </c>
    </row>
    <row r="21" spans="1:8" ht="48" customHeight="1" thickBot="1">
      <c r="A21" s="382">
        <v>19</v>
      </c>
      <c r="B21" s="687" t="s">
        <v>683</v>
      </c>
      <c r="C21" s="688" t="s">
        <v>646</v>
      </c>
      <c r="D21" s="386">
        <v>120</v>
      </c>
      <c r="E21" s="386"/>
      <c r="F21" s="386"/>
      <c r="G21">
        <v>1000</v>
      </c>
      <c r="H21">
        <f t="shared" si="0"/>
        <v>0</v>
      </c>
    </row>
    <row r="22" spans="1:8" ht="32.25" customHeight="1" thickBot="1">
      <c r="A22" s="382">
        <v>20</v>
      </c>
      <c r="B22" s="687" t="s">
        <v>723</v>
      </c>
      <c r="C22" s="688" t="s">
        <v>646</v>
      </c>
      <c r="D22" s="386">
        <v>30</v>
      </c>
      <c r="E22" s="387"/>
      <c r="F22" s="386"/>
      <c r="G22">
        <v>1000</v>
      </c>
      <c r="H22">
        <f t="shared" si="0"/>
        <v>0</v>
      </c>
    </row>
    <row r="23" spans="1:8" ht="48" customHeight="1" thickBot="1">
      <c r="A23" s="382">
        <v>21</v>
      </c>
      <c r="B23" s="687" t="s">
        <v>168</v>
      </c>
      <c r="C23" s="688" t="s">
        <v>646</v>
      </c>
      <c r="D23" s="386"/>
      <c r="E23" s="386">
        <v>30</v>
      </c>
      <c r="F23" s="386"/>
      <c r="G23">
        <v>1000</v>
      </c>
      <c r="H23">
        <f t="shared" si="0"/>
        <v>30000</v>
      </c>
    </row>
    <row r="24" spans="1:8" ht="48" customHeight="1" thickBot="1">
      <c r="A24" s="382">
        <v>22</v>
      </c>
      <c r="B24" s="687" t="s">
        <v>722</v>
      </c>
      <c r="C24" s="688" t="s">
        <v>646</v>
      </c>
      <c r="D24" s="386">
        <v>30</v>
      </c>
      <c r="E24" s="387"/>
      <c r="F24" s="386"/>
      <c r="G24">
        <v>1000</v>
      </c>
      <c r="H24">
        <f t="shared" si="0"/>
        <v>0</v>
      </c>
    </row>
    <row r="25" spans="1:8" ht="48" customHeight="1" thickBot="1">
      <c r="A25" s="382">
        <v>23</v>
      </c>
      <c r="B25" s="687" t="s">
        <v>1434</v>
      </c>
      <c r="C25" s="688" t="s">
        <v>646</v>
      </c>
      <c r="D25" s="386" t="s">
        <v>1298</v>
      </c>
      <c r="E25" s="386">
        <v>50</v>
      </c>
      <c r="F25" s="386"/>
      <c r="G25">
        <v>1000</v>
      </c>
      <c r="H25">
        <f t="shared" si="0"/>
        <v>50000</v>
      </c>
    </row>
    <row r="26" spans="1:8" ht="48" customHeight="1" thickBot="1">
      <c r="A26" s="382">
        <v>24</v>
      </c>
      <c r="B26" s="687" t="s">
        <v>647</v>
      </c>
      <c r="C26" s="688" t="s">
        <v>646</v>
      </c>
      <c r="D26" s="386">
        <v>30</v>
      </c>
      <c r="E26" s="386"/>
      <c r="F26" s="386"/>
      <c r="G26">
        <v>1000</v>
      </c>
      <c r="H26">
        <f t="shared" si="0"/>
        <v>0</v>
      </c>
    </row>
    <row r="27" spans="1:8" ht="63.75" customHeight="1" thickBot="1">
      <c r="A27" s="382">
        <v>25</v>
      </c>
      <c r="B27" s="687" t="s">
        <v>83</v>
      </c>
      <c r="C27" s="688" t="s">
        <v>650</v>
      </c>
      <c r="D27" s="386"/>
      <c r="E27" s="386">
        <v>60</v>
      </c>
      <c r="F27" s="386"/>
      <c r="G27">
        <v>1000</v>
      </c>
      <c r="H27">
        <f t="shared" si="0"/>
        <v>60000</v>
      </c>
    </row>
    <row r="28" spans="1:8" ht="32.25" customHeight="1" thickBot="1">
      <c r="A28" s="382">
        <v>26</v>
      </c>
      <c r="B28" s="687" t="s">
        <v>645</v>
      </c>
      <c r="C28" s="688" t="s">
        <v>650</v>
      </c>
      <c r="D28" s="386">
        <v>30</v>
      </c>
      <c r="E28" s="387"/>
      <c r="F28" s="386"/>
      <c r="G28">
        <v>1000</v>
      </c>
      <c r="H28">
        <f t="shared" si="0"/>
        <v>0</v>
      </c>
    </row>
    <row r="29" spans="1:8" ht="32.25" customHeight="1" thickBot="1">
      <c r="A29" s="746">
        <v>27</v>
      </c>
      <c r="B29" s="687" t="s">
        <v>1401</v>
      </c>
      <c r="C29" s="688" t="s">
        <v>650</v>
      </c>
      <c r="D29" s="386">
        <v>50</v>
      </c>
      <c r="E29" s="387"/>
      <c r="F29" s="386"/>
      <c r="G29">
        <v>1000</v>
      </c>
      <c r="H29">
        <f t="shared" si="0"/>
        <v>0</v>
      </c>
    </row>
    <row r="30" spans="1:8" ht="32.25" customHeight="1" thickBot="1">
      <c r="A30" s="746">
        <v>28</v>
      </c>
      <c r="B30" s="687" t="s">
        <v>688</v>
      </c>
      <c r="C30" s="688" t="s">
        <v>650</v>
      </c>
      <c r="D30" s="386">
        <v>30</v>
      </c>
      <c r="E30" s="387"/>
      <c r="F30" s="386"/>
      <c r="G30">
        <v>1000</v>
      </c>
      <c r="H30">
        <f t="shared" si="0"/>
        <v>0</v>
      </c>
    </row>
    <row r="31" spans="1:8" ht="48" customHeight="1" thickBot="1">
      <c r="A31" s="746">
        <v>29</v>
      </c>
      <c r="B31" s="687" t="s">
        <v>269</v>
      </c>
      <c r="C31" s="688" t="s">
        <v>650</v>
      </c>
      <c r="D31" s="386"/>
      <c r="E31" s="386">
        <v>60</v>
      </c>
      <c r="F31" s="386"/>
      <c r="G31">
        <v>1000</v>
      </c>
      <c r="H31">
        <f t="shared" si="0"/>
        <v>60000</v>
      </c>
    </row>
    <row r="32" spans="1:8" ht="32.25" customHeight="1" thickBot="1">
      <c r="A32" s="746">
        <v>30</v>
      </c>
      <c r="B32" s="687" t="s">
        <v>651</v>
      </c>
      <c r="C32" s="688" t="s">
        <v>650</v>
      </c>
      <c r="D32" s="386">
        <v>180</v>
      </c>
      <c r="E32" s="386"/>
      <c r="F32" s="386"/>
      <c r="G32">
        <v>1000</v>
      </c>
      <c r="H32">
        <f t="shared" si="0"/>
        <v>0</v>
      </c>
    </row>
    <row r="33" spans="1:8" ht="48" customHeight="1" thickBot="1">
      <c r="A33" s="746">
        <v>31</v>
      </c>
      <c r="B33" s="687" t="s">
        <v>727</v>
      </c>
      <c r="C33" s="688" t="s">
        <v>650</v>
      </c>
      <c r="D33" s="386">
        <v>30</v>
      </c>
      <c r="E33" s="688"/>
      <c r="F33" s="386"/>
      <c r="G33">
        <v>1000</v>
      </c>
      <c r="H33">
        <f t="shared" si="0"/>
        <v>0</v>
      </c>
    </row>
    <row r="34" spans="1:8" ht="48" customHeight="1" thickBot="1">
      <c r="A34" s="746">
        <v>32</v>
      </c>
      <c r="B34" s="687" t="s">
        <v>689</v>
      </c>
      <c r="C34" s="688" t="s">
        <v>653</v>
      </c>
      <c r="D34" s="386">
        <v>30</v>
      </c>
      <c r="E34" s="688"/>
      <c r="F34" s="386"/>
      <c r="G34">
        <v>1000</v>
      </c>
      <c r="H34">
        <f t="shared" si="0"/>
        <v>0</v>
      </c>
    </row>
    <row r="35" spans="1:8" ht="48" customHeight="1" thickBot="1">
      <c r="A35" s="746">
        <v>33</v>
      </c>
      <c r="B35" s="687" t="s">
        <v>60</v>
      </c>
      <c r="C35" s="688" t="s">
        <v>653</v>
      </c>
      <c r="D35" s="386"/>
      <c r="E35" s="386">
        <v>30</v>
      </c>
      <c r="F35" s="386"/>
      <c r="G35">
        <v>1000</v>
      </c>
      <c r="H35">
        <f t="shared" si="0"/>
        <v>30000</v>
      </c>
    </row>
    <row r="36" spans="1:8" ht="48" customHeight="1" thickBot="1">
      <c r="A36" s="746">
        <v>34</v>
      </c>
      <c r="B36" s="687" t="s">
        <v>656</v>
      </c>
      <c r="C36" s="688" t="s">
        <v>653</v>
      </c>
      <c r="D36" s="386">
        <v>60</v>
      </c>
      <c r="E36" s="386"/>
      <c r="F36" s="386"/>
      <c r="G36">
        <v>1000</v>
      </c>
      <c r="H36">
        <f t="shared" si="0"/>
        <v>0</v>
      </c>
    </row>
    <row r="37" spans="1:8" ht="32.25" customHeight="1" thickBot="1">
      <c r="A37" s="746">
        <v>35</v>
      </c>
      <c r="B37" s="687" t="s">
        <v>693</v>
      </c>
      <c r="C37" s="688" t="s">
        <v>668</v>
      </c>
      <c r="D37" s="386">
        <v>40</v>
      </c>
      <c r="E37" s="387"/>
      <c r="F37" s="386"/>
      <c r="G37">
        <v>1000</v>
      </c>
      <c r="H37">
        <f t="shared" si="0"/>
        <v>0</v>
      </c>
    </row>
    <row r="38" spans="1:8" ht="63.75" customHeight="1" thickBot="1">
      <c r="A38" s="746">
        <v>36</v>
      </c>
      <c r="B38" s="687" t="s">
        <v>692</v>
      </c>
      <c r="C38" s="688" t="s">
        <v>668</v>
      </c>
      <c r="D38" s="386">
        <v>100</v>
      </c>
      <c r="E38" s="387"/>
      <c r="F38" s="386"/>
      <c r="G38">
        <v>1000</v>
      </c>
      <c r="H38">
        <f t="shared" si="0"/>
        <v>0</v>
      </c>
    </row>
    <row r="39" spans="1:8" ht="48" customHeight="1" thickBot="1">
      <c r="A39" s="746">
        <v>37</v>
      </c>
      <c r="B39" s="687" t="s">
        <v>672</v>
      </c>
      <c r="C39" s="688" t="s">
        <v>668</v>
      </c>
      <c r="D39" s="386">
        <v>60</v>
      </c>
      <c r="E39" s="387"/>
      <c r="F39" s="386"/>
      <c r="G39">
        <v>1000</v>
      </c>
      <c r="H39">
        <f t="shared" si="0"/>
        <v>0</v>
      </c>
    </row>
    <row r="40" spans="1:8" ht="48" customHeight="1" thickBot="1">
      <c r="A40" s="746">
        <v>38</v>
      </c>
      <c r="B40" s="687" t="s">
        <v>670</v>
      </c>
      <c r="C40" s="688" t="s">
        <v>668</v>
      </c>
      <c r="D40" s="386">
        <v>90</v>
      </c>
      <c r="E40" s="387"/>
      <c r="F40" s="386"/>
      <c r="G40">
        <v>1000</v>
      </c>
      <c r="H40">
        <f t="shared" si="0"/>
        <v>0</v>
      </c>
    </row>
    <row r="41" spans="1:8" ht="48" customHeight="1" thickBot="1">
      <c r="A41" s="746">
        <v>39</v>
      </c>
      <c r="B41" s="687" t="s">
        <v>295</v>
      </c>
      <c r="C41" s="688" t="s">
        <v>668</v>
      </c>
      <c r="D41" s="386"/>
      <c r="E41" s="386">
        <v>30</v>
      </c>
      <c r="F41" s="386"/>
      <c r="G41">
        <v>1000</v>
      </c>
      <c r="H41">
        <f t="shared" si="0"/>
        <v>30000</v>
      </c>
    </row>
    <row r="42" spans="1:8" ht="48" customHeight="1" thickBot="1">
      <c r="A42" s="746">
        <v>40</v>
      </c>
      <c r="B42" s="687" t="s">
        <v>741</v>
      </c>
      <c r="C42" s="688" t="s">
        <v>674</v>
      </c>
      <c r="D42" s="386">
        <v>120</v>
      </c>
      <c r="E42" s="387"/>
      <c r="F42" s="386"/>
      <c r="G42">
        <v>1000</v>
      </c>
      <c r="H42">
        <f t="shared" si="0"/>
        <v>0</v>
      </c>
    </row>
    <row r="43" spans="1:8" ht="32.25" customHeight="1" thickBot="1">
      <c r="A43" s="746">
        <v>41</v>
      </c>
      <c r="B43" s="687" t="s">
        <v>149</v>
      </c>
      <c r="C43" s="688" t="s">
        <v>674</v>
      </c>
      <c r="D43" s="386"/>
      <c r="E43" s="386">
        <v>30</v>
      </c>
      <c r="F43" s="386"/>
      <c r="G43">
        <v>1000</v>
      </c>
      <c r="H43">
        <f t="shared" si="0"/>
        <v>30000</v>
      </c>
    </row>
    <row r="44" spans="1:8" ht="48" customHeight="1" thickBot="1">
      <c r="A44" s="746">
        <v>42</v>
      </c>
      <c r="B44" s="687" t="s">
        <v>1473</v>
      </c>
      <c r="C44" s="688" t="s">
        <v>674</v>
      </c>
      <c r="D44" s="386"/>
      <c r="E44" s="386">
        <v>30</v>
      </c>
      <c r="F44" s="386"/>
      <c r="G44">
        <v>1000</v>
      </c>
      <c r="H44">
        <f t="shared" si="0"/>
        <v>30000</v>
      </c>
    </row>
    <row r="45" spans="1:8" ht="16.5" thickBot="1">
      <c r="A45" s="746">
        <v>43</v>
      </c>
      <c r="B45" s="687" t="s">
        <v>675</v>
      </c>
      <c r="C45" s="688" t="s">
        <v>674</v>
      </c>
      <c r="D45" s="386">
        <v>30</v>
      </c>
      <c r="E45" s="688"/>
      <c r="F45" s="386"/>
      <c r="G45">
        <v>1000</v>
      </c>
      <c r="H45">
        <f t="shared" si="0"/>
        <v>0</v>
      </c>
    </row>
    <row r="46" spans="1:8" ht="32.25" thickBot="1">
      <c r="A46" s="401" t="s">
        <v>758</v>
      </c>
      <c r="B46" s="402"/>
      <c r="C46" s="336"/>
      <c r="D46" s="389" t="s">
        <v>2014</v>
      </c>
      <c r="E46" s="389">
        <v>870</v>
      </c>
      <c r="F46" s="389"/>
      <c r="G46">
        <v>1000</v>
      </c>
      <c r="H46">
        <f t="shared" si="0"/>
        <v>870000</v>
      </c>
    </row>
    <row r="47" spans="1:8" ht="16.5" customHeight="1" thickBot="1">
      <c r="A47" s="401" t="s">
        <v>864</v>
      </c>
      <c r="B47" s="402"/>
      <c r="C47" s="336"/>
      <c r="D47" s="401" t="s">
        <v>2015</v>
      </c>
      <c r="E47" s="402"/>
      <c r="F47" s="390"/>
      <c r="G47">
        <v>1000</v>
      </c>
      <c r="H47">
        <f t="shared" si="0"/>
        <v>0</v>
      </c>
    </row>
    <row r="48" spans="1:8">
      <c r="A48" s="1175"/>
    </row>
    <row r="49" spans="1:2">
      <c r="A49" s="284"/>
    </row>
    <row r="50" spans="1:2">
      <c r="A50" s="284"/>
    </row>
    <row r="51" spans="1:2">
      <c r="A51" s="284"/>
    </row>
    <row r="52" spans="1:2">
      <c r="A52" s="284"/>
    </row>
    <row r="53" spans="1:2">
      <c r="A53" s="284"/>
    </row>
    <row r="54" spans="1:2">
      <c r="A54" s="284"/>
    </row>
    <row r="55" spans="1:2">
      <c r="A55" s="284"/>
    </row>
    <row r="56" spans="1:2">
      <c r="A56" s="284"/>
    </row>
    <row r="57" spans="1:2">
      <c r="A57" s="284"/>
    </row>
    <row r="58" spans="1:2">
      <c r="A58" s="284"/>
    </row>
    <row r="59" spans="1:2" ht="16.5">
      <c r="A59" s="246"/>
      <c r="B59" s="248"/>
    </row>
    <row r="60" spans="1:2" ht="15.75">
      <c r="A60" s="205" t="s">
        <v>678</v>
      </c>
    </row>
    <row r="61" spans="1:2" ht="15.75">
      <c r="A61" s="205"/>
    </row>
    <row r="62" spans="1:2">
      <c r="A62" s="686" t="s">
        <v>1502</v>
      </c>
    </row>
    <row r="63" spans="1:2" ht="15.75">
      <c r="A63" s="232" t="s">
        <v>2016</v>
      </c>
    </row>
    <row r="64" spans="1:2" ht="16.5" thickBot="1">
      <c r="A64" s="232"/>
    </row>
    <row r="65" spans="1:6" ht="31.5" customHeight="1" thickBot="1">
      <c r="A65" s="380" t="s">
        <v>0</v>
      </c>
      <c r="B65" s="380" t="s">
        <v>121</v>
      </c>
      <c r="C65" s="380" t="s">
        <v>632</v>
      </c>
      <c r="D65" s="398" t="s">
        <v>894</v>
      </c>
      <c r="E65" s="399"/>
      <c r="F65" s="380" t="s">
        <v>699</v>
      </c>
    </row>
    <row r="66" spans="1:6" ht="16.5" thickBot="1">
      <c r="A66" s="400"/>
      <c r="B66" s="400"/>
      <c r="C66" s="400"/>
      <c r="D66" s="381" t="s">
        <v>828</v>
      </c>
      <c r="E66" s="381" t="s">
        <v>829</v>
      </c>
      <c r="F66" s="400"/>
    </row>
    <row r="67" spans="1:6" ht="16.5" thickBot="1">
      <c r="A67" s="382">
        <v>1</v>
      </c>
      <c r="B67" s="690" t="s">
        <v>685</v>
      </c>
      <c r="C67" s="1002" t="s">
        <v>649</v>
      </c>
      <c r="D67" s="387">
        <v>300</v>
      </c>
      <c r="E67" s="386"/>
      <c r="F67" s="1002" t="s">
        <v>1503</v>
      </c>
    </row>
    <row r="68" spans="1:6" ht="16.5" thickBot="1">
      <c r="A68" s="401" t="s">
        <v>758</v>
      </c>
      <c r="B68" s="402"/>
      <c r="C68" s="336"/>
      <c r="D68" s="388">
        <v>300000</v>
      </c>
      <c r="E68" s="389"/>
      <c r="F68" s="389"/>
    </row>
    <row r="69" spans="1:6" ht="16.5" customHeight="1" thickBot="1">
      <c r="A69" s="401" t="s">
        <v>864</v>
      </c>
      <c r="B69" s="402"/>
      <c r="C69" s="336"/>
      <c r="D69" s="403">
        <v>300000</v>
      </c>
      <c r="E69" s="404"/>
      <c r="F69" s="390"/>
    </row>
    <row r="70" spans="1:6">
      <c r="A70" s="244"/>
    </row>
    <row r="71" spans="1:6" ht="15.75">
      <c r="A71" s="205"/>
    </row>
    <row r="72" spans="1:6" ht="15.75">
      <c r="A72" s="205" t="s">
        <v>1717</v>
      </c>
    </row>
    <row r="73" spans="1:6" ht="15.75">
      <c r="A73" s="232" t="s">
        <v>2017</v>
      </c>
    </row>
    <row r="74" spans="1:6" ht="15.75" thickBot="1">
      <c r="A74" s="987"/>
    </row>
    <row r="75" spans="1:6" ht="48" thickBot="1">
      <c r="A75" s="252" t="s">
        <v>0</v>
      </c>
      <c r="B75" s="253" t="s">
        <v>632</v>
      </c>
      <c r="C75" s="988" t="s">
        <v>894</v>
      </c>
      <c r="D75" s="989" t="s">
        <v>634</v>
      </c>
    </row>
    <row r="76" spans="1:6" ht="63.75" customHeight="1" thickBot="1">
      <c r="A76" s="273">
        <v>1</v>
      </c>
      <c r="B76" s="256" t="s">
        <v>1920</v>
      </c>
      <c r="C76" s="1176">
        <v>500</v>
      </c>
      <c r="D76" s="413"/>
    </row>
    <row r="77" spans="1:6" ht="63.75" customHeight="1" thickBot="1">
      <c r="A77" s="273">
        <v>2</v>
      </c>
      <c r="B77" s="256" t="s">
        <v>890</v>
      </c>
      <c r="C77" s="1176">
        <v>150</v>
      </c>
      <c r="D77" s="413"/>
    </row>
    <row r="78" spans="1:6" ht="16.5" thickBot="1">
      <c r="A78" s="273">
        <v>3</v>
      </c>
      <c r="B78" s="256" t="s">
        <v>888</v>
      </c>
      <c r="C78" s="1176">
        <v>150</v>
      </c>
      <c r="D78" s="413"/>
    </row>
    <row r="79" spans="1:6" ht="16.5" thickBot="1">
      <c r="A79" s="288" t="s">
        <v>758</v>
      </c>
      <c r="B79" s="289"/>
      <c r="C79" s="283">
        <v>800</v>
      </c>
      <c r="D79" s="418"/>
    </row>
    <row r="80" spans="1:6">
      <c r="A80" s="244"/>
    </row>
    <row r="81" spans="1:1">
      <c r="A81" s="244"/>
    </row>
    <row r="82" spans="1:1">
      <c r="A82" s="244"/>
    </row>
    <row r="83" spans="1:1">
      <c r="A83" s="244"/>
    </row>
    <row r="84" spans="1:1">
      <c r="A84" s="244"/>
    </row>
    <row r="85" spans="1:1">
      <c r="A85" s="244"/>
    </row>
    <row r="86" spans="1:1">
      <c r="A86" s="244"/>
    </row>
    <row r="87" spans="1:1">
      <c r="A87" s="244"/>
    </row>
    <row r="88" spans="1:1">
      <c r="A88" s="244"/>
    </row>
    <row r="89" spans="1:1">
      <c r="A89" s="244"/>
    </row>
    <row r="90" spans="1:1">
      <c r="A90" s="244"/>
    </row>
    <row r="91" spans="1:1">
      <c r="A91" s="244"/>
    </row>
    <row r="92" spans="1:1">
      <c r="A92" s="244"/>
    </row>
    <row r="93" spans="1:1">
      <c r="A93" s="244"/>
    </row>
    <row r="94" spans="1:1">
      <c r="A94" s="244"/>
    </row>
    <row r="95" spans="1:1">
      <c r="A95" s="244"/>
    </row>
    <row r="96" spans="1:1">
      <c r="A96" s="244"/>
    </row>
    <row r="97" spans="1:1">
      <c r="A97" s="244"/>
    </row>
    <row r="98" spans="1:1">
      <c r="A98" s="284"/>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0"/>
  <sheetViews>
    <sheetView workbookViewId="0">
      <selection activeCell="C11" sqref="C11"/>
    </sheetView>
  </sheetViews>
  <sheetFormatPr defaultRowHeight="15"/>
  <cols>
    <col min="2" max="2" width="27.28515625" customWidth="1"/>
    <col min="3" max="3" width="14.28515625" customWidth="1"/>
    <col min="5" max="5" width="11" customWidth="1"/>
    <col min="6" max="6" width="11.5703125" customWidth="1"/>
    <col min="8" max="8" width="14.28515625" style="562" bestFit="1" customWidth="1"/>
  </cols>
  <sheetData>
    <row r="1" spans="1:8" ht="15.75">
      <c r="A1" s="205" t="s">
        <v>1500</v>
      </c>
    </row>
    <row r="2" spans="1:8" ht="16.5" thickBot="1">
      <c r="A2" s="232" t="s">
        <v>2018</v>
      </c>
    </row>
    <row r="3" spans="1:8" ht="31.5" customHeight="1" thickBot="1">
      <c r="A3" s="380" t="s">
        <v>0</v>
      </c>
      <c r="B3" s="380" t="s">
        <v>121</v>
      </c>
      <c r="C3" s="380" t="s">
        <v>632</v>
      </c>
      <c r="D3" s="398" t="s">
        <v>894</v>
      </c>
      <c r="E3" s="399"/>
      <c r="F3" s="1580" t="s">
        <v>699</v>
      </c>
    </row>
    <row r="4" spans="1:8" ht="16.5" thickBot="1">
      <c r="A4" s="400"/>
      <c r="B4" s="400"/>
      <c r="C4" s="400"/>
      <c r="D4" s="381" t="s">
        <v>828</v>
      </c>
      <c r="E4" s="381" t="s">
        <v>829</v>
      </c>
      <c r="F4" s="1581"/>
    </row>
    <row r="5" spans="1:8" ht="16.5" thickBot="1">
      <c r="A5" s="382">
        <v>1</v>
      </c>
      <c r="B5" s="687" t="s">
        <v>1651</v>
      </c>
      <c r="C5" s="688" t="s">
        <v>642</v>
      </c>
      <c r="D5" s="386"/>
      <c r="E5" s="386">
        <v>20</v>
      </c>
      <c r="F5" s="386"/>
      <c r="G5">
        <v>1000</v>
      </c>
      <c r="H5" s="562">
        <f>E5*G5</f>
        <v>20000</v>
      </c>
    </row>
    <row r="6" spans="1:8" ht="48" customHeight="1" thickBot="1">
      <c r="A6" s="382">
        <v>2</v>
      </c>
      <c r="B6" s="687" t="s">
        <v>728</v>
      </c>
      <c r="C6" s="688" t="s">
        <v>642</v>
      </c>
      <c r="D6" s="386">
        <v>40</v>
      </c>
      <c r="E6" s="386"/>
      <c r="F6" s="386"/>
      <c r="G6">
        <v>1000</v>
      </c>
      <c r="H6" s="562">
        <f t="shared" ref="H6:H27" si="0">E6*G6</f>
        <v>0</v>
      </c>
    </row>
    <row r="7" spans="1:8" ht="48" customHeight="1" thickBot="1">
      <c r="A7" s="382">
        <v>3</v>
      </c>
      <c r="B7" s="687" t="s">
        <v>210</v>
      </c>
      <c r="C7" s="688" t="s">
        <v>717</v>
      </c>
      <c r="D7" s="386"/>
      <c r="E7" s="386">
        <v>80</v>
      </c>
      <c r="F7" s="387"/>
      <c r="G7">
        <v>1000</v>
      </c>
      <c r="H7" s="562">
        <f t="shared" si="0"/>
        <v>80000</v>
      </c>
    </row>
    <row r="8" spans="1:8" ht="63.75" customHeight="1" thickBot="1">
      <c r="A8" s="382">
        <v>4</v>
      </c>
      <c r="B8" s="687" t="s">
        <v>154</v>
      </c>
      <c r="C8" s="688" t="s">
        <v>717</v>
      </c>
      <c r="D8" s="386"/>
      <c r="E8" s="386">
        <v>20</v>
      </c>
      <c r="F8" s="386"/>
      <c r="G8">
        <v>1000</v>
      </c>
      <c r="H8" s="562">
        <f t="shared" si="0"/>
        <v>20000</v>
      </c>
    </row>
    <row r="9" spans="1:8" ht="48" customHeight="1" thickBot="1">
      <c r="A9" s="382">
        <v>5</v>
      </c>
      <c r="B9" s="687" t="s">
        <v>641</v>
      </c>
      <c r="C9" s="688" t="s">
        <v>717</v>
      </c>
      <c r="D9" s="386">
        <v>20</v>
      </c>
      <c r="E9" s="386"/>
      <c r="F9" s="386"/>
      <c r="G9">
        <v>1000</v>
      </c>
      <c r="H9" s="562">
        <f t="shared" si="0"/>
        <v>0</v>
      </c>
    </row>
    <row r="10" spans="1:8" ht="48" customHeight="1" thickBot="1">
      <c r="A10" s="382">
        <v>6</v>
      </c>
      <c r="B10" s="687" t="s">
        <v>96</v>
      </c>
      <c r="C10" s="688" t="s">
        <v>717</v>
      </c>
      <c r="D10" s="386"/>
      <c r="E10" s="386">
        <v>20</v>
      </c>
      <c r="F10" s="386"/>
      <c r="G10">
        <v>1000</v>
      </c>
      <c r="H10" s="562">
        <f t="shared" si="0"/>
        <v>20000</v>
      </c>
    </row>
    <row r="11" spans="1:8" ht="48" customHeight="1" thickBot="1">
      <c r="A11" s="382">
        <v>7</v>
      </c>
      <c r="B11" s="687" t="s">
        <v>721</v>
      </c>
      <c r="C11" s="688" t="s">
        <v>649</v>
      </c>
      <c r="D11" s="386"/>
      <c r="E11" s="386">
        <v>40</v>
      </c>
      <c r="F11" s="386"/>
      <c r="G11">
        <v>1000</v>
      </c>
      <c r="H11" s="562">
        <f t="shared" si="0"/>
        <v>40000</v>
      </c>
    </row>
    <row r="12" spans="1:8" ht="48" customHeight="1" thickBot="1">
      <c r="A12" s="382">
        <v>8</v>
      </c>
      <c r="B12" s="687" t="s">
        <v>685</v>
      </c>
      <c r="C12" s="688" t="s">
        <v>649</v>
      </c>
      <c r="D12" s="386">
        <v>40</v>
      </c>
      <c r="E12" s="386"/>
      <c r="F12" s="386"/>
      <c r="G12">
        <v>1000</v>
      </c>
      <c r="H12" s="562">
        <f t="shared" si="0"/>
        <v>0</v>
      </c>
    </row>
    <row r="13" spans="1:8" ht="48" customHeight="1" thickBot="1">
      <c r="A13" s="382">
        <v>9</v>
      </c>
      <c r="B13" s="687" t="s">
        <v>687</v>
      </c>
      <c r="C13" s="688" t="s">
        <v>649</v>
      </c>
      <c r="D13" s="386">
        <v>20</v>
      </c>
      <c r="E13" s="386"/>
      <c r="F13" s="386"/>
      <c r="G13">
        <v>1000</v>
      </c>
      <c r="H13" s="562">
        <f t="shared" si="0"/>
        <v>0</v>
      </c>
    </row>
    <row r="14" spans="1:8" ht="48" customHeight="1" thickBot="1">
      <c r="A14" s="382">
        <v>10</v>
      </c>
      <c r="B14" s="687" t="s">
        <v>684</v>
      </c>
      <c r="C14" s="688" t="s">
        <v>649</v>
      </c>
      <c r="D14" s="386">
        <v>40</v>
      </c>
      <c r="E14" s="386"/>
      <c r="F14" s="386"/>
      <c r="G14">
        <v>1000</v>
      </c>
      <c r="H14" s="562">
        <f t="shared" si="0"/>
        <v>0</v>
      </c>
    </row>
    <row r="15" spans="1:8" ht="48" customHeight="1" thickBot="1">
      <c r="A15" s="382">
        <v>11</v>
      </c>
      <c r="B15" s="687" t="s">
        <v>686</v>
      </c>
      <c r="C15" s="688" t="s">
        <v>649</v>
      </c>
      <c r="D15" s="386">
        <v>40</v>
      </c>
      <c r="E15" s="386"/>
      <c r="F15" s="386"/>
      <c r="G15">
        <v>1000</v>
      </c>
      <c r="H15" s="562">
        <f t="shared" si="0"/>
        <v>0</v>
      </c>
    </row>
    <row r="16" spans="1:8" ht="32.25" customHeight="1" thickBot="1">
      <c r="A16" s="382">
        <v>12</v>
      </c>
      <c r="B16" s="687" t="s">
        <v>723</v>
      </c>
      <c r="C16" s="688" t="s">
        <v>646</v>
      </c>
      <c r="D16" s="386">
        <v>110</v>
      </c>
      <c r="E16" s="386"/>
      <c r="F16" s="386"/>
      <c r="G16">
        <v>1000</v>
      </c>
      <c r="H16" s="562">
        <f t="shared" si="0"/>
        <v>0</v>
      </c>
    </row>
    <row r="17" spans="1:8" ht="48" customHeight="1" thickBot="1">
      <c r="A17" s="382">
        <v>13</v>
      </c>
      <c r="B17" s="687" t="s">
        <v>168</v>
      </c>
      <c r="C17" s="688" t="s">
        <v>646</v>
      </c>
      <c r="D17" s="386"/>
      <c r="E17" s="386">
        <v>60</v>
      </c>
      <c r="F17" s="386"/>
      <c r="G17">
        <v>1000</v>
      </c>
      <c r="H17" s="562">
        <f t="shared" si="0"/>
        <v>60000</v>
      </c>
    </row>
    <row r="18" spans="1:8" ht="48" customHeight="1" thickBot="1">
      <c r="A18" s="382">
        <v>14</v>
      </c>
      <c r="B18" s="687" t="s">
        <v>722</v>
      </c>
      <c r="C18" s="688" t="s">
        <v>646</v>
      </c>
      <c r="D18" s="386">
        <v>60</v>
      </c>
      <c r="E18" s="386"/>
      <c r="F18" s="386"/>
      <c r="G18">
        <v>1000</v>
      </c>
      <c r="H18" s="562">
        <f t="shared" si="0"/>
        <v>0</v>
      </c>
    </row>
    <row r="19" spans="1:8" ht="48" customHeight="1" thickBot="1">
      <c r="A19" s="382">
        <v>15</v>
      </c>
      <c r="B19" s="687" t="s">
        <v>1434</v>
      </c>
      <c r="C19" s="688" t="s">
        <v>646</v>
      </c>
      <c r="D19" s="386"/>
      <c r="E19" s="386">
        <v>60</v>
      </c>
      <c r="F19" s="386"/>
      <c r="G19">
        <v>1000</v>
      </c>
      <c r="H19" s="562">
        <f t="shared" si="0"/>
        <v>60000</v>
      </c>
    </row>
    <row r="20" spans="1:8" ht="16.5" thickBot="1">
      <c r="A20" s="382">
        <v>16</v>
      </c>
      <c r="B20" s="687" t="s">
        <v>1401</v>
      </c>
      <c r="C20" s="688" t="s">
        <v>650</v>
      </c>
      <c r="D20" s="386">
        <v>40</v>
      </c>
      <c r="E20" s="386"/>
      <c r="F20" s="386"/>
      <c r="G20">
        <v>1000</v>
      </c>
      <c r="H20" s="562">
        <f t="shared" si="0"/>
        <v>0</v>
      </c>
    </row>
    <row r="21" spans="1:8" ht="32.25" customHeight="1" thickBot="1">
      <c r="A21" s="382">
        <v>17</v>
      </c>
      <c r="B21" s="687" t="s">
        <v>688</v>
      </c>
      <c r="C21" s="688" t="s">
        <v>650</v>
      </c>
      <c r="D21" s="386">
        <v>20</v>
      </c>
      <c r="E21" s="386"/>
      <c r="F21" s="386"/>
      <c r="G21">
        <v>1000</v>
      </c>
      <c r="H21" s="562">
        <f t="shared" si="0"/>
        <v>0</v>
      </c>
    </row>
    <row r="22" spans="1:8" ht="48" customHeight="1" thickBot="1">
      <c r="A22" s="382">
        <v>18</v>
      </c>
      <c r="B22" s="687" t="s">
        <v>690</v>
      </c>
      <c r="C22" s="688" t="s">
        <v>653</v>
      </c>
      <c r="D22" s="386"/>
      <c r="E22" s="386">
        <v>20</v>
      </c>
      <c r="F22" s="386"/>
      <c r="G22">
        <v>1000</v>
      </c>
      <c r="H22" s="562">
        <f t="shared" si="0"/>
        <v>20000</v>
      </c>
    </row>
    <row r="23" spans="1:8" ht="32.25" customHeight="1" thickBot="1">
      <c r="A23" s="382">
        <v>19</v>
      </c>
      <c r="B23" s="687" t="s">
        <v>693</v>
      </c>
      <c r="C23" s="688" t="s">
        <v>668</v>
      </c>
      <c r="D23" s="386">
        <v>50</v>
      </c>
      <c r="E23" s="386"/>
      <c r="F23" s="386"/>
      <c r="G23">
        <v>1000</v>
      </c>
      <c r="H23" s="562">
        <f t="shared" si="0"/>
        <v>0</v>
      </c>
    </row>
    <row r="24" spans="1:8" ht="16.5" thickBot="1">
      <c r="A24" s="382">
        <v>20</v>
      </c>
      <c r="B24" s="687" t="s">
        <v>182</v>
      </c>
      <c r="C24" s="688" t="s">
        <v>674</v>
      </c>
      <c r="D24" s="386"/>
      <c r="E24" s="386">
        <v>20</v>
      </c>
      <c r="F24" s="386"/>
      <c r="G24">
        <v>1000</v>
      </c>
      <c r="H24" s="562">
        <f t="shared" si="0"/>
        <v>20000</v>
      </c>
    </row>
    <row r="25" spans="1:8" ht="17.25" thickBot="1">
      <c r="A25" s="992" t="s">
        <v>758</v>
      </c>
      <c r="B25" s="993"/>
      <c r="C25" s="981"/>
      <c r="D25" s="983">
        <v>480</v>
      </c>
      <c r="E25" s="983">
        <v>340</v>
      </c>
      <c r="F25" s="983"/>
      <c r="G25">
        <v>1000</v>
      </c>
      <c r="H25" s="562">
        <f t="shared" si="0"/>
        <v>340000</v>
      </c>
    </row>
    <row r="26" spans="1:8" ht="17.25" customHeight="1" thickBot="1">
      <c r="A26" s="992" t="s">
        <v>864</v>
      </c>
      <c r="B26" s="993"/>
      <c r="C26" s="981"/>
      <c r="D26" s="992">
        <v>820</v>
      </c>
      <c r="E26" s="993"/>
      <c r="F26" s="984"/>
      <c r="G26">
        <v>1000</v>
      </c>
      <c r="H26" s="562">
        <f t="shared" si="0"/>
        <v>0</v>
      </c>
    </row>
    <row r="27" spans="1:8">
      <c r="A27" s="244" t="s">
        <v>2019</v>
      </c>
      <c r="G27">
        <v>1000</v>
      </c>
      <c r="H27" s="562">
        <f t="shared" si="0"/>
        <v>0</v>
      </c>
    </row>
    <row r="28" spans="1:8">
      <c r="A28" s="244"/>
    </row>
    <row r="29" spans="1:8">
      <c r="A29" s="244"/>
    </row>
    <row r="30" spans="1:8" ht="16.5">
      <c r="A30" s="246"/>
      <c r="B30" s="248"/>
    </row>
    <row r="31" spans="1:8" ht="15.75">
      <c r="A31" s="205" t="s">
        <v>678</v>
      </c>
    </row>
    <row r="32" spans="1:8" ht="15.75">
      <c r="A32" s="205"/>
    </row>
    <row r="33" spans="1:8" ht="15.75">
      <c r="A33" s="205" t="s">
        <v>1763</v>
      </c>
    </row>
    <row r="34" spans="1:8" ht="15.75">
      <c r="A34" s="205" t="s">
        <v>1764</v>
      </c>
    </row>
    <row r="35" spans="1:8" ht="16.5" thickBot="1">
      <c r="A35" s="232" t="s">
        <v>2020</v>
      </c>
    </row>
    <row r="36" spans="1:8" ht="28.5" customHeight="1" thickBot="1">
      <c r="A36" s="939" t="s">
        <v>0</v>
      </c>
      <c r="B36" s="939" t="s">
        <v>121</v>
      </c>
      <c r="C36" s="939" t="s">
        <v>632</v>
      </c>
      <c r="D36" s="941" t="s">
        <v>894</v>
      </c>
      <c r="E36" s="942"/>
      <c r="F36" s="1570" t="s">
        <v>699</v>
      </c>
    </row>
    <row r="37" spans="1:8" ht="15.75" thickBot="1">
      <c r="A37" s="943"/>
      <c r="B37" s="943"/>
      <c r="C37" s="943"/>
      <c r="D37" s="940" t="s">
        <v>828</v>
      </c>
      <c r="E37" s="940" t="s">
        <v>829</v>
      </c>
      <c r="F37" s="1571"/>
    </row>
    <row r="38" spans="1:8" ht="17.25" thickBot="1">
      <c r="A38" s="980">
        <v>1</v>
      </c>
      <c r="B38" s="929" t="s">
        <v>686</v>
      </c>
      <c r="C38" s="407" t="s">
        <v>649</v>
      </c>
      <c r="D38" s="930">
        <v>30000</v>
      </c>
      <c r="E38" s="312"/>
      <c r="F38" s="312"/>
      <c r="G38">
        <v>1000</v>
      </c>
      <c r="H38" s="562">
        <f>E38*G38</f>
        <v>0</v>
      </c>
    </row>
    <row r="39" spans="1:8" ht="50.25" customHeight="1" thickBot="1">
      <c r="A39" s="980">
        <v>2</v>
      </c>
      <c r="B39" s="929" t="s">
        <v>684</v>
      </c>
      <c r="C39" s="407" t="s">
        <v>649</v>
      </c>
      <c r="D39" s="930">
        <v>10000</v>
      </c>
      <c r="E39" s="312"/>
      <c r="F39" s="312"/>
      <c r="G39">
        <v>1000</v>
      </c>
      <c r="H39" s="562">
        <f t="shared" ref="H39:H43" si="1">E39*G39</f>
        <v>0</v>
      </c>
    </row>
    <row r="40" spans="1:8" ht="66.75" customHeight="1" thickBot="1">
      <c r="A40" s="980">
        <v>3</v>
      </c>
      <c r="B40" s="929" t="s">
        <v>83</v>
      </c>
      <c r="C40" s="407" t="s">
        <v>650</v>
      </c>
      <c r="D40" s="312"/>
      <c r="E40" s="930">
        <v>10000</v>
      </c>
      <c r="F40" s="385"/>
      <c r="H40" s="562">
        <f>E40</f>
        <v>10000</v>
      </c>
    </row>
    <row r="41" spans="1:8" ht="50.25" customHeight="1" thickBot="1">
      <c r="A41" s="980">
        <v>4</v>
      </c>
      <c r="B41" s="929" t="s">
        <v>1401</v>
      </c>
      <c r="C41" s="407" t="s">
        <v>650</v>
      </c>
      <c r="D41" s="930">
        <v>20000</v>
      </c>
      <c r="E41" s="312"/>
      <c r="F41" s="312"/>
      <c r="G41">
        <v>1000</v>
      </c>
      <c r="H41" s="562">
        <f t="shared" si="1"/>
        <v>0</v>
      </c>
    </row>
    <row r="42" spans="1:8" ht="33.75" customHeight="1" thickBot="1">
      <c r="A42" s="980">
        <v>5</v>
      </c>
      <c r="B42" s="929" t="s">
        <v>688</v>
      </c>
      <c r="C42" s="407" t="s">
        <v>650</v>
      </c>
      <c r="D42" s="930">
        <v>130000</v>
      </c>
      <c r="E42" s="312"/>
      <c r="F42" s="312"/>
      <c r="G42">
        <v>1000</v>
      </c>
      <c r="H42" s="562">
        <f t="shared" si="1"/>
        <v>0</v>
      </c>
    </row>
    <row r="43" spans="1:8" ht="17.25" thickBot="1">
      <c r="A43" s="980">
        <v>6</v>
      </c>
      <c r="B43" s="929" t="s">
        <v>659</v>
      </c>
      <c r="C43" s="407" t="s">
        <v>653</v>
      </c>
      <c r="D43" s="930">
        <v>20000</v>
      </c>
      <c r="E43" s="312"/>
      <c r="F43" s="312"/>
      <c r="G43">
        <v>1000</v>
      </c>
      <c r="H43" s="562">
        <f t="shared" si="1"/>
        <v>0</v>
      </c>
    </row>
    <row r="44" spans="1:8" ht="17.25" thickBot="1">
      <c r="A44" s="992" t="s">
        <v>758</v>
      </c>
      <c r="B44" s="993"/>
      <c r="C44" s="981"/>
      <c r="D44" s="982">
        <v>210000</v>
      </c>
      <c r="E44" s="982">
        <v>10000</v>
      </c>
      <c r="F44" s="983"/>
    </row>
    <row r="45" spans="1:8" ht="17.25" customHeight="1" thickBot="1">
      <c r="A45" s="992" t="s">
        <v>864</v>
      </c>
      <c r="B45" s="993"/>
      <c r="C45" s="981"/>
      <c r="D45" s="994">
        <v>220000</v>
      </c>
      <c r="E45" s="995"/>
      <c r="F45" s="984"/>
    </row>
    <row r="46" spans="1:8">
      <c r="A46" s="244" t="s">
        <v>2021</v>
      </c>
    </row>
    <row r="47" spans="1:8">
      <c r="A47" s="244"/>
    </row>
    <row r="48" spans="1:8">
      <c r="A48" s="244"/>
    </row>
    <row r="49" spans="1:2">
      <c r="A49" s="244"/>
    </row>
    <row r="50" spans="1:2">
      <c r="A50" s="244"/>
    </row>
    <row r="51" spans="1:2">
      <c r="A51" s="244"/>
    </row>
    <row r="52" spans="1:2">
      <c r="A52" s="244"/>
    </row>
    <row r="53" spans="1:2">
      <c r="A53" s="244"/>
    </row>
    <row r="54" spans="1:2">
      <c r="A54" s="244"/>
    </row>
    <row r="55" spans="1:2">
      <c r="A55" s="244"/>
    </row>
    <row r="56" spans="1:2">
      <c r="A56" s="244"/>
    </row>
    <row r="57" spans="1:2">
      <c r="A57" s="244"/>
    </row>
    <row r="58" spans="1:2">
      <c r="A58" s="244"/>
    </row>
    <row r="59" spans="1:2">
      <c r="A59" s="244"/>
    </row>
    <row r="60" spans="1:2">
      <c r="A60" s="244"/>
    </row>
    <row r="61" spans="1:2">
      <c r="A61" s="284"/>
    </row>
    <row r="62" spans="1:2" ht="15.75">
      <c r="A62" s="691"/>
      <c r="B62" s="247"/>
    </row>
    <row r="63" spans="1:2" ht="126" customHeight="1">
      <c r="A63" s="594" t="s">
        <v>111</v>
      </c>
      <c r="B63" s="247" t="s">
        <v>932</v>
      </c>
    </row>
    <row r="64" spans="1:2" ht="82.5">
      <c r="A64" s="594" t="s">
        <v>113</v>
      </c>
      <c r="B64" s="588" t="s">
        <v>114</v>
      </c>
    </row>
    <row r="65" spans="1:4" ht="33">
      <c r="A65" s="588" t="s">
        <v>1167</v>
      </c>
      <c r="B65" s="248"/>
    </row>
    <row r="66" spans="1:4" ht="99">
      <c r="A66" s="588" t="s">
        <v>116</v>
      </c>
      <c r="B66" s="248"/>
    </row>
    <row r="67" spans="1:4" ht="16.5">
      <c r="A67" s="246"/>
      <c r="B67" s="248"/>
    </row>
    <row r="68" spans="1:4" ht="15.75">
      <c r="A68" s="205" t="s">
        <v>696</v>
      </c>
    </row>
    <row r="69" spans="1:4" ht="15.75">
      <c r="A69" s="205"/>
    </row>
    <row r="70" spans="1:4" ht="15.75">
      <c r="A70" s="205" t="s">
        <v>1717</v>
      </c>
    </row>
    <row r="71" spans="1:4" ht="15.75">
      <c r="A71" s="232" t="s">
        <v>2020</v>
      </c>
    </row>
    <row r="72" spans="1:4" ht="15.75" thickBot="1">
      <c r="A72" s="987"/>
    </row>
    <row r="73" spans="1:4" ht="48" customHeight="1" thickBot="1">
      <c r="A73" s="252" t="s">
        <v>0</v>
      </c>
      <c r="B73" s="253" t="s">
        <v>632</v>
      </c>
      <c r="C73" s="988" t="s">
        <v>894</v>
      </c>
      <c r="D73" s="989" t="s">
        <v>634</v>
      </c>
    </row>
    <row r="74" spans="1:4" ht="66.75" customHeight="1" thickBot="1">
      <c r="A74" s="240">
        <v>1</v>
      </c>
      <c r="B74" s="368" t="s">
        <v>1920</v>
      </c>
      <c r="C74" s="1143">
        <v>25</v>
      </c>
      <c r="D74" s="303"/>
    </row>
    <row r="75" spans="1:4" ht="83.25" customHeight="1" thickBot="1">
      <c r="A75" s="240">
        <v>2</v>
      </c>
      <c r="B75" s="368" t="s">
        <v>708</v>
      </c>
      <c r="C75" s="1143">
        <v>30</v>
      </c>
      <c r="D75" s="303"/>
    </row>
    <row r="76" spans="1:4" ht="83.25" customHeight="1" thickBot="1">
      <c r="A76" s="240">
        <v>3</v>
      </c>
      <c r="B76" s="368" t="s">
        <v>1450</v>
      </c>
      <c r="C76" s="1143">
        <v>50</v>
      </c>
      <c r="D76" s="303"/>
    </row>
    <row r="77" spans="1:4" ht="33.75" thickBot="1">
      <c r="A77" s="240">
        <v>4</v>
      </c>
      <c r="B77" s="368" t="s">
        <v>837</v>
      </c>
      <c r="C77" s="1143">
        <v>15</v>
      </c>
      <c r="D77" s="303"/>
    </row>
    <row r="78" spans="1:4" ht="17.25" thickBot="1">
      <c r="A78" s="405" t="s">
        <v>758</v>
      </c>
      <c r="B78" s="406"/>
      <c r="C78" s="1144">
        <v>120</v>
      </c>
      <c r="D78" s="1142"/>
    </row>
    <row r="79" spans="1:4">
      <c r="A79" s="244" t="s">
        <v>2022</v>
      </c>
    </row>
    <row r="80" spans="1:4" ht="15.75">
      <c r="A80" s="205"/>
    </row>
  </sheetData>
  <mergeCells count="2">
    <mergeCell ref="F36:F37"/>
    <mergeCell ref="F3:F4"/>
  </mergeCells>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42"/>
  <sheetViews>
    <sheetView topLeftCell="A7" workbookViewId="0">
      <selection activeCell="C11" sqref="C11"/>
    </sheetView>
  </sheetViews>
  <sheetFormatPr defaultRowHeight="15"/>
  <cols>
    <col min="3" max="3" width="44.5703125" customWidth="1"/>
  </cols>
  <sheetData>
    <row r="1" spans="2:7" ht="15.75" thickBot="1"/>
    <row r="2" spans="2:7" ht="31.5" customHeight="1" thickBot="1">
      <c r="B2" s="380" t="s">
        <v>0</v>
      </c>
      <c r="C2" s="380" t="s">
        <v>121</v>
      </c>
      <c r="D2" s="380" t="s">
        <v>632</v>
      </c>
      <c r="E2" s="398" t="s">
        <v>894</v>
      </c>
      <c r="F2" s="399"/>
      <c r="G2" s="380" t="s">
        <v>699</v>
      </c>
    </row>
    <row r="3" spans="2:7" ht="16.5" thickBot="1">
      <c r="B3" s="400"/>
      <c r="C3" s="400"/>
      <c r="D3" s="400"/>
      <c r="E3" s="381" t="s">
        <v>828</v>
      </c>
      <c r="F3" s="381" t="s">
        <v>829</v>
      </c>
      <c r="G3" s="400"/>
    </row>
    <row r="4" spans="2:7" ht="16.5" thickBot="1">
      <c r="B4" s="382">
        <v>1</v>
      </c>
      <c r="C4" s="687" t="s">
        <v>689</v>
      </c>
      <c r="D4" s="688" t="s">
        <v>653</v>
      </c>
      <c r="E4" s="976">
        <v>50000</v>
      </c>
      <c r="F4" s="386"/>
      <c r="G4" s="687"/>
    </row>
    <row r="5" spans="2:7" ht="16.5" thickBot="1">
      <c r="B5" s="382">
        <v>2</v>
      </c>
      <c r="C5" s="687" t="s">
        <v>659</v>
      </c>
      <c r="D5" s="688" t="s">
        <v>653</v>
      </c>
      <c r="E5" s="976">
        <v>150000</v>
      </c>
      <c r="F5" s="387"/>
      <c r="G5" s="687"/>
    </row>
    <row r="6" spans="2:7" ht="16.5" thickBot="1">
      <c r="B6" s="382">
        <v>3</v>
      </c>
      <c r="C6" s="690" t="s">
        <v>60</v>
      </c>
      <c r="D6" s="688" t="s">
        <v>653</v>
      </c>
      <c r="E6" s="387"/>
      <c r="F6" s="1179">
        <v>50000</v>
      </c>
      <c r="G6" s="687"/>
    </row>
    <row r="7" spans="2:7" ht="16.5" thickBot="1">
      <c r="B7" s="382">
        <v>4</v>
      </c>
      <c r="C7" s="690" t="s">
        <v>147</v>
      </c>
      <c r="D7" s="688" t="s">
        <v>653</v>
      </c>
      <c r="E7" s="387"/>
      <c r="F7" s="1179">
        <v>50000</v>
      </c>
      <c r="G7" s="687"/>
    </row>
    <row r="8" spans="2:7" ht="16.5" thickBot="1">
      <c r="B8" s="382">
        <v>5</v>
      </c>
      <c r="C8" s="690" t="s">
        <v>658</v>
      </c>
      <c r="D8" s="688" t="s">
        <v>653</v>
      </c>
      <c r="E8" s="976">
        <v>50000</v>
      </c>
      <c r="F8" s="387"/>
      <c r="G8" s="687"/>
    </row>
    <row r="9" spans="2:7" ht="16.5" thickBot="1">
      <c r="B9" s="382">
        <v>6</v>
      </c>
      <c r="C9" s="687" t="s">
        <v>671</v>
      </c>
      <c r="D9" s="1002" t="s">
        <v>668</v>
      </c>
      <c r="E9" s="976">
        <v>50000</v>
      </c>
      <c r="F9" s="387"/>
      <c r="G9" s="687"/>
    </row>
    <row r="10" spans="2:7" ht="16.5" thickBot="1">
      <c r="B10" s="382">
        <v>7</v>
      </c>
      <c r="C10" s="690" t="s">
        <v>273</v>
      </c>
      <c r="D10" s="1002" t="s">
        <v>668</v>
      </c>
      <c r="E10" s="387"/>
      <c r="F10" s="1179">
        <v>50000</v>
      </c>
      <c r="G10" s="687"/>
    </row>
    <row r="11" spans="2:7" ht="16.5" thickBot="1">
      <c r="B11" s="382">
        <v>8</v>
      </c>
      <c r="C11" s="690" t="s">
        <v>731</v>
      </c>
      <c r="D11" s="1002" t="s">
        <v>668</v>
      </c>
      <c r="E11" s="976">
        <v>50000</v>
      </c>
      <c r="F11" s="386"/>
      <c r="G11" s="687"/>
    </row>
    <row r="12" spans="2:7" ht="16.5" thickBot="1">
      <c r="B12" s="382">
        <v>9</v>
      </c>
      <c r="C12" s="690" t="s">
        <v>1203</v>
      </c>
      <c r="D12" s="1002" t="s">
        <v>668</v>
      </c>
      <c r="E12" s="387"/>
      <c r="F12" s="976">
        <v>50000</v>
      </c>
      <c r="G12" s="687"/>
    </row>
    <row r="13" spans="2:7" ht="16.5" thickBot="1">
      <c r="B13" s="382">
        <v>10</v>
      </c>
      <c r="C13" s="687" t="s">
        <v>1201</v>
      </c>
      <c r="D13" s="1002" t="s">
        <v>668</v>
      </c>
      <c r="E13" s="387"/>
      <c r="F13" s="976">
        <v>50000</v>
      </c>
      <c r="G13" s="687"/>
    </row>
    <row r="14" spans="2:7" ht="16.5" thickBot="1">
      <c r="B14" s="382">
        <v>11</v>
      </c>
      <c r="C14" s="687" t="s">
        <v>2023</v>
      </c>
      <c r="D14" s="1002" t="s">
        <v>668</v>
      </c>
      <c r="E14" s="387"/>
      <c r="F14" s="1179">
        <v>50000</v>
      </c>
      <c r="G14" s="687"/>
    </row>
    <row r="15" spans="2:7" ht="16.5" thickBot="1">
      <c r="B15" s="382">
        <v>12</v>
      </c>
      <c r="C15" s="690" t="s">
        <v>670</v>
      </c>
      <c r="D15" s="1002" t="s">
        <v>668</v>
      </c>
      <c r="E15" s="976">
        <v>100000</v>
      </c>
      <c r="F15" s="386"/>
      <c r="G15" s="687"/>
    </row>
    <row r="16" spans="2:7" ht="16.5" thickBot="1">
      <c r="B16" s="382">
        <v>13</v>
      </c>
      <c r="C16" s="687" t="s">
        <v>39</v>
      </c>
      <c r="D16" s="1002" t="s">
        <v>668</v>
      </c>
      <c r="E16" s="387"/>
      <c r="F16" s="976">
        <v>50000</v>
      </c>
      <c r="G16" s="687"/>
    </row>
    <row r="17" spans="2:7" ht="16.5" thickBot="1">
      <c r="B17" s="382">
        <v>14</v>
      </c>
      <c r="C17" s="690" t="s">
        <v>1205</v>
      </c>
      <c r="D17" s="1002" t="s">
        <v>668</v>
      </c>
      <c r="E17" s="387"/>
      <c r="F17" s="976">
        <v>50000</v>
      </c>
      <c r="G17" s="687"/>
    </row>
    <row r="18" spans="2:7" ht="16.5" thickBot="1">
      <c r="B18" s="382">
        <v>15</v>
      </c>
      <c r="C18" s="690" t="s">
        <v>692</v>
      </c>
      <c r="D18" s="1002" t="s">
        <v>668</v>
      </c>
      <c r="E18" s="976">
        <v>50000</v>
      </c>
      <c r="F18" s="386"/>
      <c r="G18" s="687"/>
    </row>
    <row r="19" spans="2:7" ht="16.5" thickBot="1">
      <c r="B19" s="382">
        <v>16</v>
      </c>
      <c r="C19" s="690" t="s">
        <v>732</v>
      </c>
      <c r="D19" s="1002" t="s">
        <v>668</v>
      </c>
      <c r="E19" s="976">
        <v>50000</v>
      </c>
      <c r="F19" s="386"/>
      <c r="G19" s="687"/>
    </row>
    <row r="20" spans="2:7" ht="16.5" thickBot="1">
      <c r="B20" s="401" t="s">
        <v>676</v>
      </c>
      <c r="C20" s="402"/>
      <c r="D20" s="977"/>
      <c r="E20" s="388">
        <v>550000</v>
      </c>
      <c r="F20" s="388">
        <v>400000</v>
      </c>
      <c r="G20" s="978"/>
    </row>
    <row r="21" spans="2:7" ht="16.5" customHeight="1" thickBot="1">
      <c r="B21" s="401" t="s">
        <v>864</v>
      </c>
      <c r="C21" s="402"/>
      <c r="D21" s="977"/>
      <c r="E21" s="403">
        <v>950000</v>
      </c>
      <c r="F21" s="404"/>
      <c r="G21" s="978"/>
    </row>
    <row r="22" spans="2:7" ht="15.75">
      <c r="B22" s="365" t="s">
        <v>2024</v>
      </c>
    </row>
    <row r="23" spans="2:7" ht="15.75">
      <c r="B23" s="365"/>
    </row>
    <row r="24" spans="2:7">
      <c r="B24" s="284"/>
    </row>
    <row r="25" spans="2:7">
      <c r="B25" s="284"/>
    </row>
    <row r="26" spans="2:7">
      <c r="B26" s="284"/>
    </row>
    <row r="27" spans="2:7" ht="15.75">
      <c r="B27" s="691"/>
      <c r="C27" s="247"/>
    </row>
    <row r="28" spans="2:7" ht="49.5">
      <c r="B28" s="594" t="s">
        <v>111</v>
      </c>
      <c r="C28" s="247" t="s">
        <v>932</v>
      </c>
    </row>
    <row r="29" spans="2:7" ht="82.5">
      <c r="B29" s="594" t="s">
        <v>113</v>
      </c>
      <c r="C29" s="588" t="s">
        <v>114</v>
      </c>
    </row>
    <row r="30" spans="2:7" ht="33">
      <c r="B30" s="588" t="s">
        <v>1167</v>
      </c>
      <c r="C30" s="248"/>
    </row>
    <row r="31" spans="2:7" ht="99">
      <c r="B31" s="588" t="s">
        <v>116</v>
      </c>
      <c r="C31" s="248"/>
    </row>
    <row r="32" spans="2:7" ht="16.5">
      <c r="B32" s="246"/>
      <c r="C32" s="248"/>
    </row>
    <row r="33" spans="2:5" ht="15.75">
      <c r="B33" s="205" t="s">
        <v>678</v>
      </c>
    </row>
    <row r="34" spans="2:5" ht="15.75">
      <c r="B34" s="205"/>
    </row>
    <row r="35" spans="2:5" ht="15.75">
      <c r="B35" s="205" t="s">
        <v>1717</v>
      </c>
    </row>
    <row r="36" spans="2:5" ht="15.75">
      <c r="B36" s="232" t="s">
        <v>2025</v>
      </c>
    </row>
    <row r="37" spans="2:5" ht="15.75" thickBot="1">
      <c r="B37" s="987"/>
    </row>
    <row r="38" spans="2:5" ht="48" thickBot="1">
      <c r="B38" s="252" t="s">
        <v>0</v>
      </c>
      <c r="C38" s="253" t="s">
        <v>632</v>
      </c>
      <c r="D38" s="988" t="s">
        <v>894</v>
      </c>
      <c r="E38" s="989" t="s">
        <v>634</v>
      </c>
    </row>
    <row r="39" spans="2:5" ht="16.5" thickBot="1">
      <c r="B39" s="273">
        <v>1</v>
      </c>
      <c r="C39" s="256" t="s">
        <v>888</v>
      </c>
      <c r="D39" s="1034">
        <v>500</v>
      </c>
      <c r="E39" s="413"/>
    </row>
    <row r="40" spans="2:5" ht="16.5" thickBot="1">
      <c r="B40" s="288" t="s">
        <v>758</v>
      </c>
      <c r="C40" s="289"/>
      <c r="D40" s="283">
        <v>500</v>
      </c>
      <c r="E40" s="418"/>
    </row>
    <row r="41" spans="2:5">
      <c r="B41" s="244" t="s">
        <v>2026</v>
      </c>
    </row>
    <row r="42" spans="2:5">
      <c r="B42" s="284"/>
    </row>
  </sheetData>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1"/>
  <sheetViews>
    <sheetView topLeftCell="A112" workbookViewId="0">
      <selection activeCell="C11" sqref="C11"/>
    </sheetView>
  </sheetViews>
  <sheetFormatPr defaultRowHeight="15"/>
  <cols>
    <col min="2" max="2" width="30.85546875" customWidth="1"/>
  </cols>
  <sheetData>
    <row r="1" spans="1:6" ht="28.5" customHeight="1" thickBot="1">
      <c r="A1" s="939" t="s">
        <v>0</v>
      </c>
      <c r="B1" s="939" t="s">
        <v>121</v>
      </c>
      <c r="C1" s="939" t="s">
        <v>632</v>
      </c>
      <c r="D1" s="941" t="s">
        <v>894</v>
      </c>
      <c r="E1" s="942"/>
      <c r="F1" s="939" t="s">
        <v>699</v>
      </c>
    </row>
    <row r="2" spans="1:6" ht="15.75" thickBot="1">
      <c r="A2" s="943"/>
      <c r="B2" s="943"/>
      <c r="C2" s="943"/>
      <c r="D2" s="940" t="s">
        <v>828</v>
      </c>
      <c r="E2" s="940" t="s">
        <v>829</v>
      </c>
      <c r="F2" s="943"/>
    </row>
    <row r="3" spans="1:6" ht="16.5" thickBot="1">
      <c r="A3" s="382">
        <v>1</v>
      </c>
      <c r="B3" s="687" t="s">
        <v>641</v>
      </c>
      <c r="C3" s="688" t="s">
        <v>636</v>
      </c>
      <c r="D3" s="689">
        <v>20000</v>
      </c>
      <c r="E3" s="386"/>
      <c r="F3" s="386"/>
    </row>
    <row r="4" spans="1:6" ht="16.5" thickBot="1">
      <c r="A4" s="382">
        <v>2</v>
      </c>
      <c r="B4" s="687" t="s">
        <v>210</v>
      </c>
      <c r="C4" s="688" t="s">
        <v>636</v>
      </c>
      <c r="D4" s="386"/>
      <c r="E4" s="689">
        <v>30000</v>
      </c>
      <c r="F4" s="386"/>
    </row>
    <row r="5" spans="1:6" ht="16.5" thickBot="1">
      <c r="A5" s="382">
        <v>3</v>
      </c>
      <c r="B5" s="687" t="s">
        <v>96</v>
      </c>
      <c r="C5" s="688" t="s">
        <v>636</v>
      </c>
      <c r="D5" s="386"/>
      <c r="E5" s="689">
        <v>40000</v>
      </c>
      <c r="F5" s="386"/>
    </row>
    <row r="6" spans="1:6" ht="16.5" thickBot="1">
      <c r="A6" s="382">
        <v>4</v>
      </c>
      <c r="B6" s="687" t="s">
        <v>640</v>
      </c>
      <c r="C6" s="688" t="s">
        <v>636</v>
      </c>
      <c r="D6" s="689">
        <v>55000</v>
      </c>
      <c r="E6" s="386"/>
      <c r="F6" s="386"/>
    </row>
    <row r="7" spans="1:6" ht="16.5" thickBot="1">
      <c r="A7" s="382">
        <v>5</v>
      </c>
      <c r="B7" s="687" t="s">
        <v>98</v>
      </c>
      <c r="C7" s="688" t="s">
        <v>636</v>
      </c>
      <c r="D7" s="386"/>
      <c r="E7" s="689">
        <v>15000</v>
      </c>
      <c r="F7" s="386"/>
    </row>
    <row r="8" spans="1:6" ht="16.5" thickBot="1">
      <c r="A8" s="382">
        <v>6</v>
      </c>
      <c r="B8" s="687" t="s">
        <v>106</v>
      </c>
      <c r="C8" s="688" t="s">
        <v>636</v>
      </c>
      <c r="D8" s="386"/>
      <c r="E8" s="689">
        <v>35000</v>
      </c>
      <c r="F8" s="386"/>
    </row>
    <row r="9" spans="1:6" ht="16.5" thickBot="1">
      <c r="A9" s="382">
        <v>7</v>
      </c>
      <c r="B9" s="687" t="s">
        <v>639</v>
      </c>
      <c r="C9" s="688" t="s">
        <v>636</v>
      </c>
      <c r="D9" s="386"/>
      <c r="E9" s="689">
        <v>35000</v>
      </c>
      <c r="F9" s="386"/>
    </row>
    <row r="10" spans="1:6" ht="16.5" thickBot="1">
      <c r="A10" s="382">
        <v>8</v>
      </c>
      <c r="B10" s="687" t="s">
        <v>154</v>
      </c>
      <c r="C10" s="688" t="s">
        <v>636</v>
      </c>
      <c r="D10" s="386"/>
      <c r="E10" s="689">
        <v>15000</v>
      </c>
      <c r="F10" s="386"/>
    </row>
    <row r="11" spans="1:6" ht="16.5" thickBot="1">
      <c r="A11" s="382">
        <v>9</v>
      </c>
      <c r="B11" s="687" t="s">
        <v>781</v>
      </c>
      <c r="C11" s="688" t="s">
        <v>636</v>
      </c>
      <c r="D11" s="386"/>
      <c r="E11" s="689">
        <v>20000</v>
      </c>
      <c r="F11" s="386"/>
    </row>
    <row r="12" spans="1:6" ht="16.5" thickBot="1">
      <c r="A12" s="382">
        <v>10</v>
      </c>
      <c r="B12" s="687" t="s">
        <v>744</v>
      </c>
      <c r="C12" s="688" t="s">
        <v>636</v>
      </c>
      <c r="D12" s="689">
        <v>30000</v>
      </c>
      <c r="E12" s="386"/>
      <c r="F12" s="386"/>
    </row>
    <row r="13" spans="1:6" ht="16.5" thickBot="1">
      <c r="A13" s="382">
        <v>11</v>
      </c>
      <c r="B13" s="687" t="s">
        <v>637</v>
      </c>
      <c r="C13" s="688" t="s">
        <v>636</v>
      </c>
      <c r="D13" s="689">
        <v>15000</v>
      </c>
      <c r="E13" s="386"/>
      <c r="F13" s="386"/>
    </row>
    <row r="14" spans="1:6" ht="16.5" thickBot="1">
      <c r="A14" s="382">
        <v>12</v>
      </c>
      <c r="B14" s="687" t="s">
        <v>644</v>
      </c>
      <c r="C14" s="688" t="s">
        <v>642</v>
      </c>
      <c r="D14" s="386"/>
      <c r="E14" s="689">
        <v>35000</v>
      </c>
      <c r="F14" s="386"/>
    </row>
    <row r="15" spans="1:6" ht="16.5" thickBot="1">
      <c r="A15" s="382">
        <v>13</v>
      </c>
      <c r="B15" s="687" t="s">
        <v>776</v>
      </c>
      <c r="C15" s="688" t="s">
        <v>642</v>
      </c>
      <c r="D15" s="386"/>
      <c r="E15" s="689">
        <v>280000</v>
      </c>
      <c r="F15" s="386"/>
    </row>
    <row r="16" spans="1:6" ht="16.5" thickBot="1">
      <c r="A16" s="382">
        <v>14</v>
      </c>
      <c r="B16" s="687" t="s">
        <v>778</v>
      </c>
      <c r="C16" s="688" t="s">
        <v>642</v>
      </c>
      <c r="D16" s="386"/>
      <c r="E16" s="689">
        <v>295000</v>
      </c>
      <c r="F16" s="386"/>
    </row>
    <row r="17" spans="1:6" ht="16.5" thickBot="1">
      <c r="A17" s="382">
        <v>15</v>
      </c>
      <c r="B17" s="687" t="s">
        <v>715</v>
      </c>
      <c r="C17" s="688" t="s">
        <v>642</v>
      </c>
      <c r="D17" s="689">
        <v>145000</v>
      </c>
      <c r="E17" s="386"/>
      <c r="F17" s="386"/>
    </row>
    <row r="18" spans="1:6" ht="16.5" thickBot="1">
      <c r="A18" s="382">
        <v>16</v>
      </c>
      <c r="B18" s="687" t="s">
        <v>681</v>
      </c>
      <c r="C18" s="688" t="s">
        <v>642</v>
      </c>
      <c r="D18" s="386"/>
      <c r="E18" s="689">
        <v>80000</v>
      </c>
      <c r="F18" s="386"/>
    </row>
    <row r="19" spans="1:6" ht="16.5" thickBot="1">
      <c r="A19" s="382">
        <v>17</v>
      </c>
      <c r="B19" s="687" t="s">
        <v>207</v>
      </c>
      <c r="C19" s="688" t="s">
        <v>642</v>
      </c>
      <c r="D19" s="386"/>
      <c r="E19" s="689">
        <v>110000</v>
      </c>
      <c r="F19" s="386"/>
    </row>
    <row r="20" spans="1:6" ht="16.5" thickBot="1">
      <c r="A20" s="382">
        <v>18</v>
      </c>
      <c r="B20" s="687" t="s">
        <v>682</v>
      </c>
      <c r="C20" s="688" t="s">
        <v>642</v>
      </c>
      <c r="D20" s="689">
        <v>50000</v>
      </c>
      <c r="E20" s="386"/>
      <c r="F20" s="386"/>
    </row>
    <row r="21" spans="1:6" ht="16.5" thickBot="1">
      <c r="A21" s="382">
        <v>19</v>
      </c>
      <c r="B21" s="687" t="s">
        <v>1651</v>
      </c>
      <c r="C21" s="688" t="s">
        <v>642</v>
      </c>
      <c r="D21" s="386"/>
      <c r="E21" s="689">
        <v>90000</v>
      </c>
      <c r="F21" s="386"/>
    </row>
    <row r="22" spans="1:6" ht="16.5" thickBot="1">
      <c r="A22" s="382">
        <v>20</v>
      </c>
      <c r="B22" s="687" t="s">
        <v>1458</v>
      </c>
      <c r="C22" s="688" t="s">
        <v>642</v>
      </c>
      <c r="D22" s="386"/>
      <c r="E22" s="689">
        <v>25000</v>
      </c>
      <c r="F22" s="386"/>
    </row>
    <row r="23" spans="1:6" ht="16.5" thickBot="1">
      <c r="A23" s="382">
        <v>21</v>
      </c>
      <c r="B23" s="687" t="s">
        <v>1935</v>
      </c>
      <c r="C23" s="688" t="s">
        <v>642</v>
      </c>
      <c r="D23" s="386"/>
      <c r="E23" s="689">
        <v>55000</v>
      </c>
      <c r="F23" s="386"/>
    </row>
    <row r="24" spans="1:6" ht="16.5" thickBot="1">
      <c r="A24" s="382">
        <v>22</v>
      </c>
      <c r="B24" s="687" t="s">
        <v>870</v>
      </c>
      <c r="C24" s="688" t="s">
        <v>642</v>
      </c>
      <c r="D24" s="689">
        <v>30000</v>
      </c>
      <c r="E24" s="386"/>
      <c r="F24" s="386"/>
    </row>
    <row r="25" spans="1:6" ht="16.5" thickBot="1">
      <c r="A25" s="382">
        <v>23</v>
      </c>
      <c r="B25" s="687" t="s">
        <v>153</v>
      </c>
      <c r="C25" s="688" t="s">
        <v>642</v>
      </c>
      <c r="D25" s="386"/>
      <c r="E25" s="689">
        <v>115000</v>
      </c>
      <c r="F25" s="386"/>
    </row>
    <row r="26" spans="1:6" ht="16.5" thickBot="1">
      <c r="A26" s="382">
        <v>24</v>
      </c>
      <c r="B26" s="687" t="s">
        <v>144</v>
      </c>
      <c r="C26" s="688" t="s">
        <v>642</v>
      </c>
      <c r="D26" s="386"/>
      <c r="E26" s="689">
        <v>70000</v>
      </c>
      <c r="F26" s="386"/>
    </row>
    <row r="27" spans="1:6" ht="16.5" thickBot="1">
      <c r="A27" s="382">
        <v>25</v>
      </c>
      <c r="B27" s="687" t="s">
        <v>755</v>
      </c>
      <c r="C27" s="688" t="s">
        <v>642</v>
      </c>
      <c r="D27" s="689">
        <v>50000</v>
      </c>
      <c r="E27" s="386"/>
      <c r="F27" s="386"/>
    </row>
    <row r="28" spans="1:6" ht="16.5" thickBot="1">
      <c r="A28" s="382">
        <v>26</v>
      </c>
      <c r="B28" s="687" t="s">
        <v>647</v>
      </c>
      <c r="C28" s="688" t="s">
        <v>646</v>
      </c>
      <c r="D28" s="689">
        <v>55000</v>
      </c>
      <c r="E28" s="386"/>
      <c r="F28" s="386"/>
    </row>
    <row r="29" spans="1:6" ht="16.5" thickBot="1">
      <c r="A29" s="746">
        <v>27</v>
      </c>
      <c r="B29" s="687" t="s">
        <v>168</v>
      </c>
      <c r="C29" s="688" t="s">
        <v>646</v>
      </c>
      <c r="D29" s="386"/>
      <c r="E29" s="689">
        <v>15000</v>
      </c>
      <c r="F29" s="386"/>
    </row>
    <row r="30" spans="1:6" ht="16.5" thickBot="1">
      <c r="A30" s="746">
        <v>28</v>
      </c>
      <c r="B30" s="687" t="s">
        <v>722</v>
      </c>
      <c r="C30" s="688" t="s">
        <v>646</v>
      </c>
      <c r="D30" s="689">
        <v>50000</v>
      </c>
      <c r="E30" s="386"/>
      <c r="F30" s="386"/>
    </row>
    <row r="31" spans="1:6" ht="16.5" thickBot="1">
      <c r="A31" s="746">
        <v>29</v>
      </c>
      <c r="B31" s="687" t="s">
        <v>683</v>
      </c>
      <c r="C31" s="688" t="s">
        <v>646</v>
      </c>
      <c r="D31" s="689">
        <v>25000</v>
      </c>
      <c r="E31" s="386"/>
      <c r="F31" s="386"/>
    </row>
    <row r="32" spans="1:6" ht="16.5" thickBot="1">
      <c r="A32" s="746">
        <v>30</v>
      </c>
      <c r="B32" s="687" t="s">
        <v>1314</v>
      </c>
      <c r="C32" s="688" t="s">
        <v>646</v>
      </c>
      <c r="D32" s="386"/>
      <c r="E32" s="689">
        <v>90000</v>
      </c>
      <c r="F32" s="386"/>
    </row>
    <row r="33" spans="1:6" ht="16.5" thickBot="1">
      <c r="A33" s="746">
        <v>31</v>
      </c>
      <c r="B33" s="687" t="s">
        <v>65</v>
      </c>
      <c r="C33" s="688" t="s">
        <v>646</v>
      </c>
      <c r="D33" s="386"/>
      <c r="E33" s="689">
        <v>90000</v>
      </c>
      <c r="F33" s="386"/>
    </row>
    <row r="34" spans="1:6" ht="16.5" thickBot="1">
      <c r="A34" s="746">
        <v>32</v>
      </c>
      <c r="B34" s="687" t="s">
        <v>1434</v>
      </c>
      <c r="C34" s="688" t="s">
        <v>646</v>
      </c>
      <c r="D34" s="386"/>
      <c r="E34" s="689">
        <v>75000</v>
      </c>
      <c r="F34" s="386"/>
    </row>
    <row r="35" spans="1:6" ht="16.5" thickBot="1">
      <c r="A35" s="746">
        <v>33</v>
      </c>
      <c r="B35" s="687" t="s">
        <v>289</v>
      </c>
      <c r="C35" s="688" t="s">
        <v>646</v>
      </c>
      <c r="D35" s="386"/>
      <c r="E35" s="689">
        <v>20000</v>
      </c>
      <c r="F35" s="386"/>
    </row>
    <row r="36" spans="1:6" ht="16.5" thickBot="1">
      <c r="A36" s="746">
        <v>34</v>
      </c>
      <c r="B36" s="687" t="s">
        <v>148</v>
      </c>
      <c r="C36" s="688" t="s">
        <v>646</v>
      </c>
      <c r="D36" s="386"/>
      <c r="E36" s="689">
        <v>20000</v>
      </c>
      <c r="F36" s="386"/>
    </row>
    <row r="37" spans="1:6" ht="16.5" thickBot="1">
      <c r="A37" s="746">
        <v>35</v>
      </c>
      <c r="B37" s="687" t="s">
        <v>723</v>
      </c>
      <c r="C37" s="688" t="s">
        <v>646</v>
      </c>
      <c r="D37" s="689">
        <v>20000</v>
      </c>
      <c r="E37" s="386"/>
      <c r="F37" s="386"/>
    </row>
    <row r="38" spans="1:6" ht="16.5" thickBot="1">
      <c r="A38" s="746">
        <v>36</v>
      </c>
      <c r="B38" s="687" t="s">
        <v>2027</v>
      </c>
      <c r="C38" s="688" t="s">
        <v>646</v>
      </c>
      <c r="D38" s="386"/>
      <c r="E38" s="689">
        <v>5000</v>
      </c>
      <c r="F38" s="386"/>
    </row>
    <row r="39" spans="1:6" ht="16.5" thickBot="1">
      <c r="A39" s="746">
        <v>37</v>
      </c>
      <c r="B39" s="687" t="s">
        <v>282</v>
      </c>
      <c r="C39" s="688" t="s">
        <v>646</v>
      </c>
      <c r="D39" s="386"/>
      <c r="E39" s="689">
        <v>50000</v>
      </c>
      <c r="F39" s="386"/>
    </row>
    <row r="40" spans="1:6" ht="16.5" thickBot="1">
      <c r="A40" s="746">
        <v>38</v>
      </c>
      <c r="B40" s="687" t="s">
        <v>152</v>
      </c>
      <c r="C40" s="688" t="s">
        <v>649</v>
      </c>
      <c r="D40" s="386"/>
      <c r="E40" s="689">
        <v>90000</v>
      </c>
      <c r="F40" s="386"/>
    </row>
    <row r="41" spans="1:6" ht="16.5" thickBot="1">
      <c r="A41" s="746">
        <v>39</v>
      </c>
      <c r="B41" s="687" t="s">
        <v>187</v>
      </c>
      <c r="C41" s="688" t="s">
        <v>649</v>
      </c>
      <c r="D41" s="386"/>
      <c r="E41" s="689">
        <v>170000</v>
      </c>
      <c r="F41" s="386"/>
    </row>
    <row r="42" spans="1:6" ht="16.5" thickBot="1">
      <c r="A42" s="746">
        <v>40</v>
      </c>
      <c r="B42" s="687" t="s">
        <v>721</v>
      </c>
      <c r="C42" s="688" t="s">
        <v>649</v>
      </c>
      <c r="D42" s="386"/>
      <c r="E42" s="689">
        <v>60000</v>
      </c>
      <c r="F42" s="386"/>
    </row>
    <row r="43" spans="1:6" ht="16.5" thickBot="1">
      <c r="A43" s="746">
        <v>41</v>
      </c>
      <c r="B43" s="687" t="s">
        <v>686</v>
      </c>
      <c r="C43" s="688" t="s">
        <v>649</v>
      </c>
      <c r="D43" s="689">
        <v>110000</v>
      </c>
      <c r="E43" s="386"/>
      <c r="F43" s="386"/>
    </row>
    <row r="44" spans="1:6" ht="16.5" thickBot="1">
      <c r="A44" s="746">
        <v>42</v>
      </c>
      <c r="B44" s="687" t="s">
        <v>831</v>
      </c>
      <c r="C44" s="688" t="s">
        <v>649</v>
      </c>
      <c r="D44" s="386"/>
      <c r="E44" s="689">
        <v>170000</v>
      </c>
      <c r="F44" s="386"/>
    </row>
    <row r="45" spans="1:6" ht="16.5" thickBot="1">
      <c r="A45" s="746">
        <v>43</v>
      </c>
      <c r="B45" s="687" t="s">
        <v>685</v>
      </c>
      <c r="C45" s="688" t="s">
        <v>649</v>
      </c>
      <c r="D45" s="689">
        <v>70000</v>
      </c>
      <c r="E45" s="386"/>
      <c r="F45" s="386"/>
    </row>
    <row r="46" spans="1:6" ht="16.5" thickBot="1">
      <c r="A46" s="746">
        <v>44</v>
      </c>
      <c r="B46" s="687" t="s">
        <v>205</v>
      </c>
      <c r="C46" s="688" t="s">
        <v>649</v>
      </c>
      <c r="D46" s="386"/>
      <c r="E46" s="689">
        <v>65000</v>
      </c>
      <c r="F46" s="386"/>
    </row>
    <row r="47" spans="1:6" ht="16.5" thickBot="1">
      <c r="A47" s="746">
        <v>45</v>
      </c>
      <c r="B47" s="687" t="s">
        <v>81</v>
      </c>
      <c r="C47" s="688" t="s">
        <v>649</v>
      </c>
      <c r="D47" s="386"/>
      <c r="E47" s="689">
        <v>30000</v>
      </c>
      <c r="F47" s="386"/>
    </row>
    <row r="48" spans="1:6" ht="16.5" thickBot="1">
      <c r="A48" s="746">
        <v>46</v>
      </c>
      <c r="B48" s="687" t="s">
        <v>638</v>
      </c>
      <c r="C48" s="688" t="s">
        <v>649</v>
      </c>
      <c r="D48" s="689">
        <v>70000</v>
      </c>
      <c r="E48" s="386"/>
      <c r="F48" s="386"/>
    </row>
    <row r="49" spans="1:6" ht="16.5" thickBot="1">
      <c r="A49" s="746">
        <v>47</v>
      </c>
      <c r="B49" s="687" t="s">
        <v>27</v>
      </c>
      <c r="C49" s="688" t="s">
        <v>649</v>
      </c>
      <c r="D49" s="386"/>
      <c r="E49" s="689">
        <v>60000</v>
      </c>
      <c r="F49" s="386"/>
    </row>
    <row r="50" spans="1:6" ht="16.5" thickBot="1">
      <c r="A50" s="746">
        <v>48</v>
      </c>
      <c r="B50" s="687" t="s">
        <v>684</v>
      </c>
      <c r="C50" s="688" t="s">
        <v>649</v>
      </c>
      <c r="D50" s="689">
        <v>40000</v>
      </c>
      <c r="E50" s="386"/>
      <c r="F50" s="386"/>
    </row>
    <row r="51" spans="1:6" ht="16.5" thickBot="1">
      <c r="A51" s="746">
        <v>49</v>
      </c>
      <c r="B51" s="687" t="s">
        <v>687</v>
      </c>
      <c r="C51" s="688" t="s">
        <v>649</v>
      </c>
      <c r="D51" s="689">
        <v>30000</v>
      </c>
      <c r="E51" s="386"/>
      <c r="F51" s="386"/>
    </row>
    <row r="52" spans="1:6" ht="16.5" thickBot="1">
      <c r="A52" s="746">
        <v>50</v>
      </c>
      <c r="B52" s="687" t="s">
        <v>691</v>
      </c>
      <c r="C52" s="688" t="s">
        <v>649</v>
      </c>
      <c r="D52" s="386"/>
      <c r="E52" s="689">
        <v>55000</v>
      </c>
      <c r="F52" s="386"/>
    </row>
    <row r="53" spans="1:6" ht="16.5" thickBot="1">
      <c r="A53" s="746">
        <v>51</v>
      </c>
      <c r="B53" s="687" t="s">
        <v>645</v>
      </c>
      <c r="C53" s="688" t="s">
        <v>650</v>
      </c>
      <c r="D53" s="689">
        <v>55000</v>
      </c>
      <c r="E53" s="386"/>
      <c r="F53" s="386"/>
    </row>
    <row r="54" spans="1:6" ht="16.5" thickBot="1">
      <c r="A54" s="746">
        <v>52</v>
      </c>
      <c r="B54" s="687" t="s">
        <v>91</v>
      </c>
      <c r="C54" s="688" t="s">
        <v>650</v>
      </c>
      <c r="D54" s="386"/>
      <c r="E54" s="689">
        <v>130000</v>
      </c>
      <c r="F54" s="386"/>
    </row>
    <row r="55" spans="1:6" ht="16.5" thickBot="1">
      <c r="A55" s="746">
        <v>53</v>
      </c>
      <c r="B55" s="687" t="s">
        <v>1950</v>
      </c>
      <c r="C55" s="688" t="s">
        <v>650</v>
      </c>
      <c r="D55" s="386"/>
      <c r="E55" s="689">
        <v>290000</v>
      </c>
      <c r="F55" s="386"/>
    </row>
    <row r="56" spans="1:6" ht="16.5" thickBot="1">
      <c r="A56" s="746">
        <v>54</v>
      </c>
      <c r="B56" s="687" t="s">
        <v>269</v>
      </c>
      <c r="C56" s="688" t="s">
        <v>650</v>
      </c>
      <c r="D56" s="386"/>
      <c r="E56" s="689">
        <v>80000</v>
      </c>
      <c r="F56" s="386"/>
    </row>
    <row r="57" spans="1:6" ht="16.5" thickBot="1">
      <c r="A57" s="746">
        <v>55</v>
      </c>
      <c r="B57" s="687" t="s">
        <v>651</v>
      </c>
      <c r="C57" s="688" t="s">
        <v>650</v>
      </c>
      <c r="D57" s="689">
        <v>65000</v>
      </c>
      <c r="E57" s="386"/>
      <c r="F57" s="386"/>
    </row>
    <row r="58" spans="1:6" ht="16.5" thickBot="1">
      <c r="A58" s="746">
        <v>56</v>
      </c>
      <c r="B58" s="687" t="s">
        <v>727</v>
      </c>
      <c r="C58" s="688" t="s">
        <v>650</v>
      </c>
      <c r="D58" s="689">
        <v>50000</v>
      </c>
      <c r="E58" s="386"/>
      <c r="F58" s="386"/>
    </row>
    <row r="59" spans="1:6" ht="16.5" thickBot="1">
      <c r="A59" s="746">
        <v>57</v>
      </c>
      <c r="B59" s="687" t="s">
        <v>1401</v>
      </c>
      <c r="C59" s="688" t="s">
        <v>650</v>
      </c>
      <c r="D59" s="689">
        <v>25000</v>
      </c>
      <c r="E59" s="386"/>
      <c r="F59" s="386"/>
    </row>
    <row r="60" spans="1:6" ht="16.5" thickBot="1">
      <c r="A60" s="746">
        <v>58</v>
      </c>
      <c r="B60" s="687" t="s">
        <v>688</v>
      </c>
      <c r="C60" s="688" t="s">
        <v>650</v>
      </c>
      <c r="D60" s="689">
        <v>90000</v>
      </c>
      <c r="E60" s="386"/>
      <c r="F60" s="386"/>
    </row>
    <row r="61" spans="1:6" ht="16.5" thickBot="1">
      <c r="A61" s="746">
        <v>59</v>
      </c>
      <c r="B61" s="687" t="s">
        <v>83</v>
      </c>
      <c r="C61" s="688" t="s">
        <v>650</v>
      </c>
      <c r="D61" s="386"/>
      <c r="E61" s="689">
        <v>30000</v>
      </c>
      <c r="F61" s="386"/>
    </row>
    <row r="62" spans="1:6" ht="16.5" thickBot="1">
      <c r="A62" s="746">
        <v>60</v>
      </c>
      <c r="B62" s="687" t="s">
        <v>765</v>
      </c>
      <c r="C62" s="688" t="s">
        <v>650</v>
      </c>
      <c r="D62" s="386"/>
      <c r="E62" s="689">
        <v>15000</v>
      </c>
      <c r="F62" s="386"/>
    </row>
    <row r="63" spans="1:6" ht="16.5" thickBot="1">
      <c r="A63" s="746">
        <v>61</v>
      </c>
      <c r="B63" s="687" t="s">
        <v>728</v>
      </c>
      <c r="C63" s="688" t="s">
        <v>642</v>
      </c>
      <c r="D63" s="689">
        <v>15000</v>
      </c>
      <c r="E63" s="386"/>
      <c r="F63" s="386"/>
    </row>
    <row r="64" spans="1:6" ht="16.5" thickBot="1">
      <c r="A64" s="746">
        <v>62</v>
      </c>
      <c r="B64" s="687" t="s">
        <v>14</v>
      </c>
      <c r="C64" s="688" t="s">
        <v>774</v>
      </c>
      <c r="D64" s="386"/>
      <c r="E64" s="689">
        <v>10000</v>
      </c>
      <c r="F64" s="386"/>
    </row>
    <row r="65" spans="1:6" ht="16.5" thickBot="1">
      <c r="A65" s="746">
        <v>63</v>
      </c>
      <c r="B65" s="687" t="s">
        <v>50</v>
      </c>
      <c r="C65" s="688" t="s">
        <v>653</v>
      </c>
      <c r="D65" s="386"/>
      <c r="E65" s="689">
        <v>45000</v>
      </c>
      <c r="F65" s="386"/>
    </row>
    <row r="66" spans="1:6" ht="16.5" thickBot="1">
      <c r="A66" s="746">
        <v>64</v>
      </c>
      <c r="B66" s="687" t="s">
        <v>689</v>
      </c>
      <c r="C66" s="688" t="s">
        <v>653</v>
      </c>
      <c r="D66" s="689">
        <v>70000</v>
      </c>
      <c r="E66" s="386"/>
      <c r="F66" s="386"/>
    </row>
    <row r="67" spans="1:6" ht="16.5" thickBot="1">
      <c r="A67" s="746">
        <v>65</v>
      </c>
      <c r="B67" s="687" t="s">
        <v>659</v>
      </c>
      <c r="C67" s="688" t="s">
        <v>653</v>
      </c>
      <c r="D67" s="689">
        <v>65000</v>
      </c>
      <c r="E67" s="386"/>
      <c r="F67" s="386"/>
    </row>
    <row r="68" spans="1:6" ht="16.5" thickBot="1">
      <c r="A68" s="746">
        <v>66</v>
      </c>
      <c r="B68" s="687" t="s">
        <v>48</v>
      </c>
      <c r="C68" s="688" t="s">
        <v>653</v>
      </c>
      <c r="D68" s="386"/>
      <c r="E68" s="689">
        <v>55000</v>
      </c>
      <c r="F68" s="386"/>
    </row>
    <row r="69" spans="1:6" ht="16.5" thickBot="1">
      <c r="A69" s="746">
        <v>67</v>
      </c>
      <c r="B69" s="687" t="s">
        <v>60</v>
      </c>
      <c r="C69" s="688" t="s">
        <v>653</v>
      </c>
      <c r="D69" s="386"/>
      <c r="E69" s="689">
        <v>90000</v>
      </c>
      <c r="F69" s="386"/>
    </row>
    <row r="70" spans="1:6" ht="16.5" thickBot="1">
      <c r="A70" s="746">
        <v>68</v>
      </c>
      <c r="B70" s="687" t="s">
        <v>138</v>
      </c>
      <c r="C70" s="688" t="s">
        <v>653</v>
      </c>
      <c r="D70" s="386"/>
      <c r="E70" s="689">
        <v>35000</v>
      </c>
      <c r="F70" s="386"/>
    </row>
    <row r="71" spans="1:6" ht="16.5" thickBot="1">
      <c r="A71" s="746">
        <v>69</v>
      </c>
      <c r="B71" s="687" t="s">
        <v>52</v>
      </c>
      <c r="C71" s="688" t="s">
        <v>653</v>
      </c>
      <c r="D71" s="386"/>
      <c r="E71" s="689">
        <v>5000</v>
      </c>
      <c r="F71" s="386"/>
    </row>
    <row r="72" spans="1:6" ht="16.5" thickBot="1">
      <c r="A72" s="746">
        <v>70</v>
      </c>
      <c r="B72" s="687" t="s">
        <v>656</v>
      </c>
      <c r="C72" s="688" t="s">
        <v>653</v>
      </c>
      <c r="D72" s="689">
        <v>25000</v>
      </c>
      <c r="E72" s="386"/>
      <c r="F72" s="386"/>
    </row>
    <row r="73" spans="1:6" ht="16.5" thickBot="1">
      <c r="A73" s="746">
        <v>71</v>
      </c>
      <c r="B73" s="687" t="s">
        <v>146</v>
      </c>
      <c r="C73" s="688" t="s">
        <v>653</v>
      </c>
      <c r="D73" s="386"/>
      <c r="E73" s="689">
        <v>25000</v>
      </c>
      <c r="F73" s="386"/>
    </row>
    <row r="74" spans="1:6" ht="16.5" thickBot="1">
      <c r="A74" s="746">
        <v>72</v>
      </c>
      <c r="B74" s="687" t="s">
        <v>147</v>
      </c>
      <c r="C74" s="688" t="s">
        <v>653</v>
      </c>
      <c r="D74" s="386"/>
      <c r="E74" s="689">
        <v>35000</v>
      </c>
      <c r="F74" s="386"/>
    </row>
    <row r="75" spans="1:6" ht="16.5" thickBot="1">
      <c r="A75" s="746">
        <v>73</v>
      </c>
      <c r="B75" s="687" t="s">
        <v>46</v>
      </c>
      <c r="C75" s="688" t="s">
        <v>653</v>
      </c>
      <c r="D75" s="386"/>
      <c r="E75" s="689">
        <v>25000</v>
      </c>
      <c r="F75" s="386"/>
    </row>
    <row r="76" spans="1:6" ht="16.5" thickBot="1">
      <c r="A76" s="746">
        <v>74</v>
      </c>
      <c r="B76" s="687" t="s">
        <v>658</v>
      </c>
      <c r="C76" s="688" t="s">
        <v>653</v>
      </c>
      <c r="D76" s="689">
        <v>70000</v>
      </c>
      <c r="E76" s="386"/>
      <c r="F76" s="386"/>
    </row>
    <row r="77" spans="1:6" ht="16.5" thickBot="1">
      <c r="A77" s="746">
        <v>75</v>
      </c>
      <c r="B77" s="687" t="s">
        <v>56</v>
      </c>
      <c r="C77" s="688" t="s">
        <v>653</v>
      </c>
      <c r="D77" s="386"/>
      <c r="E77" s="689">
        <v>60000</v>
      </c>
      <c r="F77" s="386"/>
    </row>
    <row r="78" spans="1:6" ht="16.5" thickBot="1">
      <c r="A78" s="746">
        <v>76</v>
      </c>
      <c r="B78" s="687" t="s">
        <v>655</v>
      </c>
      <c r="C78" s="688" t="s">
        <v>653</v>
      </c>
      <c r="D78" s="689">
        <v>20000</v>
      </c>
      <c r="E78" s="386"/>
      <c r="F78" s="386"/>
    </row>
    <row r="79" spans="1:6" ht="16.5" thickBot="1">
      <c r="A79" s="746">
        <v>77</v>
      </c>
      <c r="B79" s="687" t="s">
        <v>662</v>
      </c>
      <c r="C79" s="688" t="s">
        <v>1653</v>
      </c>
      <c r="D79" s="689">
        <v>15000</v>
      </c>
      <c r="E79" s="386"/>
      <c r="F79" s="386"/>
    </row>
    <row r="80" spans="1:6" ht="16.5" thickBot="1">
      <c r="A80" s="746">
        <v>78</v>
      </c>
      <c r="B80" s="687" t="s">
        <v>142</v>
      </c>
      <c r="C80" s="688" t="s">
        <v>1653</v>
      </c>
      <c r="D80" s="386"/>
      <c r="E80" s="689">
        <v>5000</v>
      </c>
      <c r="F80" s="386"/>
    </row>
    <row r="81" spans="1:6" ht="16.5" thickBot="1">
      <c r="A81" s="746">
        <v>79</v>
      </c>
      <c r="B81" s="687" t="s">
        <v>747</v>
      </c>
      <c r="C81" s="688" t="s">
        <v>1653</v>
      </c>
      <c r="D81" s="689">
        <v>10000</v>
      </c>
      <c r="E81" s="386"/>
      <c r="F81" s="386"/>
    </row>
    <row r="82" spans="1:6" ht="16.5" thickBot="1">
      <c r="A82" s="746">
        <v>80</v>
      </c>
      <c r="B82" s="687" t="s">
        <v>745</v>
      </c>
      <c r="C82" s="688" t="s">
        <v>1653</v>
      </c>
      <c r="D82" s="689">
        <v>15000</v>
      </c>
      <c r="E82" s="386"/>
      <c r="F82" s="386"/>
    </row>
    <row r="83" spans="1:6" ht="16.5" thickBot="1">
      <c r="A83" s="746">
        <v>81</v>
      </c>
      <c r="B83" s="687" t="s">
        <v>660</v>
      </c>
      <c r="C83" s="688" t="s">
        <v>1653</v>
      </c>
      <c r="D83" s="689">
        <v>15000</v>
      </c>
      <c r="E83" s="386"/>
      <c r="F83" s="386"/>
    </row>
    <row r="84" spans="1:6" ht="16.5" thickBot="1">
      <c r="A84" s="746">
        <v>82</v>
      </c>
      <c r="B84" s="687" t="s">
        <v>749</v>
      </c>
      <c r="C84" s="688" t="s">
        <v>1653</v>
      </c>
      <c r="D84" s="386"/>
      <c r="E84" s="689">
        <v>15000</v>
      </c>
      <c r="F84" s="386"/>
    </row>
    <row r="85" spans="1:6" ht="16.5" thickBot="1">
      <c r="A85" s="746">
        <v>83</v>
      </c>
      <c r="B85" s="687" t="s">
        <v>143</v>
      </c>
      <c r="C85" s="688" t="s">
        <v>1653</v>
      </c>
      <c r="D85" s="386"/>
      <c r="E85" s="689">
        <v>20000</v>
      </c>
      <c r="F85" s="386"/>
    </row>
    <row r="86" spans="1:6" ht="16.5" thickBot="1">
      <c r="A86" s="746">
        <v>84</v>
      </c>
      <c r="B86" s="687" t="s">
        <v>757</v>
      </c>
      <c r="C86" s="688" t="s">
        <v>668</v>
      </c>
      <c r="D86" s="689">
        <v>10000</v>
      </c>
      <c r="E86" s="386"/>
      <c r="F86" s="386"/>
    </row>
    <row r="87" spans="1:6" ht="16.5" thickBot="1">
      <c r="A87" s="746">
        <v>85</v>
      </c>
      <c r="B87" s="687" t="s">
        <v>435</v>
      </c>
      <c r="C87" s="688" t="s">
        <v>668</v>
      </c>
      <c r="D87" s="386"/>
      <c r="E87" s="689">
        <v>55000</v>
      </c>
      <c r="F87" s="386"/>
    </row>
    <row r="88" spans="1:6" ht="16.5" thickBot="1">
      <c r="A88" s="746">
        <v>86</v>
      </c>
      <c r="B88" s="687" t="s">
        <v>731</v>
      </c>
      <c r="C88" s="688" t="s">
        <v>668</v>
      </c>
      <c r="D88" s="689">
        <v>35000</v>
      </c>
      <c r="E88" s="386"/>
      <c r="F88" s="386"/>
    </row>
    <row r="89" spans="1:6" ht="16.5" thickBot="1">
      <c r="A89" s="746">
        <v>87</v>
      </c>
      <c r="B89" s="687" t="s">
        <v>671</v>
      </c>
      <c r="C89" s="688" t="s">
        <v>668</v>
      </c>
      <c r="D89" s="689">
        <v>110000</v>
      </c>
      <c r="E89" s="386"/>
      <c r="F89" s="386"/>
    </row>
    <row r="90" spans="1:6" ht="16.5" thickBot="1">
      <c r="A90" s="746">
        <v>88</v>
      </c>
      <c r="B90" s="687" t="s">
        <v>273</v>
      </c>
      <c r="C90" s="688" t="s">
        <v>668</v>
      </c>
      <c r="D90" s="386"/>
      <c r="E90" s="689">
        <v>695000</v>
      </c>
      <c r="F90" s="386"/>
    </row>
    <row r="91" spans="1:6" ht="16.5" thickBot="1">
      <c r="A91" s="746">
        <v>89</v>
      </c>
      <c r="B91" s="687" t="s">
        <v>693</v>
      </c>
      <c r="C91" s="688" t="s">
        <v>668</v>
      </c>
      <c r="D91" s="689">
        <v>105000</v>
      </c>
      <c r="E91" s="386"/>
      <c r="F91" s="386"/>
    </row>
    <row r="92" spans="1:6" ht="16.5" thickBot="1">
      <c r="A92" s="746">
        <v>90</v>
      </c>
      <c r="B92" s="687" t="s">
        <v>669</v>
      </c>
      <c r="C92" s="688" t="s">
        <v>668</v>
      </c>
      <c r="D92" s="689">
        <v>245000</v>
      </c>
      <c r="E92" s="386"/>
      <c r="F92" s="386"/>
    </row>
    <row r="93" spans="1:6" ht="16.5" thickBot="1">
      <c r="A93" s="746">
        <v>91</v>
      </c>
      <c r="B93" s="687" t="s">
        <v>39</v>
      </c>
      <c r="C93" s="688" t="s">
        <v>668</v>
      </c>
      <c r="D93" s="386"/>
      <c r="E93" s="689">
        <v>65000</v>
      </c>
      <c r="F93" s="386"/>
    </row>
    <row r="94" spans="1:6" ht="16.5" thickBot="1">
      <c r="A94" s="746">
        <v>92</v>
      </c>
      <c r="B94" s="687" t="s">
        <v>25</v>
      </c>
      <c r="C94" s="688" t="s">
        <v>668</v>
      </c>
      <c r="D94" s="386"/>
      <c r="E94" s="689">
        <v>40000</v>
      </c>
      <c r="F94" s="386"/>
    </row>
    <row r="95" spans="1:6" ht="16.5" thickBot="1">
      <c r="A95" s="746">
        <v>93</v>
      </c>
      <c r="B95" s="687" t="s">
        <v>1316</v>
      </c>
      <c r="C95" s="688" t="s">
        <v>668</v>
      </c>
      <c r="D95" s="386"/>
      <c r="E95" s="689">
        <v>60000</v>
      </c>
      <c r="F95" s="386"/>
    </row>
    <row r="96" spans="1:6" ht="16.5" thickBot="1">
      <c r="A96" s="746">
        <v>94</v>
      </c>
      <c r="B96" s="687" t="s">
        <v>262</v>
      </c>
      <c r="C96" s="688" t="s">
        <v>668</v>
      </c>
      <c r="D96" s="386"/>
      <c r="E96" s="689">
        <v>105000</v>
      </c>
      <c r="F96" s="386"/>
    </row>
    <row r="97" spans="1:6" ht="16.5" thickBot="1">
      <c r="A97" s="746">
        <v>95</v>
      </c>
      <c r="B97" s="687" t="s">
        <v>213</v>
      </c>
      <c r="C97" s="688" t="s">
        <v>668</v>
      </c>
      <c r="D97" s="386"/>
      <c r="E97" s="689">
        <v>35000</v>
      </c>
      <c r="F97" s="386"/>
    </row>
    <row r="98" spans="1:6" ht="16.5" thickBot="1">
      <c r="A98" s="746">
        <v>96</v>
      </c>
      <c r="B98" s="687" t="s">
        <v>29</v>
      </c>
      <c r="C98" s="688" t="s">
        <v>668</v>
      </c>
      <c r="D98" s="386"/>
      <c r="E98" s="689">
        <v>60000</v>
      </c>
      <c r="F98" s="386"/>
    </row>
    <row r="99" spans="1:6" ht="16.5" thickBot="1">
      <c r="A99" s="746">
        <v>97</v>
      </c>
      <c r="B99" s="687" t="s">
        <v>672</v>
      </c>
      <c r="C99" s="688" t="s">
        <v>668</v>
      </c>
      <c r="D99" s="689">
        <v>90000</v>
      </c>
      <c r="E99" s="386"/>
      <c r="F99" s="386"/>
    </row>
    <row r="100" spans="1:6" ht="16.5" thickBot="1">
      <c r="A100" s="746">
        <v>98</v>
      </c>
      <c r="B100" s="687" t="s">
        <v>670</v>
      </c>
      <c r="C100" s="688" t="s">
        <v>668</v>
      </c>
      <c r="D100" s="689">
        <v>105000</v>
      </c>
      <c r="E100" s="386"/>
      <c r="F100" s="386"/>
    </row>
    <row r="101" spans="1:6" ht="16.5" thickBot="1">
      <c r="A101" s="746">
        <v>99</v>
      </c>
      <c r="B101" s="687" t="s">
        <v>732</v>
      </c>
      <c r="C101" s="688" t="s">
        <v>668</v>
      </c>
      <c r="D101" s="689">
        <v>90000</v>
      </c>
      <c r="E101" s="386"/>
      <c r="F101" s="386"/>
    </row>
    <row r="102" spans="1:6" ht="16.5" thickBot="1">
      <c r="A102" s="746">
        <v>100</v>
      </c>
      <c r="B102" s="687" t="s">
        <v>295</v>
      </c>
      <c r="C102" s="688" t="s">
        <v>668</v>
      </c>
      <c r="D102" s="386"/>
      <c r="E102" s="689">
        <v>45000</v>
      </c>
      <c r="F102" s="386"/>
    </row>
    <row r="103" spans="1:6" ht="16.5" thickBot="1">
      <c r="A103" s="746">
        <v>101</v>
      </c>
      <c r="B103" s="687" t="s">
        <v>691</v>
      </c>
      <c r="C103" s="688" t="s">
        <v>668</v>
      </c>
      <c r="D103" s="689">
        <v>130000</v>
      </c>
      <c r="E103" s="386"/>
      <c r="F103" s="386"/>
    </row>
    <row r="104" spans="1:6" ht="16.5" thickBot="1">
      <c r="A104" s="746">
        <v>102</v>
      </c>
      <c r="B104" s="687" t="s">
        <v>692</v>
      </c>
      <c r="C104" s="688" t="s">
        <v>668</v>
      </c>
      <c r="D104" s="689">
        <v>35000</v>
      </c>
      <c r="E104" s="386"/>
      <c r="F104" s="386"/>
    </row>
    <row r="105" spans="1:6" ht="16.5" thickBot="1">
      <c r="A105" s="746">
        <v>103</v>
      </c>
      <c r="B105" s="687" t="s">
        <v>815</v>
      </c>
      <c r="C105" s="688" t="s">
        <v>668</v>
      </c>
      <c r="D105" s="386"/>
      <c r="E105" s="689">
        <v>5000</v>
      </c>
      <c r="F105" s="386"/>
    </row>
    <row r="106" spans="1:6" ht="16.5" thickBot="1">
      <c r="A106" s="746">
        <v>104</v>
      </c>
      <c r="B106" s="687" t="s">
        <v>1957</v>
      </c>
      <c r="C106" s="688" t="s">
        <v>668</v>
      </c>
      <c r="D106" s="689">
        <v>45000</v>
      </c>
      <c r="E106" s="386"/>
      <c r="F106" s="386"/>
    </row>
    <row r="107" spans="1:6" ht="16.5" thickBot="1">
      <c r="A107" s="746">
        <v>105</v>
      </c>
      <c r="B107" s="687" t="s">
        <v>817</v>
      </c>
      <c r="C107" s="688" t="s">
        <v>668</v>
      </c>
      <c r="D107" s="386"/>
      <c r="E107" s="689">
        <v>10000</v>
      </c>
      <c r="F107" s="386"/>
    </row>
    <row r="108" spans="1:6" ht="16.5" thickBot="1">
      <c r="A108" s="746">
        <v>106</v>
      </c>
      <c r="B108" s="687" t="s">
        <v>810</v>
      </c>
      <c r="C108" s="688" t="s">
        <v>668</v>
      </c>
      <c r="D108" s="386"/>
      <c r="E108" s="689">
        <v>5000</v>
      </c>
      <c r="F108" s="386"/>
    </row>
    <row r="109" spans="1:6" ht="16.5" thickBot="1">
      <c r="A109" s="746">
        <v>107</v>
      </c>
      <c r="B109" s="687" t="s">
        <v>31</v>
      </c>
      <c r="C109" s="688" t="s">
        <v>668</v>
      </c>
      <c r="D109" s="386"/>
      <c r="E109" s="689">
        <v>50000</v>
      </c>
      <c r="F109" s="386"/>
    </row>
    <row r="110" spans="1:6" ht="16.5" thickBot="1">
      <c r="A110" s="746">
        <v>108</v>
      </c>
      <c r="B110" s="687" t="s">
        <v>72</v>
      </c>
      <c r="C110" s="688" t="s">
        <v>674</v>
      </c>
      <c r="D110" s="386"/>
      <c r="E110" s="689">
        <v>80000</v>
      </c>
      <c r="F110" s="386"/>
    </row>
    <row r="111" spans="1:6" ht="16.5" thickBot="1">
      <c r="A111" s="746">
        <v>109</v>
      </c>
      <c r="B111" s="687" t="s">
        <v>149</v>
      </c>
      <c r="C111" s="688" t="s">
        <v>674</v>
      </c>
      <c r="D111" s="386"/>
      <c r="E111" s="689">
        <v>460000</v>
      </c>
      <c r="F111" s="386"/>
    </row>
    <row r="112" spans="1:6" ht="16.5" thickBot="1">
      <c r="A112" s="746">
        <v>110</v>
      </c>
      <c r="B112" s="687" t="s">
        <v>150</v>
      </c>
      <c r="C112" s="688" t="s">
        <v>674</v>
      </c>
      <c r="D112" s="386"/>
      <c r="E112" s="689">
        <v>140000</v>
      </c>
      <c r="F112" s="386"/>
    </row>
    <row r="113" spans="1:6" ht="16.5" thickBot="1">
      <c r="A113" s="746">
        <v>111</v>
      </c>
      <c r="B113" s="687" t="s">
        <v>151</v>
      </c>
      <c r="C113" s="688" t="s">
        <v>674</v>
      </c>
      <c r="D113" s="386"/>
      <c r="E113" s="689">
        <v>15000</v>
      </c>
      <c r="F113" s="386"/>
    </row>
    <row r="114" spans="1:6" ht="16.5" thickBot="1">
      <c r="A114" s="746">
        <v>112</v>
      </c>
      <c r="B114" s="687" t="s">
        <v>741</v>
      </c>
      <c r="C114" s="688" t="s">
        <v>674</v>
      </c>
      <c r="D114" s="689">
        <v>90000</v>
      </c>
      <c r="E114" s="386"/>
      <c r="F114" s="386"/>
    </row>
    <row r="115" spans="1:6" ht="16.5" thickBot="1">
      <c r="A115" s="746">
        <v>113</v>
      </c>
      <c r="B115" s="687" t="s">
        <v>675</v>
      </c>
      <c r="C115" s="688" t="s">
        <v>674</v>
      </c>
      <c r="D115" s="689">
        <v>40000</v>
      </c>
      <c r="E115" s="386"/>
      <c r="F115" s="386"/>
    </row>
    <row r="116" spans="1:6" ht="16.5" thickBot="1">
      <c r="A116" s="746">
        <v>114</v>
      </c>
      <c r="B116" s="687" t="s">
        <v>1473</v>
      </c>
      <c r="C116" s="688" t="s">
        <v>674</v>
      </c>
      <c r="D116" s="386"/>
      <c r="E116" s="689">
        <v>50000</v>
      </c>
      <c r="F116" s="386"/>
    </row>
    <row r="117" spans="1:6" ht="16.5" thickBot="1">
      <c r="A117" s="746">
        <v>115</v>
      </c>
      <c r="B117" s="687" t="s">
        <v>820</v>
      </c>
      <c r="C117" s="688" t="s">
        <v>674</v>
      </c>
      <c r="D117" s="386"/>
      <c r="E117" s="689">
        <v>25000</v>
      </c>
      <c r="F117" s="386"/>
    </row>
    <row r="118" spans="1:6" ht="16.5" thickBot="1">
      <c r="A118" s="746">
        <v>116</v>
      </c>
      <c r="B118" s="687" t="s">
        <v>742</v>
      </c>
      <c r="C118" s="688" t="s">
        <v>674</v>
      </c>
      <c r="D118" s="689">
        <v>5000</v>
      </c>
      <c r="E118" s="386"/>
      <c r="F118" s="386"/>
    </row>
    <row r="119" spans="1:6" ht="16.5" thickBot="1">
      <c r="A119" s="746">
        <v>117</v>
      </c>
      <c r="B119" s="687" t="s">
        <v>182</v>
      </c>
      <c r="C119" s="688" t="s">
        <v>674</v>
      </c>
      <c r="D119" s="386"/>
      <c r="E119" s="689">
        <v>30000</v>
      </c>
      <c r="F119" s="386"/>
    </row>
    <row r="120" spans="1:6" ht="16.5" thickBot="1">
      <c r="A120" s="746">
        <v>118</v>
      </c>
      <c r="B120" s="687" t="s">
        <v>822</v>
      </c>
      <c r="C120" s="688" t="s">
        <v>674</v>
      </c>
      <c r="D120" s="689">
        <v>25000</v>
      </c>
      <c r="E120" s="386"/>
      <c r="F120" s="386"/>
    </row>
    <row r="121" spans="1:6" ht="16.5" thickBot="1">
      <c r="A121" s="401" t="s">
        <v>758</v>
      </c>
      <c r="B121" s="402"/>
      <c r="C121" s="336"/>
      <c r="D121" s="388">
        <v>2630000</v>
      </c>
      <c r="E121" s="388">
        <v>5410000</v>
      </c>
      <c r="F121" s="389"/>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1"/>
  <sheetViews>
    <sheetView topLeftCell="A53" workbookViewId="0">
      <selection activeCell="C11" sqref="C11"/>
    </sheetView>
  </sheetViews>
  <sheetFormatPr defaultRowHeight="15"/>
  <cols>
    <col min="2" max="2" width="32.42578125" customWidth="1"/>
  </cols>
  <sheetData>
    <row r="1" spans="1:6" ht="28.5" customHeight="1" thickBot="1">
      <c r="A1" s="939" t="s">
        <v>0</v>
      </c>
      <c r="B1" s="939" t="s">
        <v>121</v>
      </c>
      <c r="C1" s="939" t="s">
        <v>632</v>
      </c>
      <c r="D1" s="941" t="s">
        <v>894</v>
      </c>
      <c r="E1" s="942"/>
      <c r="F1" s="939" t="s">
        <v>699</v>
      </c>
    </row>
    <row r="2" spans="1:6" ht="15.75" thickBot="1">
      <c r="A2" s="943"/>
      <c r="B2" s="943"/>
      <c r="C2" s="943"/>
      <c r="D2" s="940" t="s">
        <v>828</v>
      </c>
      <c r="E2" s="940" t="s">
        <v>829</v>
      </c>
      <c r="F2" s="943"/>
    </row>
    <row r="3" spans="1:6" ht="15.75" thickBot="1">
      <c r="A3" s="694">
        <v>1</v>
      </c>
      <c r="B3" s="383" t="s">
        <v>639</v>
      </c>
      <c r="C3" s="384" t="s">
        <v>636</v>
      </c>
      <c r="D3" s="314"/>
      <c r="E3" s="313">
        <v>250000</v>
      </c>
      <c r="F3" s="314"/>
    </row>
    <row r="4" spans="1:6" ht="15.75" thickBot="1">
      <c r="A4" s="694">
        <v>2</v>
      </c>
      <c r="B4" s="383" t="s">
        <v>96</v>
      </c>
      <c r="C4" s="384" t="s">
        <v>636</v>
      </c>
      <c r="D4" s="384"/>
      <c r="E4" s="408">
        <v>1000000</v>
      </c>
      <c r="F4" s="314"/>
    </row>
    <row r="5" spans="1:6" ht="15.75" thickBot="1">
      <c r="A5" s="694">
        <v>3</v>
      </c>
      <c r="B5" s="383" t="s">
        <v>744</v>
      </c>
      <c r="C5" s="384" t="s">
        <v>636</v>
      </c>
      <c r="D5" s="313">
        <v>950000</v>
      </c>
      <c r="E5" s="314"/>
      <c r="F5" s="314"/>
    </row>
    <row r="6" spans="1:6" ht="15.75" thickBot="1">
      <c r="A6" s="694">
        <v>4</v>
      </c>
      <c r="B6" s="383" t="s">
        <v>154</v>
      </c>
      <c r="C6" s="384" t="s">
        <v>636</v>
      </c>
      <c r="D6" s="314"/>
      <c r="E6" s="313">
        <v>1000000</v>
      </c>
      <c r="F6" s="314"/>
    </row>
    <row r="7" spans="1:6" ht="15.75" thickBot="1">
      <c r="A7" s="694">
        <v>5</v>
      </c>
      <c r="B7" s="383" t="s">
        <v>640</v>
      </c>
      <c r="C7" s="384" t="s">
        <v>636</v>
      </c>
      <c r="D7" s="313">
        <v>1050000</v>
      </c>
      <c r="E7" s="314"/>
      <c r="F7" s="314"/>
    </row>
    <row r="8" spans="1:6" ht="15.75" thickBot="1">
      <c r="A8" s="694">
        <v>6</v>
      </c>
      <c r="B8" s="383" t="s">
        <v>210</v>
      </c>
      <c r="C8" s="384" t="s">
        <v>636</v>
      </c>
      <c r="D8" s="314" t="s">
        <v>2028</v>
      </c>
      <c r="E8" s="313">
        <v>700000</v>
      </c>
      <c r="F8" s="314"/>
    </row>
    <row r="9" spans="1:6" ht="15.75" thickBot="1">
      <c r="A9" s="694">
        <v>7</v>
      </c>
      <c r="B9" s="383" t="s">
        <v>641</v>
      </c>
      <c r="C9" s="384" t="s">
        <v>636</v>
      </c>
      <c r="D9" s="313">
        <v>100000</v>
      </c>
      <c r="E9" s="314"/>
      <c r="F9" s="314"/>
    </row>
    <row r="10" spans="1:6" ht="15.75" thickBot="1">
      <c r="A10" s="694">
        <v>8</v>
      </c>
      <c r="B10" s="383" t="s">
        <v>728</v>
      </c>
      <c r="C10" s="384" t="s">
        <v>642</v>
      </c>
      <c r="D10" s="313">
        <v>900000</v>
      </c>
      <c r="E10" s="314"/>
      <c r="F10" s="314"/>
    </row>
    <row r="11" spans="1:6" ht="15.75" thickBot="1">
      <c r="A11" s="694">
        <v>9</v>
      </c>
      <c r="B11" s="383" t="s">
        <v>644</v>
      </c>
      <c r="C11" s="384" t="s">
        <v>642</v>
      </c>
      <c r="D11" s="314"/>
      <c r="E11" s="313">
        <v>150000</v>
      </c>
      <c r="F11" s="314"/>
    </row>
    <row r="12" spans="1:6" ht="15.75" thickBot="1">
      <c r="A12" s="694">
        <v>10</v>
      </c>
      <c r="B12" s="383" t="s">
        <v>1458</v>
      </c>
      <c r="C12" s="384" t="s">
        <v>642</v>
      </c>
      <c r="D12" s="314"/>
      <c r="E12" s="313">
        <v>200000</v>
      </c>
      <c r="F12" s="314"/>
    </row>
    <row r="13" spans="1:6" ht="15.75" thickBot="1">
      <c r="A13" s="694">
        <v>11</v>
      </c>
      <c r="B13" s="383" t="s">
        <v>681</v>
      </c>
      <c r="C13" s="384" t="s">
        <v>642</v>
      </c>
      <c r="D13" s="314"/>
      <c r="E13" s="313">
        <v>1450000</v>
      </c>
      <c r="F13" s="314"/>
    </row>
    <row r="14" spans="1:6" ht="15.75" thickBot="1">
      <c r="A14" s="694">
        <v>12</v>
      </c>
      <c r="B14" s="383" t="s">
        <v>1651</v>
      </c>
      <c r="C14" s="384" t="s">
        <v>642</v>
      </c>
      <c r="D14" s="314"/>
      <c r="E14" s="313">
        <v>3100000</v>
      </c>
      <c r="F14" s="314"/>
    </row>
    <row r="15" spans="1:6" ht="15.75" thickBot="1">
      <c r="A15" s="694">
        <v>13</v>
      </c>
      <c r="B15" s="383" t="s">
        <v>207</v>
      </c>
      <c r="C15" s="384" t="s">
        <v>642</v>
      </c>
      <c r="D15" s="314"/>
      <c r="E15" s="313">
        <v>3000000</v>
      </c>
      <c r="F15" s="314"/>
    </row>
    <row r="16" spans="1:6" ht="15.75" thickBot="1">
      <c r="A16" s="694">
        <v>14</v>
      </c>
      <c r="B16" s="383" t="s">
        <v>1935</v>
      </c>
      <c r="C16" s="384" t="s">
        <v>642</v>
      </c>
      <c r="D16" s="314"/>
      <c r="E16" s="313">
        <v>450000</v>
      </c>
      <c r="F16" s="314"/>
    </row>
    <row r="17" spans="1:6" ht="15.75" thickBot="1">
      <c r="A17" s="694">
        <v>15</v>
      </c>
      <c r="B17" s="383" t="s">
        <v>682</v>
      </c>
      <c r="C17" s="384" t="s">
        <v>642</v>
      </c>
      <c r="D17" s="313">
        <v>400000</v>
      </c>
      <c r="E17" s="314"/>
      <c r="F17" s="314"/>
    </row>
    <row r="18" spans="1:6" ht="15.75" thickBot="1">
      <c r="A18" s="694">
        <v>16</v>
      </c>
      <c r="B18" s="383" t="s">
        <v>715</v>
      </c>
      <c r="C18" s="384" t="s">
        <v>642</v>
      </c>
      <c r="D18" s="313">
        <v>2600000</v>
      </c>
      <c r="E18" s="314"/>
      <c r="F18" s="314"/>
    </row>
    <row r="19" spans="1:6" ht="15.75" thickBot="1">
      <c r="A19" s="694">
        <v>17</v>
      </c>
      <c r="B19" s="383" t="s">
        <v>870</v>
      </c>
      <c r="C19" s="384" t="s">
        <v>642</v>
      </c>
      <c r="D19" s="313">
        <v>100000</v>
      </c>
      <c r="E19" s="314"/>
      <c r="F19" s="314"/>
    </row>
    <row r="20" spans="1:6" ht="15.75" thickBot="1">
      <c r="A20" s="694">
        <v>18</v>
      </c>
      <c r="B20" s="383" t="s">
        <v>153</v>
      </c>
      <c r="C20" s="384" t="s">
        <v>642</v>
      </c>
      <c r="D20" s="314"/>
      <c r="E20" s="313">
        <v>1850000</v>
      </c>
      <c r="F20" s="314"/>
    </row>
    <row r="21" spans="1:6" ht="15.75" thickBot="1">
      <c r="A21" s="694">
        <v>19</v>
      </c>
      <c r="B21" s="383" t="s">
        <v>722</v>
      </c>
      <c r="C21" s="384" t="s">
        <v>646</v>
      </c>
      <c r="D21" s="313">
        <v>200000</v>
      </c>
      <c r="E21" s="314"/>
      <c r="F21" s="314"/>
    </row>
    <row r="22" spans="1:6" ht="15.75" thickBot="1">
      <c r="A22" s="694">
        <v>20</v>
      </c>
      <c r="B22" s="383" t="s">
        <v>683</v>
      </c>
      <c r="C22" s="384" t="s">
        <v>646</v>
      </c>
      <c r="D22" s="313">
        <v>100000</v>
      </c>
      <c r="E22" s="314"/>
      <c r="F22" s="314"/>
    </row>
    <row r="23" spans="1:6" ht="15.75" thickBot="1">
      <c r="A23" s="694">
        <v>21</v>
      </c>
      <c r="B23" s="383" t="s">
        <v>168</v>
      </c>
      <c r="C23" s="384" t="s">
        <v>646</v>
      </c>
      <c r="D23" s="314"/>
      <c r="E23" s="313">
        <v>100000</v>
      </c>
      <c r="F23" s="314"/>
    </row>
    <row r="24" spans="1:6" ht="15.75" thickBot="1">
      <c r="A24" s="694">
        <v>22</v>
      </c>
      <c r="B24" s="383" t="s">
        <v>148</v>
      </c>
      <c r="C24" s="384" t="s">
        <v>646</v>
      </c>
      <c r="D24" s="314"/>
      <c r="E24" s="313">
        <v>200000</v>
      </c>
      <c r="F24" s="314"/>
    </row>
    <row r="25" spans="1:6" ht="15.75" thickBot="1">
      <c r="A25" s="694">
        <v>23</v>
      </c>
      <c r="B25" s="383" t="s">
        <v>289</v>
      </c>
      <c r="C25" s="384" t="s">
        <v>646</v>
      </c>
      <c r="D25" s="314"/>
      <c r="E25" s="313">
        <v>100000</v>
      </c>
      <c r="F25" s="314"/>
    </row>
    <row r="26" spans="1:6" ht="15.75" thickBot="1">
      <c r="A26" s="694">
        <v>24</v>
      </c>
      <c r="B26" s="383" t="s">
        <v>1434</v>
      </c>
      <c r="C26" s="384" t="s">
        <v>646</v>
      </c>
      <c r="D26" s="314"/>
      <c r="E26" s="313">
        <v>150000</v>
      </c>
      <c r="F26" s="314"/>
    </row>
    <row r="27" spans="1:6" ht="15.75" thickBot="1">
      <c r="A27" s="694">
        <v>25</v>
      </c>
      <c r="B27" s="383" t="s">
        <v>647</v>
      </c>
      <c r="C27" s="384" t="s">
        <v>646</v>
      </c>
      <c r="D27" s="313">
        <v>100000</v>
      </c>
      <c r="E27" s="314"/>
      <c r="F27" s="314"/>
    </row>
    <row r="28" spans="1:6" ht="15.75" thickBot="1">
      <c r="A28" s="694">
        <v>26</v>
      </c>
      <c r="B28" s="383" t="s">
        <v>687</v>
      </c>
      <c r="C28" s="384" t="s">
        <v>649</v>
      </c>
      <c r="D28" s="313">
        <v>650000</v>
      </c>
      <c r="E28" s="314"/>
      <c r="F28" s="314"/>
    </row>
    <row r="29" spans="1:6" ht="15.75" thickBot="1">
      <c r="A29" s="309">
        <v>27</v>
      </c>
      <c r="B29" s="383" t="s">
        <v>686</v>
      </c>
      <c r="C29" s="384" t="s">
        <v>649</v>
      </c>
      <c r="D29" s="313">
        <v>750000</v>
      </c>
      <c r="E29" s="449"/>
      <c r="F29" s="314"/>
    </row>
    <row r="30" spans="1:6" ht="15.75" thickBot="1">
      <c r="A30" s="309">
        <v>28</v>
      </c>
      <c r="B30" s="383" t="s">
        <v>152</v>
      </c>
      <c r="C30" s="384" t="s">
        <v>649</v>
      </c>
      <c r="D30" s="314"/>
      <c r="E30" s="313">
        <v>750000</v>
      </c>
      <c r="F30" s="314"/>
    </row>
    <row r="31" spans="1:6" ht="15.75" thickBot="1">
      <c r="A31" s="309">
        <v>29</v>
      </c>
      <c r="B31" s="383" t="s">
        <v>187</v>
      </c>
      <c r="C31" s="384" t="s">
        <v>649</v>
      </c>
      <c r="D31" s="314"/>
      <c r="E31" s="313">
        <v>400000</v>
      </c>
      <c r="F31" s="314"/>
    </row>
    <row r="32" spans="1:6" ht="15.75" thickBot="1">
      <c r="A32" s="309">
        <v>30</v>
      </c>
      <c r="B32" s="383" t="s">
        <v>27</v>
      </c>
      <c r="C32" s="384" t="s">
        <v>649</v>
      </c>
      <c r="D32" s="314"/>
      <c r="E32" s="313">
        <v>100000</v>
      </c>
      <c r="F32" s="314"/>
    </row>
    <row r="33" spans="1:9" ht="15.75" thickBot="1">
      <c r="A33" s="309">
        <v>31</v>
      </c>
      <c r="B33" s="383" t="s">
        <v>685</v>
      </c>
      <c r="C33" s="384" t="s">
        <v>649</v>
      </c>
      <c r="D33" s="313">
        <v>700000</v>
      </c>
      <c r="E33" s="314"/>
      <c r="F33" s="314"/>
    </row>
    <row r="34" spans="1:9" ht="15.75" thickBot="1">
      <c r="A34" s="309">
        <v>32</v>
      </c>
      <c r="B34" s="383" t="s">
        <v>684</v>
      </c>
      <c r="C34" s="384" t="s">
        <v>649</v>
      </c>
      <c r="D34" s="313">
        <v>500000</v>
      </c>
      <c r="E34" s="314"/>
      <c r="F34" s="314"/>
    </row>
    <row r="35" spans="1:9" ht="15.75" thickBot="1">
      <c r="A35" s="309">
        <v>33</v>
      </c>
      <c r="B35" s="383" t="s">
        <v>1908</v>
      </c>
      <c r="C35" s="384" t="s">
        <v>649</v>
      </c>
      <c r="D35" s="314"/>
      <c r="E35" s="313">
        <v>500000</v>
      </c>
      <c r="F35" s="314"/>
    </row>
    <row r="36" spans="1:9" ht="15.75" thickBot="1">
      <c r="A36" s="309">
        <v>34</v>
      </c>
      <c r="B36" s="383" t="s">
        <v>638</v>
      </c>
      <c r="C36" s="384" t="s">
        <v>649</v>
      </c>
      <c r="D36" s="313">
        <v>250000</v>
      </c>
      <c r="E36" s="314"/>
      <c r="F36" s="314"/>
    </row>
    <row r="37" spans="1:9" ht="15.75" thickBot="1">
      <c r="A37" s="309">
        <v>35</v>
      </c>
      <c r="B37" s="383" t="s">
        <v>721</v>
      </c>
      <c r="C37" s="384" t="s">
        <v>649</v>
      </c>
      <c r="D37" s="314"/>
      <c r="E37" s="313">
        <v>450000</v>
      </c>
      <c r="F37" s="314"/>
    </row>
    <row r="38" spans="1:9" ht="15.75" thickBot="1">
      <c r="A38" s="309">
        <v>36</v>
      </c>
      <c r="B38" s="383" t="s">
        <v>831</v>
      </c>
      <c r="C38" s="384" t="s">
        <v>649</v>
      </c>
      <c r="D38" s="314"/>
      <c r="E38" s="313">
        <v>200000</v>
      </c>
      <c r="F38" s="314"/>
    </row>
    <row r="39" spans="1:9" ht="15.75" thickBot="1">
      <c r="A39" s="309">
        <v>37</v>
      </c>
      <c r="B39" s="383" t="s">
        <v>81</v>
      </c>
      <c r="C39" s="384" t="s">
        <v>649</v>
      </c>
      <c r="D39" s="314"/>
      <c r="E39" s="313">
        <v>50000</v>
      </c>
      <c r="F39" s="314"/>
    </row>
    <row r="40" spans="1:9" ht="15.75" thickBot="1">
      <c r="A40" s="309">
        <v>38</v>
      </c>
      <c r="B40" s="383" t="s">
        <v>688</v>
      </c>
      <c r="C40" s="384" t="s">
        <v>650</v>
      </c>
      <c r="D40" s="313">
        <v>350000</v>
      </c>
      <c r="E40" s="314"/>
      <c r="F40" s="314"/>
    </row>
    <row r="41" spans="1:9" ht="15.75" thickBot="1">
      <c r="A41" s="309">
        <v>39</v>
      </c>
      <c r="B41" s="383" t="s">
        <v>1401</v>
      </c>
      <c r="C41" s="384" t="s">
        <v>650</v>
      </c>
      <c r="D41" s="313">
        <v>150000</v>
      </c>
      <c r="E41" s="314"/>
      <c r="F41" s="314"/>
    </row>
    <row r="42" spans="1:9" ht="15.75" thickBot="1">
      <c r="A42" s="309">
        <v>40</v>
      </c>
      <c r="B42" s="383" t="s">
        <v>656</v>
      </c>
      <c r="C42" s="384" t="s">
        <v>653</v>
      </c>
      <c r="D42" s="313">
        <v>1000000</v>
      </c>
      <c r="E42" s="314"/>
      <c r="F42" s="314"/>
    </row>
    <row r="43" spans="1:9" ht="15.75" thickBot="1">
      <c r="A43" s="309">
        <v>41</v>
      </c>
      <c r="B43" s="383" t="s">
        <v>146</v>
      </c>
      <c r="C43" s="384" t="s">
        <v>653</v>
      </c>
      <c r="D43" s="314"/>
      <c r="E43" s="313">
        <v>1400000</v>
      </c>
      <c r="F43" s="314"/>
    </row>
    <row r="44" spans="1:9" ht="15.75" thickBot="1">
      <c r="A44" s="309">
        <v>42</v>
      </c>
      <c r="B44" s="383" t="s">
        <v>138</v>
      </c>
      <c r="C44" s="384" t="s">
        <v>653</v>
      </c>
      <c r="D44" s="314"/>
      <c r="E44" s="313">
        <v>150000</v>
      </c>
      <c r="F44" s="314"/>
    </row>
    <row r="45" spans="1:9" ht="15.75" thickBot="1">
      <c r="A45" s="309">
        <v>43</v>
      </c>
      <c r="B45" s="383" t="s">
        <v>48</v>
      </c>
      <c r="C45" s="384" t="s">
        <v>653</v>
      </c>
      <c r="D45" s="314"/>
      <c r="E45" s="313">
        <v>250000</v>
      </c>
      <c r="F45" s="314"/>
      <c r="I45" s="67">
        <f>E44+E129</f>
        <v>230000</v>
      </c>
    </row>
    <row r="46" spans="1:9" ht="15.75" thickBot="1">
      <c r="A46" s="309">
        <v>44</v>
      </c>
      <c r="B46" s="383" t="s">
        <v>46</v>
      </c>
      <c r="C46" s="384" t="s">
        <v>653</v>
      </c>
      <c r="D46" s="314"/>
      <c r="E46" s="313">
        <v>250000</v>
      </c>
      <c r="F46" s="314"/>
    </row>
    <row r="47" spans="1:9" ht="15.75" thickBot="1">
      <c r="A47" s="309">
        <v>45</v>
      </c>
      <c r="B47" s="383" t="s">
        <v>655</v>
      </c>
      <c r="C47" s="384" t="s">
        <v>653</v>
      </c>
      <c r="D47" s="313">
        <v>1000000</v>
      </c>
      <c r="E47" s="314"/>
      <c r="F47" s="314"/>
    </row>
    <row r="48" spans="1:9" ht="15.75" thickBot="1">
      <c r="A48" s="309">
        <v>46</v>
      </c>
      <c r="B48" s="383" t="s">
        <v>658</v>
      </c>
      <c r="C48" s="384" t="s">
        <v>653</v>
      </c>
      <c r="D48" s="313">
        <v>1000000</v>
      </c>
      <c r="E48" s="314"/>
      <c r="F48" s="314"/>
    </row>
    <row r="49" spans="1:9" ht="15.75" thickBot="1">
      <c r="A49" s="309">
        <v>47</v>
      </c>
      <c r="B49" s="383" t="s">
        <v>60</v>
      </c>
      <c r="C49" s="384" t="s">
        <v>653</v>
      </c>
      <c r="D49" s="314"/>
      <c r="E49" s="313">
        <v>1450000</v>
      </c>
      <c r="F49" s="314"/>
    </row>
    <row r="50" spans="1:9" ht="15.75" thickBot="1">
      <c r="A50" s="309">
        <v>48</v>
      </c>
      <c r="B50" s="383" t="s">
        <v>147</v>
      </c>
      <c r="C50" s="384" t="s">
        <v>653</v>
      </c>
      <c r="D50" s="314"/>
      <c r="E50" s="313">
        <v>800000</v>
      </c>
      <c r="F50" s="314"/>
    </row>
    <row r="51" spans="1:9" ht="15.75" thickBot="1">
      <c r="A51" s="309">
        <v>49</v>
      </c>
      <c r="B51" s="383" t="s">
        <v>690</v>
      </c>
      <c r="C51" s="384" t="s">
        <v>653</v>
      </c>
      <c r="D51" s="314"/>
      <c r="E51" s="313">
        <v>1200000</v>
      </c>
      <c r="F51" s="314"/>
    </row>
    <row r="52" spans="1:9" ht="15.75" thickBot="1">
      <c r="A52" s="309">
        <v>50</v>
      </c>
      <c r="B52" s="383" t="s">
        <v>56</v>
      </c>
      <c r="C52" s="384" t="s">
        <v>653</v>
      </c>
      <c r="D52" s="314"/>
      <c r="E52" s="313">
        <v>400000</v>
      </c>
      <c r="F52" s="314"/>
    </row>
    <row r="53" spans="1:9" ht="15.75" thickBot="1">
      <c r="A53" s="309">
        <v>51</v>
      </c>
      <c r="B53" s="383" t="s">
        <v>50</v>
      </c>
      <c r="C53" s="384" t="s">
        <v>653</v>
      </c>
      <c r="D53" s="314"/>
      <c r="E53" s="313">
        <v>550000</v>
      </c>
      <c r="F53" s="314"/>
    </row>
    <row r="54" spans="1:9" ht="15.75" thickBot="1">
      <c r="A54" s="309">
        <v>52</v>
      </c>
      <c r="B54" s="383" t="s">
        <v>689</v>
      </c>
      <c r="C54" s="384" t="s">
        <v>653</v>
      </c>
      <c r="D54" s="313">
        <v>1100000</v>
      </c>
      <c r="E54" s="314"/>
      <c r="F54" s="314"/>
    </row>
    <row r="55" spans="1:9" ht="15.75" thickBot="1">
      <c r="A55" s="309">
        <v>53</v>
      </c>
      <c r="B55" s="383" t="s">
        <v>659</v>
      </c>
      <c r="C55" s="384" t="s">
        <v>653</v>
      </c>
      <c r="D55" s="313">
        <v>1050000</v>
      </c>
      <c r="E55" s="314"/>
      <c r="F55" s="314"/>
    </row>
    <row r="56" spans="1:9" ht="15.75" thickBot="1">
      <c r="A56" s="309">
        <v>54</v>
      </c>
      <c r="B56" s="383" t="s">
        <v>693</v>
      </c>
      <c r="C56" s="384" t="s">
        <v>668</v>
      </c>
      <c r="D56" s="313">
        <v>50000</v>
      </c>
      <c r="E56" s="314"/>
      <c r="F56" s="314"/>
    </row>
    <row r="57" spans="1:9" ht="15.75" thickBot="1">
      <c r="A57" s="309">
        <v>55</v>
      </c>
      <c r="B57" s="383" t="s">
        <v>670</v>
      </c>
      <c r="C57" s="384" t="s">
        <v>668</v>
      </c>
      <c r="D57" s="313">
        <v>150000</v>
      </c>
      <c r="E57" s="314"/>
      <c r="F57" s="314"/>
    </row>
    <row r="58" spans="1:9" ht="15.75" thickBot="1">
      <c r="A58" s="309">
        <v>56</v>
      </c>
      <c r="B58" s="383" t="s">
        <v>742</v>
      </c>
      <c r="C58" s="384" t="s">
        <v>674</v>
      </c>
      <c r="D58" s="313">
        <v>100000</v>
      </c>
      <c r="E58" s="314"/>
      <c r="F58" s="314"/>
    </row>
    <row r="59" spans="1:9" ht="15.75" thickBot="1">
      <c r="A59" s="309">
        <v>57</v>
      </c>
      <c r="B59" s="383" t="s">
        <v>150</v>
      </c>
      <c r="C59" s="384" t="s">
        <v>674</v>
      </c>
      <c r="D59" s="314"/>
      <c r="E59" s="313">
        <v>550000</v>
      </c>
      <c r="F59" s="314"/>
    </row>
    <row r="60" spans="1:9" ht="15.75" thickBot="1">
      <c r="A60" s="309">
        <v>58</v>
      </c>
      <c r="B60" s="383" t="s">
        <v>675</v>
      </c>
      <c r="C60" s="384" t="s">
        <v>674</v>
      </c>
      <c r="D60" s="313">
        <v>500000</v>
      </c>
      <c r="E60" s="314"/>
      <c r="F60" s="314"/>
    </row>
    <row r="61" spans="1:9" ht="15.75" thickBot="1">
      <c r="A61" s="309">
        <v>59</v>
      </c>
      <c r="B61" s="383" t="s">
        <v>1473</v>
      </c>
      <c r="C61" s="384" t="s">
        <v>674</v>
      </c>
      <c r="D61" s="314"/>
      <c r="E61" s="313">
        <v>150000</v>
      </c>
      <c r="F61" s="314"/>
      <c r="I61" s="67">
        <f>E63+E156</f>
        <v>840000</v>
      </c>
    </row>
    <row r="62" spans="1:9" ht="15.75" thickBot="1">
      <c r="A62" s="309">
        <v>60</v>
      </c>
      <c r="B62" s="383" t="s">
        <v>149</v>
      </c>
      <c r="C62" s="384" t="s">
        <v>674</v>
      </c>
      <c r="D62" s="314"/>
      <c r="E62" s="313">
        <v>250000</v>
      </c>
      <c r="F62" s="314"/>
    </row>
    <row r="63" spans="1:9" ht="15.75" thickBot="1">
      <c r="A63" s="309">
        <v>61</v>
      </c>
      <c r="B63" s="383" t="s">
        <v>182</v>
      </c>
      <c r="C63" s="384" t="s">
        <v>674</v>
      </c>
      <c r="D63" s="314"/>
      <c r="E63" s="313">
        <v>600000</v>
      </c>
      <c r="F63" s="314"/>
    </row>
    <row r="64" spans="1:9" ht="15.75" thickBot="1">
      <c r="A64" s="309">
        <v>62</v>
      </c>
      <c r="B64" s="383" t="s">
        <v>741</v>
      </c>
      <c r="C64" s="384" t="s">
        <v>674</v>
      </c>
      <c r="D64" s="313">
        <v>350000</v>
      </c>
      <c r="E64" s="314"/>
      <c r="F64" s="314"/>
    </row>
    <row r="65" spans="1:6" ht="15.75" thickBot="1">
      <c r="A65" s="700" t="s">
        <v>758</v>
      </c>
      <c r="B65" s="701"/>
      <c r="C65" s="318"/>
      <c r="D65" s="695">
        <v>16150000</v>
      </c>
      <c r="E65" s="695">
        <v>24150000</v>
      </c>
      <c r="F65" s="696"/>
    </row>
    <row r="66" spans="1:6" ht="15.75" customHeight="1" thickBot="1">
      <c r="A66" s="700" t="s">
        <v>864</v>
      </c>
      <c r="B66" s="701"/>
      <c r="C66" s="318"/>
      <c r="D66" s="702">
        <v>40300000</v>
      </c>
      <c r="E66" s="703"/>
      <c r="F66" s="697"/>
    </row>
    <row r="67" spans="1:6">
      <c r="A67" s="244" t="s">
        <v>2029</v>
      </c>
    </row>
    <row r="68" spans="1:6">
      <c r="A68" s="244"/>
    </row>
    <row r="69" spans="1:6">
      <c r="A69" s="284"/>
    </row>
    <row r="70" spans="1:6" ht="15.75">
      <c r="A70" s="691"/>
      <c r="B70" s="247"/>
    </row>
    <row r="71" spans="1:6" ht="49.5">
      <c r="A71" s="594" t="s">
        <v>111</v>
      </c>
      <c r="B71" s="247" t="s">
        <v>932</v>
      </c>
    </row>
    <row r="72" spans="1:6" ht="82.5">
      <c r="A72" s="594" t="s">
        <v>113</v>
      </c>
      <c r="B72" s="588" t="s">
        <v>114</v>
      </c>
    </row>
    <row r="73" spans="1:6" ht="33">
      <c r="A73" s="588" t="s">
        <v>1167</v>
      </c>
      <c r="B73" s="248"/>
    </row>
    <row r="74" spans="1:6" ht="99">
      <c r="A74" s="588" t="s">
        <v>116</v>
      </c>
      <c r="B74" s="248"/>
    </row>
    <row r="75" spans="1:6" ht="16.5">
      <c r="A75" s="246"/>
      <c r="B75" s="248"/>
    </row>
    <row r="76" spans="1:6" ht="15.75">
      <c r="A76" s="205" t="s">
        <v>678</v>
      </c>
    </row>
    <row r="77" spans="1:6">
      <c r="A77" s="1134"/>
    </row>
    <row r="78" spans="1:6">
      <c r="A78" s="686" t="s">
        <v>2030</v>
      </c>
    </row>
    <row r="79" spans="1:6">
      <c r="A79" s="686" t="s">
        <v>1906</v>
      </c>
    </row>
    <row r="80" spans="1:6" ht="16.5" thickBot="1">
      <c r="A80" s="232" t="s">
        <v>2031</v>
      </c>
    </row>
    <row r="81" spans="1:6" ht="28.5" customHeight="1" thickBot="1">
      <c r="A81" s="939" t="s">
        <v>0</v>
      </c>
      <c r="B81" s="939" t="s">
        <v>121</v>
      </c>
      <c r="C81" s="939" t="s">
        <v>632</v>
      </c>
      <c r="D81" s="941" t="s">
        <v>894</v>
      </c>
      <c r="E81" s="942"/>
      <c r="F81" s="939" t="s">
        <v>699</v>
      </c>
    </row>
    <row r="82" spans="1:6" ht="15.75" thickBot="1">
      <c r="A82" s="943"/>
      <c r="B82" s="943"/>
      <c r="C82" s="943"/>
      <c r="D82" s="940" t="s">
        <v>828</v>
      </c>
      <c r="E82" s="940" t="s">
        <v>829</v>
      </c>
      <c r="F82" s="943"/>
    </row>
    <row r="83" spans="1:6" ht="15.75" thickBot="1">
      <c r="A83" s="694">
        <v>1</v>
      </c>
      <c r="B83" s="383" t="s">
        <v>639</v>
      </c>
      <c r="C83" s="384" t="s">
        <v>636</v>
      </c>
      <c r="D83" s="314"/>
      <c r="E83" s="313">
        <v>180000</v>
      </c>
      <c r="F83" s="314"/>
    </row>
    <row r="84" spans="1:6" ht="15.75" thickBot="1">
      <c r="A84" s="694">
        <v>2</v>
      </c>
      <c r="B84" s="383" t="s">
        <v>96</v>
      </c>
      <c r="C84" s="384" t="s">
        <v>636</v>
      </c>
      <c r="D84" s="314"/>
      <c r="E84" s="313">
        <v>680000</v>
      </c>
      <c r="F84" s="314"/>
    </row>
    <row r="85" spans="1:6" ht="15.75" thickBot="1">
      <c r="A85" s="694">
        <v>3</v>
      </c>
      <c r="B85" s="383" t="s">
        <v>744</v>
      </c>
      <c r="C85" s="384" t="s">
        <v>636</v>
      </c>
      <c r="D85" s="313">
        <v>600000</v>
      </c>
      <c r="E85" s="314"/>
      <c r="F85" s="314"/>
    </row>
    <row r="86" spans="1:6" ht="15.75" thickBot="1">
      <c r="A86" s="694">
        <v>4</v>
      </c>
      <c r="B86" s="383" t="s">
        <v>154</v>
      </c>
      <c r="C86" s="384" t="s">
        <v>636</v>
      </c>
      <c r="D86" s="314"/>
      <c r="E86" s="313">
        <v>460000</v>
      </c>
      <c r="F86" s="314"/>
    </row>
    <row r="87" spans="1:6" ht="15.75" thickBot="1">
      <c r="A87" s="694">
        <v>5</v>
      </c>
      <c r="B87" s="383" t="s">
        <v>640</v>
      </c>
      <c r="C87" s="384" t="s">
        <v>636</v>
      </c>
      <c r="D87" s="313">
        <v>980000</v>
      </c>
      <c r="E87" s="314"/>
      <c r="F87" s="314"/>
    </row>
    <row r="88" spans="1:6" ht="15.75" thickBot="1">
      <c r="A88" s="694">
        <v>6</v>
      </c>
      <c r="B88" s="383" t="s">
        <v>210</v>
      </c>
      <c r="C88" s="384" t="s">
        <v>636</v>
      </c>
      <c r="D88" s="314"/>
      <c r="E88" s="313">
        <v>440000</v>
      </c>
      <c r="F88" s="314"/>
    </row>
    <row r="89" spans="1:6" ht="15.75" thickBot="1">
      <c r="A89" s="694">
        <v>7</v>
      </c>
      <c r="B89" s="383" t="s">
        <v>641</v>
      </c>
      <c r="C89" s="384" t="s">
        <v>636</v>
      </c>
      <c r="D89" s="313">
        <v>160000</v>
      </c>
      <c r="E89" s="314"/>
      <c r="F89" s="314"/>
    </row>
    <row r="90" spans="1:6" ht="15.75" thickBot="1">
      <c r="A90" s="694">
        <v>8</v>
      </c>
      <c r="B90" s="383" t="s">
        <v>728</v>
      </c>
      <c r="C90" s="384" t="s">
        <v>642</v>
      </c>
      <c r="D90" s="313">
        <v>500000</v>
      </c>
      <c r="E90" s="314"/>
      <c r="F90" s="314"/>
    </row>
    <row r="91" spans="1:6" ht="15.75" thickBot="1">
      <c r="A91" s="694">
        <v>9</v>
      </c>
      <c r="B91" s="383" t="s">
        <v>644</v>
      </c>
      <c r="C91" s="384" t="s">
        <v>642</v>
      </c>
      <c r="D91" s="314"/>
      <c r="E91" s="313">
        <v>60000</v>
      </c>
      <c r="F91" s="314"/>
    </row>
    <row r="92" spans="1:6" ht="15.75" thickBot="1">
      <c r="A92" s="694">
        <v>10</v>
      </c>
      <c r="B92" s="383" t="s">
        <v>1458</v>
      </c>
      <c r="C92" s="384" t="s">
        <v>642</v>
      </c>
      <c r="D92" s="314"/>
      <c r="E92" s="313">
        <v>80000</v>
      </c>
      <c r="F92" s="314"/>
    </row>
    <row r="93" spans="1:6" ht="15.75" thickBot="1">
      <c r="A93" s="694">
        <v>11</v>
      </c>
      <c r="B93" s="383" t="s">
        <v>681</v>
      </c>
      <c r="C93" s="384" t="s">
        <v>642</v>
      </c>
      <c r="D93" s="314"/>
      <c r="E93" s="313">
        <v>580000</v>
      </c>
      <c r="F93" s="314"/>
    </row>
    <row r="94" spans="1:6" ht="15.75" thickBot="1">
      <c r="A94" s="694">
        <v>12</v>
      </c>
      <c r="B94" s="383" t="s">
        <v>1651</v>
      </c>
      <c r="C94" s="384" t="s">
        <v>642</v>
      </c>
      <c r="D94" s="314"/>
      <c r="E94" s="313">
        <v>1280000</v>
      </c>
      <c r="F94" s="314"/>
    </row>
    <row r="95" spans="1:6" ht="15.75" thickBot="1">
      <c r="A95" s="694">
        <v>13</v>
      </c>
      <c r="B95" s="383" t="s">
        <v>207</v>
      </c>
      <c r="C95" s="384" t="s">
        <v>642</v>
      </c>
      <c r="D95" s="314"/>
      <c r="E95" s="313">
        <v>1200000</v>
      </c>
      <c r="F95" s="314"/>
    </row>
    <row r="96" spans="1:6" ht="15.75" thickBot="1">
      <c r="A96" s="694">
        <v>14</v>
      </c>
      <c r="B96" s="383" t="s">
        <v>1935</v>
      </c>
      <c r="C96" s="384" t="s">
        <v>642</v>
      </c>
      <c r="D96" s="314"/>
      <c r="E96" s="313">
        <v>240000</v>
      </c>
      <c r="F96" s="314"/>
    </row>
    <row r="97" spans="1:6" ht="15.75" thickBot="1">
      <c r="A97" s="694">
        <v>15</v>
      </c>
      <c r="B97" s="383" t="s">
        <v>682</v>
      </c>
      <c r="C97" s="384" t="s">
        <v>642</v>
      </c>
      <c r="D97" s="313">
        <v>260000</v>
      </c>
      <c r="E97" s="314"/>
      <c r="F97" s="314"/>
    </row>
    <row r="98" spans="1:6" ht="15.75" thickBot="1">
      <c r="A98" s="694">
        <v>16</v>
      </c>
      <c r="B98" s="383" t="s">
        <v>715</v>
      </c>
      <c r="C98" s="384" t="s">
        <v>642</v>
      </c>
      <c r="D98" s="313">
        <v>1160000</v>
      </c>
      <c r="E98" s="314"/>
      <c r="F98" s="314"/>
    </row>
    <row r="99" spans="1:6" ht="15.75" thickBot="1">
      <c r="A99" s="694">
        <v>17</v>
      </c>
      <c r="B99" s="383" t="s">
        <v>870</v>
      </c>
      <c r="C99" s="384" t="s">
        <v>642</v>
      </c>
      <c r="D99" s="313">
        <v>40000</v>
      </c>
      <c r="E99" s="314"/>
      <c r="F99" s="314"/>
    </row>
    <row r="100" spans="1:6" ht="15.75" thickBot="1">
      <c r="A100" s="694">
        <v>18</v>
      </c>
      <c r="B100" s="383" t="s">
        <v>153</v>
      </c>
      <c r="C100" s="384" t="s">
        <v>642</v>
      </c>
      <c r="D100" s="314"/>
      <c r="E100" s="313">
        <v>740000</v>
      </c>
      <c r="F100" s="314"/>
    </row>
    <row r="101" spans="1:6" ht="15.75" thickBot="1">
      <c r="A101" s="694">
        <v>19</v>
      </c>
      <c r="B101" s="383" t="s">
        <v>722</v>
      </c>
      <c r="C101" s="384" t="s">
        <v>646</v>
      </c>
      <c r="D101" s="313">
        <v>240000</v>
      </c>
      <c r="E101" s="314"/>
      <c r="F101" s="314"/>
    </row>
    <row r="102" spans="1:6" ht="15.75" thickBot="1">
      <c r="A102" s="694">
        <v>20</v>
      </c>
      <c r="B102" s="383" t="s">
        <v>683</v>
      </c>
      <c r="C102" s="384" t="s">
        <v>646</v>
      </c>
      <c r="D102" s="313">
        <v>300000</v>
      </c>
      <c r="E102" s="314"/>
      <c r="F102" s="314"/>
    </row>
    <row r="103" spans="1:6" ht="15.75" thickBot="1">
      <c r="A103" s="694">
        <v>21</v>
      </c>
      <c r="B103" s="383" t="s">
        <v>168</v>
      </c>
      <c r="C103" s="384" t="s">
        <v>646</v>
      </c>
      <c r="D103" s="314"/>
      <c r="E103" s="313">
        <v>180000</v>
      </c>
      <c r="F103" s="314"/>
    </row>
    <row r="104" spans="1:6" ht="15.75" thickBot="1">
      <c r="A104" s="694">
        <v>22</v>
      </c>
      <c r="B104" s="383" t="s">
        <v>148</v>
      </c>
      <c r="C104" s="384" t="s">
        <v>646</v>
      </c>
      <c r="D104" s="314"/>
      <c r="E104" s="313">
        <v>180000</v>
      </c>
      <c r="F104" s="314"/>
    </row>
    <row r="105" spans="1:6" ht="15.75" thickBot="1">
      <c r="A105" s="694">
        <v>23</v>
      </c>
      <c r="B105" s="383" t="s">
        <v>289</v>
      </c>
      <c r="C105" s="384" t="s">
        <v>646</v>
      </c>
      <c r="D105" s="314"/>
      <c r="E105" s="313">
        <v>40000</v>
      </c>
      <c r="F105" s="314"/>
    </row>
    <row r="106" spans="1:6" ht="15.75" thickBot="1">
      <c r="A106" s="694">
        <v>24</v>
      </c>
      <c r="B106" s="383" t="s">
        <v>1434</v>
      </c>
      <c r="C106" s="384" t="s">
        <v>646</v>
      </c>
      <c r="D106" s="314"/>
      <c r="E106" s="313">
        <v>280000</v>
      </c>
      <c r="F106" s="314"/>
    </row>
    <row r="107" spans="1:6" ht="15.75" thickBot="1">
      <c r="A107" s="694">
        <v>25</v>
      </c>
      <c r="B107" s="383" t="s">
        <v>647</v>
      </c>
      <c r="C107" s="384" t="s">
        <v>646</v>
      </c>
      <c r="D107" s="313">
        <v>40000</v>
      </c>
      <c r="E107" s="314"/>
      <c r="F107" s="314"/>
    </row>
    <row r="108" spans="1:6" ht="15.75" thickBot="1">
      <c r="A108" s="694">
        <v>26</v>
      </c>
      <c r="B108" s="383" t="s">
        <v>723</v>
      </c>
      <c r="C108" s="384" t="s">
        <v>646</v>
      </c>
      <c r="D108" s="313">
        <v>40000</v>
      </c>
      <c r="E108" s="314"/>
      <c r="F108" s="314"/>
    </row>
    <row r="109" spans="1:6" ht="15.75" thickBot="1">
      <c r="A109" s="309">
        <v>27</v>
      </c>
      <c r="B109" s="383" t="s">
        <v>687</v>
      </c>
      <c r="C109" s="384" t="s">
        <v>649</v>
      </c>
      <c r="D109" s="313">
        <v>580000</v>
      </c>
      <c r="E109" s="314"/>
      <c r="F109" s="314"/>
    </row>
    <row r="110" spans="1:6" ht="15.75" thickBot="1">
      <c r="A110" s="309">
        <v>28</v>
      </c>
      <c r="B110" s="383" t="s">
        <v>686</v>
      </c>
      <c r="C110" s="384" t="s">
        <v>649</v>
      </c>
      <c r="D110" s="313">
        <v>600000</v>
      </c>
      <c r="E110" s="314"/>
      <c r="F110" s="314"/>
    </row>
    <row r="111" spans="1:6" ht="15.75" thickBot="1">
      <c r="A111" s="309">
        <v>29</v>
      </c>
      <c r="B111" s="383" t="s">
        <v>152</v>
      </c>
      <c r="C111" s="384" t="s">
        <v>649</v>
      </c>
      <c r="D111" s="314"/>
      <c r="E111" s="313">
        <v>340000</v>
      </c>
      <c r="F111" s="314"/>
    </row>
    <row r="112" spans="1:6" ht="15.75" thickBot="1">
      <c r="A112" s="309">
        <v>30</v>
      </c>
      <c r="B112" s="383" t="s">
        <v>187</v>
      </c>
      <c r="C112" s="384" t="s">
        <v>649</v>
      </c>
      <c r="D112" s="314"/>
      <c r="E112" s="313">
        <v>220000</v>
      </c>
      <c r="F112" s="314"/>
    </row>
    <row r="113" spans="1:6" ht="15.75" thickBot="1">
      <c r="A113" s="309">
        <v>31</v>
      </c>
      <c r="B113" s="383" t="s">
        <v>27</v>
      </c>
      <c r="C113" s="384" t="s">
        <v>649</v>
      </c>
      <c r="D113" s="314"/>
      <c r="E113" s="313">
        <v>40000</v>
      </c>
      <c r="F113" s="314"/>
    </row>
    <row r="114" spans="1:6" ht="15.75" thickBot="1">
      <c r="A114" s="309">
        <v>32</v>
      </c>
      <c r="B114" s="383" t="s">
        <v>685</v>
      </c>
      <c r="C114" s="384" t="s">
        <v>649</v>
      </c>
      <c r="D114" s="313">
        <v>540000</v>
      </c>
      <c r="E114" s="314"/>
      <c r="F114" s="314"/>
    </row>
    <row r="115" spans="1:6" ht="15.75" thickBot="1">
      <c r="A115" s="309">
        <v>33</v>
      </c>
      <c r="B115" s="383" t="s">
        <v>684</v>
      </c>
      <c r="C115" s="384" t="s">
        <v>649</v>
      </c>
      <c r="D115" s="313">
        <v>440000</v>
      </c>
      <c r="E115" s="314"/>
      <c r="F115" s="314"/>
    </row>
    <row r="116" spans="1:6" ht="15.75" thickBot="1">
      <c r="A116" s="309">
        <v>34</v>
      </c>
      <c r="B116" s="383" t="s">
        <v>1908</v>
      </c>
      <c r="C116" s="384" t="s">
        <v>649</v>
      </c>
      <c r="D116" s="314"/>
      <c r="E116" s="313">
        <v>560000</v>
      </c>
      <c r="F116" s="314"/>
    </row>
    <row r="117" spans="1:6" ht="15.75" thickBot="1">
      <c r="A117" s="309">
        <v>35</v>
      </c>
      <c r="B117" s="383" t="s">
        <v>638</v>
      </c>
      <c r="C117" s="384" t="s">
        <v>649</v>
      </c>
      <c r="D117" s="313">
        <v>200000</v>
      </c>
      <c r="E117" s="314"/>
      <c r="F117" s="314"/>
    </row>
    <row r="118" spans="1:6" ht="15.75" thickBot="1">
      <c r="A118" s="309">
        <v>36</v>
      </c>
      <c r="B118" s="383" t="s">
        <v>721</v>
      </c>
      <c r="C118" s="384" t="s">
        <v>649</v>
      </c>
      <c r="D118" s="314"/>
      <c r="E118" s="313">
        <v>360000</v>
      </c>
      <c r="F118" s="314"/>
    </row>
    <row r="119" spans="1:6" ht="15.75" thickBot="1">
      <c r="A119" s="309">
        <v>37</v>
      </c>
      <c r="B119" s="383" t="s">
        <v>831</v>
      </c>
      <c r="C119" s="384" t="s">
        <v>649</v>
      </c>
      <c r="D119" s="314"/>
      <c r="E119" s="313">
        <v>120000</v>
      </c>
      <c r="F119" s="314"/>
    </row>
    <row r="120" spans="1:6" ht="15.75" thickBot="1">
      <c r="A120" s="309">
        <v>38</v>
      </c>
      <c r="B120" s="383" t="s">
        <v>81</v>
      </c>
      <c r="C120" s="384" t="s">
        <v>649</v>
      </c>
      <c r="D120" s="314"/>
      <c r="E120" s="313">
        <v>20000</v>
      </c>
      <c r="F120" s="314"/>
    </row>
    <row r="121" spans="1:6" ht="15.75" thickBot="1">
      <c r="A121" s="309">
        <v>39</v>
      </c>
      <c r="B121" s="383" t="s">
        <v>688</v>
      </c>
      <c r="C121" s="384" t="s">
        <v>650</v>
      </c>
      <c r="D121" s="313">
        <v>160000</v>
      </c>
      <c r="E121" s="314"/>
      <c r="F121" s="314"/>
    </row>
    <row r="122" spans="1:6" ht="15.75" thickBot="1">
      <c r="A122" s="309">
        <v>40</v>
      </c>
      <c r="B122" s="383" t="s">
        <v>1401</v>
      </c>
      <c r="C122" s="384" t="s">
        <v>650</v>
      </c>
      <c r="D122" s="313">
        <v>320000</v>
      </c>
      <c r="E122" s="314"/>
      <c r="F122" s="314"/>
    </row>
    <row r="123" spans="1:6" ht="15.75" thickBot="1">
      <c r="A123" s="309">
        <v>41</v>
      </c>
      <c r="B123" s="383" t="s">
        <v>651</v>
      </c>
      <c r="C123" s="384" t="s">
        <v>650</v>
      </c>
      <c r="D123" s="313">
        <v>180000</v>
      </c>
      <c r="E123" s="314"/>
      <c r="F123" s="314"/>
    </row>
    <row r="124" spans="1:6" ht="15.75" thickBot="1">
      <c r="A124" s="309">
        <v>42</v>
      </c>
      <c r="B124" s="383" t="s">
        <v>645</v>
      </c>
      <c r="C124" s="384" t="s">
        <v>650</v>
      </c>
      <c r="D124" s="313">
        <v>100000</v>
      </c>
      <c r="E124" s="314"/>
      <c r="F124" s="314"/>
    </row>
    <row r="125" spans="1:6" ht="15.75" thickBot="1">
      <c r="A125" s="309">
        <v>43</v>
      </c>
      <c r="B125" s="383" t="s">
        <v>269</v>
      </c>
      <c r="C125" s="384" t="s">
        <v>650</v>
      </c>
      <c r="D125" s="314"/>
      <c r="E125" s="313">
        <v>80000</v>
      </c>
      <c r="F125" s="314"/>
    </row>
    <row r="126" spans="1:6" ht="15.75" thickBot="1">
      <c r="A126" s="309">
        <v>44</v>
      </c>
      <c r="B126" s="383" t="s">
        <v>83</v>
      </c>
      <c r="C126" s="384" t="s">
        <v>650</v>
      </c>
      <c r="D126" s="314"/>
      <c r="E126" s="313">
        <v>20000</v>
      </c>
      <c r="F126" s="314"/>
    </row>
    <row r="127" spans="1:6" ht="15.75" thickBot="1">
      <c r="A127" s="309">
        <v>45</v>
      </c>
      <c r="B127" s="383" t="s">
        <v>656</v>
      </c>
      <c r="C127" s="384" t="s">
        <v>653</v>
      </c>
      <c r="D127" s="313">
        <v>440000</v>
      </c>
      <c r="E127" s="314"/>
      <c r="F127" s="314"/>
    </row>
    <row r="128" spans="1:6" ht="15.75" thickBot="1">
      <c r="A128" s="309">
        <v>46</v>
      </c>
      <c r="B128" s="383" t="s">
        <v>146</v>
      </c>
      <c r="C128" s="384" t="s">
        <v>653</v>
      </c>
      <c r="D128" s="314"/>
      <c r="E128" s="313">
        <v>780000</v>
      </c>
      <c r="F128" s="314"/>
    </row>
    <row r="129" spans="1:6" ht="15.75" thickBot="1">
      <c r="A129" s="309">
        <v>47</v>
      </c>
      <c r="B129" s="383" t="s">
        <v>138</v>
      </c>
      <c r="C129" s="384" t="s">
        <v>653</v>
      </c>
      <c r="D129" s="314"/>
      <c r="E129" s="313">
        <v>80000</v>
      </c>
      <c r="F129" s="314"/>
    </row>
    <row r="130" spans="1:6" ht="15.75" thickBot="1">
      <c r="A130" s="309">
        <v>48</v>
      </c>
      <c r="B130" s="383" t="s">
        <v>48</v>
      </c>
      <c r="C130" s="384" t="s">
        <v>653</v>
      </c>
      <c r="D130" s="314"/>
      <c r="E130" s="313">
        <v>160000</v>
      </c>
      <c r="F130" s="314"/>
    </row>
    <row r="131" spans="1:6" ht="15.75" thickBot="1">
      <c r="A131" s="309">
        <v>49</v>
      </c>
      <c r="B131" s="383" t="s">
        <v>46</v>
      </c>
      <c r="C131" s="384" t="s">
        <v>653</v>
      </c>
      <c r="D131" s="314"/>
      <c r="E131" s="313">
        <v>120000</v>
      </c>
      <c r="F131" s="314"/>
    </row>
    <row r="132" spans="1:6" ht="15.75" thickBot="1">
      <c r="A132" s="309">
        <v>50</v>
      </c>
      <c r="B132" s="383" t="s">
        <v>655</v>
      </c>
      <c r="C132" s="384" t="s">
        <v>653</v>
      </c>
      <c r="D132" s="313">
        <v>420000</v>
      </c>
      <c r="E132" s="314"/>
      <c r="F132" s="314"/>
    </row>
    <row r="133" spans="1:6" ht="15.75" thickBot="1">
      <c r="A133" s="309">
        <v>51</v>
      </c>
      <c r="B133" s="383" t="s">
        <v>658</v>
      </c>
      <c r="C133" s="384" t="s">
        <v>653</v>
      </c>
      <c r="D133" s="313">
        <v>420000</v>
      </c>
      <c r="E133" s="314"/>
      <c r="F133" s="314"/>
    </row>
    <row r="134" spans="1:6" ht="15.75" thickBot="1">
      <c r="A134" s="309">
        <v>52</v>
      </c>
      <c r="B134" s="383" t="s">
        <v>60</v>
      </c>
      <c r="C134" s="384" t="s">
        <v>653</v>
      </c>
      <c r="D134" s="314"/>
      <c r="E134" s="313">
        <v>840000</v>
      </c>
      <c r="F134" s="314"/>
    </row>
    <row r="135" spans="1:6" ht="15.75" thickBot="1">
      <c r="A135" s="309">
        <v>53</v>
      </c>
      <c r="B135" s="383" t="s">
        <v>147</v>
      </c>
      <c r="C135" s="384" t="s">
        <v>653</v>
      </c>
      <c r="D135" s="314"/>
      <c r="E135" s="313">
        <v>540000</v>
      </c>
      <c r="F135" s="314"/>
    </row>
    <row r="136" spans="1:6" ht="15.75" thickBot="1">
      <c r="A136" s="309">
        <v>54</v>
      </c>
      <c r="B136" s="383" t="s">
        <v>690</v>
      </c>
      <c r="C136" s="384" t="s">
        <v>653</v>
      </c>
      <c r="D136" s="314"/>
      <c r="E136" s="313">
        <v>600000</v>
      </c>
      <c r="F136" s="314"/>
    </row>
    <row r="137" spans="1:6" ht="15.75" thickBot="1">
      <c r="A137" s="309">
        <v>55</v>
      </c>
      <c r="B137" s="383" t="s">
        <v>56</v>
      </c>
      <c r="C137" s="384" t="s">
        <v>653</v>
      </c>
      <c r="D137" s="314"/>
      <c r="E137" s="313">
        <v>200000</v>
      </c>
      <c r="F137" s="314"/>
    </row>
    <row r="138" spans="1:6" ht="15.75" thickBot="1">
      <c r="A138" s="309">
        <v>56</v>
      </c>
      <c r="B138" s="383" t="s">
        <v>50</v>
      </c>
      <c r="C138" s="384" t="s">
        <v>653</v>
      </c>
      <c r="D138" s="314"/>
      <c r="E138" s="313">
        <v>420000</v>
      </c>
      <c r="F138" s="314"/>
    </row>
    <row r="139" spans="1:6" ht="15.75" thickBot="1">
      <c r="A139" s="309">
        <v>57</v>
      </c>
      <c r="B139" s="383" t="s">
        <v>689</v>
      </c>
      <c r="C139" s="384" t="s">
        <v>653</v>
      </c>
      <c r="D139" s="313">
        <v>620000</v>
      </c>
      <c r="E139" s="314"/>
      <c r="F139" s="314"/>
    </row>
    <row r="140" spans="1:6" ht="15.75" thickBot="1">
      <c r="A140" s="309">
        <v>58</v>
      </c>
      <c r="B140" s="383" t="s">
        <v>659</v>
      </c>
      <c r="C140" s="384" t="s">
        <v>653</v>
      </c>
      <c r="D140" s="313">
        <v>720000</v>
      </c>
      <c r="E140" s="314"/>
      <c r="F140" s="314"/>
    </row>
    <row r="141" spans="1:6" ht="15.75" thickBot="1">
      <c r="A141" s="309">
        <v>59</v>
      </c>
      <c r="B141" s="383" t="s">
        <v>743</v>
      </c>
      <c r="C141" s="384" t="s">
        <v>653</v>
      </c>
      <c r="D141" s="313">
        <v>120000</v>
      </c>
      <c r="E141" s="314"/>
      <c r="F141" s="314"/>
    </row>
    <row r="142" spans="1:6" ht="15.75" thickBot="1">
      <c r="A142" s="309">
        <v>60</v>
      </c>
      <c r="B142" s="383" t="s">
        <v>693</v>
      </c>
      <c r="C142" s="384" t="s">
        <v>668</v>
      </c>
      <c r="D142" s="313">
        <v>80000</v>
      </c>
      <c r="E142" s="314"/>
      <c r="F142" s="314"/>
    </row>
    <row r="143" spans="1:6" ht="15.75" thickBot="1">
      <c r="A143" s="309">
        <v>61</v>
      </c>
      <c r="B143" s="383" t="s">
        <v>670</v>
      </c>
      <c r="C143" s="384" t="s">
        <v>668</v>
      </c>
      <c r="D143" s="313">
        <v>120000</v>
      </c>
      <c r="E143" s="314"/>
      <c r="F143" s="314"/>
    </row>
    <row r="144" spans="1:6" ht="15.75" thickBot="1">
      <c r="A144" s="309">
        <v>62</v>
      </c>
      <c r="B144" s="383" t="s">
        <v>672</v>
      </c>
      <c r="C144" s="384" t="s">
        <v>668</v>
      </c>
      <c r="D144" s="313">
        <v>20000</v>
      </c>
      <c r="E144" s="314"/>
      <c r="F144" s="314"/>
    </row>
    <row r="145" spans="1:6" ht="15.75" thickBot="1">
      <c r="A145" s="309">
        <v>63</v>
      </c>
      <c r="B145" s="383" t="s">
        <v>295</v>
      </c>
      <c r="C145" s="384" t="s">
        <v>668</v>
      </c>
      <c r="D145" s="314"/>
      <c r="E145" s="313">
        <v>20000</v>
      </c>
      <c r="F145" s="314"/>
    </row>
    <row r="146" spans="1:6" ht="15.75" thickBot="1">
      <c r="A146" s="309">
        <v>64</v>
      </c>
      <c r="B146" s="383" t="s">
        <v>29</v>
      </c>
      <c r="C146" s="384" t="s">
        <v>668</v>
      </c>
      <c r="D146" s="314"/>
      <c r="E146" s="313">
        <v>40000</v>
      </c>
      <c r="F146" s="314"/>
    </row>
    <row r="147" spans="1:6" ht="15.75" thickBot="1">
      <c r="A147" s="309">
        <v>65</v>
      </c>
      <c r="B147" s="383" t="s">
        <v>732</v>
      </c>
      <c r="C147" s="384" t="s">
        <v>668</v>
      </c>
      <c r="D147" s="313">
        <v>40000</v>
      </c>
      <c r="E147" s="314"/>
      <c r="F147" s="314"/>
    </row>
    <row r="148" spans="1:6" ht="15.75" thickBot="1">
      <c r="A148" s="309">
        <v>66</v>
      </c>
      <c r="B148" s="383" t="s">
        <v>273</v>
      </c>
      <c r="C148" s="384" t="s">
        <v>668</v>
      </c>
      <c r="D148" s="314"/>
      <c r="E148" s="313">
        <v>20000</v>
      </c>
      <c r="F148" s="314"/>
    </row>
    <row r="149" spans="1:6" ht="15.75" thickBot="1">
      <c r="A149" s="309">
        <v>67</v>
      </c>
      <c r="B149" s="383" t="s">
        <v>692</v>
      </c>
      <c r="C149" s="384" t="s">
        <v>668</v>
      </c>
      <c r="D149" s="313">
        <v>120000</v>
      </c>
      <c r="E149" s="314"/>
      <c r="F149" s="314"/>
    </row>
    <row r="150" spans="1:6" ht="15.75" thickBot="1">
      <c r="A150" s="309">
        <v>68</v>
      </c>
      <c r="B150" s="383" t="s">
        <v>262</v>
      </c>
      <c r="C150" s="384" t="s">
        <v>668</v>
      </c>
      <c r="D150" s="314"/>
      <c r="E150" s="313">
        <v>20000</v>
      </c>
      <c r="F150" s="314"/>
    </row>
    <row r="151" spans="1:6" ht="15.75" thickBot="1">
      <c r="A151" s="309">
        <v>69</v>
      </c>
      <c r="B151" s="383" t="s">
        <v>742</v>
      </c>
      <c r="C151" s="384" t="s">
        <v>674</v>
      </c>
      <c r="D151" s="313">
        <v>160000</v>
      </c>
      <c r="E151" s="314"/>
      <c r="F151" s="314"/>
    </row>
    <row r="152" spans="1:6" ht="15.75" thickBot="1">
      <c r="A152" s="309">
        <v>70</v>
      </c>
      <c r="B152" s="383" t="s">
        <v>150</v>
      </c>
      <c r="C152" s="384" t="s">
        <v>674</v>
      </c>
      <c r="D152" s="314"/>
      <c r="E152" s="313">
        <v>340000</v>
      </c>
      <c r="F152" s="314"/>
    </row>
    <row r="153" spans="1:6" ht="15.75" thickBot="1">
      <c r="A153" s="309">
        <v>71</v>
      </c>
      <c r="B153" s="383" t="s">
        <v>675</v>
      </c>
      <c r="C153" s="384" t="s">
        <v>674</v>
      </c>
      <c r="D153" s="313">
        <v>260000</v>
      </c>
      <c r="E153" s="314"/>
      <c r="F153" s="314"/>
    </row>
    <row r="154" spans="1:6" ht="15.75" thickBot="1">
      <c r="A154" s="309">
        <v>72</v>
      </c>
      <c r="B154" s="383" t="s">
        <v>1473</v>
      </c>
      <c r="C154" s="384" t="s">
        <v>674</v>
      </c>
      <c r="D154" s="314"/>
      <c r="E154" s="313">
        <v>60000</v>
      </c>
      <c r="F154" s="314"/>
    </row>
    <row r="155" spans="1:6" ht="15.75" thickBot="1">
      <c r="A155" s="309">
        <v>73</v>
      </c>
      <c r="B155" s="383" t="s">
        <v>149</v>
      </c>
      <c r="C155" s="384" t="s">
        <v>674</v>
      </c>
      <c r="D155" s="314"/>
      <c r="E155" s="313">
        <v>100000</v>
      </c>
      <c r="F155" s="314"/>
    </row>
    <row r="156" spans="1:6" ht="15.75" thickBot="1">
      <c r="A156" s="309">
        <v>74</v>
      </c>
      <c r="B156" s="383" t="s">
        <v>182</v>
      </c>
      <c r="C156" s="384" t="s">
        <v>674</v>
      </c>
      <c r="D156" s="314"/>
      <c r="E156" s="313">
        <v>240000</v>
      </c>
      <c r="F156" s="314"/>
    </row>
    <row r="157" spans="1:6" ht="15.75" thickBot="1">
      <c r="A157" s="309">
        <v>75</v>
      </c>
      <c r="B157" s="383" t="s">
        <v>741</v>
      </c>
      <c r="C157" s="384" t="s">
        <v>674</v>
      </c>
      <c r="D157" s="313">
        <v>140000</v>
      </c>
      <c r="E157" s="314"/>
      <c r="F157" s="314"/>
    </row>
    <row r="158" spans="1:6" ht="15.75" thickBot="1">
      <c r="A158" s="700" t="s">
        <v>758</v>
      </c>
      <c r="B158" s="701"/>
      <c r="C158" s="383"/>
      <c r="D158" s="1076">
        <v>11120000</v>
      </c>
      <c r="E158" s="1076">
        <v>12960000</v>
      </c>
      <c r="F158" s="696"/>
    </row>
    <row r="159" spans="1:6" ht="15.75" customHeight="1" thickBot="1">
      <c r="A159" s="700" t="s">
        <v>864</v>
      </c>
      <c r="B159" s="701"/>
      <c r="C159" s="383"/>
      <c r="D159" s="1135">
        <v>24080000</v>
      </c>
      <c r="E159" s="1136"/>
      <c r="F159" s="314"/>
    </row>
    <row r="160" spans="1:6" ht="15.75">
      <c r="A160" s="365" t="s">
        <v>2032</v>
      </c>
    </row>
    <row r="161" spans="1:1">
      <c r="A161" s="284"/>
    </row>
  </sheetData>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2"/>
  <sheetViews>
    <sheetView workbookViewId="0">
      <selection activeCell="C11" sqref="C11"/>
    </sheetView>
  </sheetViews>
  <sheetFormatPr defaultRowHeight="15"/>
  <cols>
    <col min="5" max="5" width="9.140625" style="68"/>
  </cols>
  <sheetData>
    <row r="1" spans="1:6" ht="28.5" customHeight="1" thickBot="1">
      <c r="A1" s="939" t="s">
        <v>0</v>
      </c>
      <c r="B1" s="939" t="s">
        <v>121</v>
      </c>
      <c r="C1" s="939" t="s">
        <v>632</v>
      </c>
      <c r="D1" s="941" t="s">
        <v>894</v>
      </c>
      <c r="E1" s="942"/>
      <c r="F1" s="939" t="s">
        <v>699</v>
      </c>
    </row>
    <row r="2" spans="1:6" ht="15.75" thickBot="1">
      <c r="A2" s="943"/>
      <c r="B2" s="943"/>
      <c r="C2" s="943"/>
      <c r="D2" s="940" t="s">
        <v>828</v>
      </c>
      <c r="E2" s="940" t="s">
        <v>829</v>
      </c>
      <c r="F2" s="943"/>
    </row>
    <row r="3" spans="1:6" ht="48" thickBot="1">
      <c r="A3" s="382">
        <v>1</v>
      </c>
      <c r="B3" s="687" t="s">
        <v>39</v>
      </c>
      <c r="C3" s="688" t="s">
        <v>668</v>
      </c>
      <c r="D3" s="386"/>
      <c r="E3" s="739">
        <v>60000</v>
      </c>
      <c r="F3" s="386"/>
    </row>
    <row r="4" spans="1:6" ht="48" thickBot="1">
      <c r="A4" s="382">
        <v>2</v>
      </c>
      <c r="B4" s="687" t="s">
        <v>213</v>
      </c>
      <c r="C4" s="688" t="s">
        <v>668</v>
      </c>
      <c r="D4" s="386"/>
      <c r="E4" s="739">
        <v>30000</v>
      </c>
      <c r="F4" s="386"/>
    </row>
    <row r="5" spans="1:6" ht="63.75" thickBot="1">
      <c r="A5" s="382">
        <v>3</v>
      </c>
      <c r="B5" s="687" t="s">
        <v>435</v>
      </c>
      <c r="C5" s="688" t="s">
        <v>668</v>
      </c>
      <c r="D5" s="386"/>
      <c r="E5" s="739">
        <v>110000</v>
      </c>
      <c r="F5" s="386"/>
    </row>
    <row r="6" spans="1:6" ht="32.25" thickBot="1">
      <c r="A6" s="382">
        <v>4</v>
      </c>
      <c r="B6" s="687" t="s">
        <v>1316</v>
      </c>
      <c r="C6" s="688" t="s">
        <v>668</v>
      </c>
      <c r="D6" s="386"/>
      <c r="E6" s="739">
        <v>50000</v>
      </c>
      <c r="F6" s="386"/>
    </row>
    <row r="7" spans="1:6" ht="48" thickBot="1">
      <c r="A7" s="382">
        <v>5</v>
      </c>
      <c r="B7" s="687" t="s">
        <v>672</v>
      </c>
      <c r="C7" s="688" t="s">
        <v>668</v>
      </c>
      <c r="D7" s="689">
        <v>30000</v>
      </c>
      <c r="E7" s="738"/>
      <c r="F7" s="386"/>
    </row>
    <row r="8" spans="1:6" ht="32.25" thickBot="1">
      <c r="A8" s="382">
        <v>6</v>
      </c>
      <c r="B8" s="687" t="s">
        <v>655</v>
      </c>
      <c r="C8" s="688" t="s">
        <v>653</v>
      </c>
      <c r="D8" s="689">
        <v>80000</v>
      </c>
      <c r="E8" s="738"/>
      <c r="F8" s="386"/>
    </row>
    <row r="9" spans="1:6" ht="48" thickBot="1">
      <c r="A9" s="382">
        <v>7</v>
      </c>
      <c r="B9" s="687" t="s">
        <v>48</v>
      </c>
      <c r="C9" s="688" t="s">
        <v>653</v>
      </c>
      <c r="D9" s="386"/>
      <c r="E9" s="739">
        <v>70000</v>
      </c>
      <c r="F9" s="386"/>
    </row>
    <row r="10" spans="1:6" ht="48" thickBot="1">
      <c r="A10" s="382">
        <v>8</v>
      </c>
      <c r="B10" s="687" t="s">
        <v>689</v>
      </c>
      <c r="C10" s="688" t="s">
        <v>653</v>
      </c>
      <c r="D10" s="689">
        <v>30000</v>
      </c>
      <c r="E10" s="738"/>
      <c r="F10" s="386"/>
    </row>
    <row r="11" spans="1:6" ht="32.25" thickBot="1">
      <c r="A11" s="382">
        <v>9</v>
      </c>
      <c r="B11" s="687" t="s">
        <v>146</v>
      </c>
      <c r="C11" s="688" t="s">
        <v>653</v>
      </c>
      <c r="D11" s="386"/>
      <c r="E11" s="739">
        <v>165000</v>
      </c>
      <c r="F11" s="386"/>
    </row>
    <row r="12" spans="1:6" ht="32.25" thickBot="1">
      <c r="A12" s="382">
        <v>10</v>
      </c>
      <c r="B12" s="687" t="s">
        <v>147</v>
      </c>
      <c r="C12" s="688" t="s">
        <v>653</v>
      </c>
      <c r="D12" s="386"/>
      <c r="E12" s="739">
        <v>15000</v>
      </c>
      <c r="F12" s="386"/>
    </row>
    <row r="13" spans="1:6" ht="48" thickBot="1">
      <c r="A13" s="382">
        <v>11</v>
      </c>
      <c r="B13" s="687" t="s">
        <v>60</v>
      </c>
      <c r="C13" s="688" t="s">
        <v>653</v>
      </c>
      <c r="D13" s="386"/>
      <c r="E13" s="739">
        <v>200000</v>
      </c>
      <c r="F13" s="386"/>
    </row>
    <row r="14" spans="1:6" ht="48" thickBot="1">
      <c r="A14" s="382">
        <v>12</v>
      </c>
      <c r="B14" s="687" t="s">
        <v>56</v>
      </c>
      <c r="C14" s="688" t="s">
        <v>653</v>
      </c>
      <c r="D14" s="386"/>
      <c r="E14" s="739">
        <v>380000</v>
      </c>
      <c r="F14" s="386"/>
    </row>
    <row r="15" spans="1:6" ht="48" thickBot="1">
      <c r="A15" s="382">
        <v>13</v>
      </c>
      <c r="B15" s="687" t="s">
        <v>50</v>
      </c>
      <c r="C15" s="688" t="s">
        <v>653</v>
      </c>
      <c r="D15" s="386"/>
      <c r="E15" s="739">
        <v>205000</v>
      </c>
      <c r="F15" s="386"/>
    </row>
    <row r="16" spans="1:6" ht="32.25" thickBot="1">
      <c r="A16" s="382">
        <v>14</v>
      </c>
      <c r="B16" s="687" t="s">
        <v>723</v>
      </c>
      <c r="C16" s="688" t="s">
        <v>646</v>
      </c>
      <c r="D16" s="689">
        <v>100000</v>
      </c>
      <c r="E16" s="738"/>
      <c r="F16" s="386"/>
    </row>
    <row r="17" spans="1:6" ht="48" thickBot="1">
      <c r="A17" s="382">
        <v>15</v>
      </c>
      <c r="B17" s="687" t="s">
        <v>647</v>
      </c>
      <c r="C17" s="688" t="s">
        <v>646</v>
      </c>
      <c r="D17" s="689">
        <v>37500</v>
      </c>
      <c r="E17" s="738"/>
      <c r="F17" s="386"/>
    </row>
    <row r="18" spans="1:6" ht="48" thickBot="1">
      <c r="A18" s="382">
        <v>16</v>
      </c>
      <c r="B18" s="687" t="s">
        <v>168</v>
      </c>
      <c r="C18" s="688" t="s">
        <v>646</v>
      </c>
      <c r="D18" s="386"/>
      <c r="E18" s="739">
        <v>50000</v>
      </c>
      <c r="F18" s="386"/>
    </row>
    <row r="19" spans="1:6" ht="48" thickBot="1">
      <c r="A19" s="382">
        <v>17</v>
      </c>
      <c r="B19" s="687" t="s">
        <v>1434</v>
      </c>
      <c r="C19" s="688" t="s">
        <v>646</v>
      </c>
      <c r="D19" s="386"/>
      <c r="E19" s="739">
        <v>45000</v>
      </c>
      <c r="F19" s="386"/>
    </row>
    <row r="20" spans="1:6" ht="32.25" thickBot="1">
      <c r="A20" s="382">
        <v>18</v>
      </c>
      <c r="B20" s="687" t="s">
        <v>72</v>
      </c>
      <c r="C20" s="688" t="s">
        <v>674</v>
      </c>
      <c r="D20" s="386"/>
      <c r="E20" s="739">
        <v>280000</v>
      </c>
      <c r="F20" s="386"/>
    </row>
    <row r="21" spans="1:6" ht="63.75" thickBot="1">
      <c r="A21" s="382">
        <v>19</v>
      </c>
      <c r="B21" s="687" t="s">
        <v>150</v>
      </c>
      <c r="C21" s="688" t="s">
        <v>674</v>
      </c>
      <c r="D21" s="386"/>
      <c r="E21" s="739">
        <v>120000</v>
      </c>
      <c r="F21" s="386"/>
    </row>
    <row r="22" spans="1:6" ht="48" thickBot="1">
      <c r="A22" s="382">
        <v>20</v>
      </c>
      <c r="B22" s="687" t="s">
        <v>74</v>
      </c>
      <c r="C22" s="688" t="s">
        <v>674</v>
      </c>
      <c r="D22" s="386"/>
      <c r="E22" s="739">
        <v>105000</v>
      </c>
      <c r="F22" s="386"/>
    </row>
    <row r="23" spans="1:6" ht="48" thickBot="1">
      <c r="A23" s="382">
        <v>21</v>
      </c>
      <c r="B23" s="687" t="s">
        <v>675</v>
      </c>
      <c r="C23" s="688" t="s">
        <v>674</v>
      </c>
      <c r="D23" s="689">
        <v>30000</v>
      </c>
      <c r="E23" s="738"/>
      <c r="F23" s="386"/>
    </row>
    <row r="24" spans="1:6" ht="32.25" thickBot="1">
      <c r="A24" s="382">
        <v>22</v>
      </c>
      <c r="B24" s="687" t="s">
        <v>742</v>
      </c>
      <c r="C24" s="688" t="s">
        <v>674</v>
      </c>
      <c r="D24" s="689">
        <v>95000</v>
      </c>
      <c r="E24" s="738"/>
      <c r="F24" s="386"/>
    </row>
    <row r="25" spans="1:6" ht="48" thickBot="1">
      <c r="A25" s="382">
        <v>23</v>
      </c>
      <c r="B25" s="687" t="s">
        <v>81</v>
      </c>
      <c r="C25" s="688" t="s">
        <v>649</v>
      </c>
      <c r="D25" s="386"/>
      <c r="E25" s="739">
        <v>75000</v>
      </c>
      <c r="F25" s="386"/>
    </row>
    <row r="26" spans="1:6" ht="48" thickBot="1">
      <c r="A26" s="382">
        <v>24</v>
      </c>
      <c r="B26" s="687" t="s">
        <v>27</v>
      </c>
      <c r="C26" s="688" t="s">
        <v>649</v>
      </c>
      <c r="D26" s="386"/>
      <c r="E26" s="739">
        <v>65000</v>
      </c>
      <c r="F26" s="386"/>
    </row>
    <row r="27" spans="1:6" ht="48" thickBot="1">
      <c r="A27" s="382">
        <v>25</v>
      </c>
      <c r="B27" s="687" t="s">
        <v>831</v>
      </c>
      <c r="C27" s="688" t="s">
        <v>649</v>
      </c>
      <c r="D27" s="386"/>
      <c r="E27" s="739">
        <v>15000</v>
      </c>
      <c r="F27" s="386"/>
    </row>
    <row r="28" spans="1:6" ht="48" thickBot="1">
      <c r="A28" s="382">
        <v>26</v>
      </c>
      <c r="B28" s="687" t="s">
        <v>684</v>
      </c>
      <c r="C28" s="688" t="s">
        <v>649</v>
      </c>
      <c r="D28" s="689">
        <v>30000</v>
      </c>
      <c r="E28" s="738"/>
      <c r="F28" s="386"/>
    </row>
    <row r="29" spans="1:6" ht="48" thickBot="1">
      <c r="A29" s="746">
        <v>27</v>
      </c>
      <c r="B29" s="687" t="s">
        <v>687</v>
      </c>
      <c r="C29" s="688" t="s">
        <v>649</v>
      </c>
      <c r="D29" s="689">
        <v>15000</v>
      </c>
      <c r="E29" s="740"/>
      <c r="F29" s="386"/>
    </row>
    <row r="30" spans="1:6" ht="48" thickBot="1">
      <c r="A30" s="746">
        <v>28</v>
      </c>
      <c r="B30" s="687" t="s">
        <v>205</v>
      </c>
      <c r="C30" s="688" t="s">
        <v>649</v>
      </c>
      <c r="D30" s="386"/>
      <c r="E30" s="739">
        <v>45000</v>
      </c>
      <c r="F30" s="386"/>
    </row>
    <row r="31" spans="1:6" ht="48" thickBot="1">
      <c r="A31" s="746">
        <v>29</v>
      </c>
      <c r="B31" s="687" t="s">
        <v>685</v>
      </c>
      <c r="C31" s="688" t="s">
        <v>649</v>
      </c>
      <c r="D31" s="689">
        <v>135000</v>
      </c>
      <c r="E31" s="738"/>
      <c r="F31" s="386"/>
    </row>
    <row r="32" spans="1:6" ht="48" thickBot="1">
      <c r="A32" s="746">
        <v>30</v>
      </c>
      <c r="B32" s="687" t="s">
        <v>686</v>
      </c>
      <c r="C32" s="688" t="s">
        <v>649</v>
      </c>
      <c r="D32" s="689">
        <v>75000</v>
      </c>
      <c r="E32" s="738"/>
      <c r="F32" s="386"/>
    </row>
    <row r="33" spans="1:6" ht="48" thickBot="1">
      <c r="A33" s="746">
        <v>31</v>
      </c>
      <c r="B33" s="687" t="s">
        <v>721</v>
      </c>
      <c r="C33" s="688" t="s">
        <v>649</v>
      </c>
      <c r="D33" s="386"/>
      <c r="E33" s="739">
        <v>15000</v>
      </c>
      <c r="F33" s="386"/>
    </row>
    <row r="34" spans="1:6" ht="32.25" thickBot="1">
      <c r="A34" s="746">
        <v>32</v>
      </c>
      <c r="B34" s="687" t="s">
        <v>187</v>
      </c>
      <c r="C34" s="688" t="s">
        <v>649</v>
      </c>
      <c r="D34" s="386"/>
      <c r="E34" s="739">
        <v>45000</v>
      </c>
      <c r="F34" s="386"/>
    </row>
    <row r="35" spans="1:6" ht="32.25" thickBot="1">
      <c r="A35" s="746">
        <v>33</v>
      </c>
      <c r="B35" s="687" t="s">
        <v>152</v>
      </c>
      <c r="C35" s="688" t="s">
        <v>649</v>
      </c>
      <c r="D35" s="386"/>
      <c r="E35" s="739">
        <v>312500</v>
      </c>
      <c r="F35" s="386"/>
    </row>
    <row r="36" spans="1:6" ht="32.25" thickBot="1">
      <c r="A36" s="746">
        <v>34</v>
      </c>
      <c r="B36" s="687" t="s">
        <v>91</v>
      </c>
      <c r="C36" s="688" t="s">
        <v>650</v>
      </c>
      <c r="D36" s="386"/>
      <c r="E36" s="739">
        <v>100000</v>
      </c>
      <c r="F36" s="386"/>
    </row>
    <row r="37" spans="1:6" ht="48" thickBot="1">
      <c r="A37" s="746">
        <v>35</v>
      </c>
      <c r="B37" s="687" t="s">
        <v>83</v>
      </c>
      <c r="C37" s="688" t="s">
        <v>650</v>
      </c>
      <c r="D37" s="386"/>
      <c r="E37" s="739">
        <v>90000</v>
      </c>
      <c r="F37" s="386"/>
    </row>
    <row r="38" spans="1:6" ht="48" thickBot="1">
      <c r="A38" s="746">
        <v>36</v>
      </c>
      <c r="B38" s="687" t="s">
        <v>727</v>
      </c>
      <c r="C38" s="688" t="s">
        <v>650</v>
      </c>
      <c r="D38" s="689">
        <v>90000</v>
      </c>
      <c r="E38" s="738"/>
      <c r="F38" s="386"/>
    </row>
    <row r="39" spans="1:6" ht="32.25" thickBot="1">
      <c r="A39" s="746">
        <v>37</v>
      </c>
      <c r="B39" s="687" t="s">
        <v>645</v>
      </c>
      <c r="C39" s="688" t="s">
        <v>650</v>
      </c>
      <c r="D39" s="689">
        <v>60000</v>
      </c>
      <c r="E39" s="738"/>
      <c r="F39" s="386"/>
    </row>
    <row r="40" spans="1:6" ht="32.25" thickBot="1">
      <c r="A40" s="746">
        <v>38</v>
      </c>
      <c r="B40" s="687" t="s">
        <v>644</v>
      </c>
      <c r="C40" s="688" t="s">
        <v>642</v>
      </c>
      <c r="D40" s="386"/>
      <c r="E40" s="739">
        <v>60000</v>
      </c>
      <c r="F40" s="386"/>
    </row>
    <row r="41" spans="1:6" ht="32.25" thickBot="1">
      <c r="A41" s="746">
        <v>39</v>
      </c>
      <c r="B41" s="687" t="s">
        <v>153</v>
      </c>
      <c r="C41" s="688" t="s">
        <v>642</v>
      </c>
      <c r="D41" s="386"/>
      <c r="E41" s="739">
        <v>50000</v>
      </c>
      <c r="F41" s="386"/>
    </row>
    <row r="42" spans="1:6" ht="48" thickBot="1">
      <c r="A42" s="746">
        <v>40</v>
      </c>
      <c r="B42" s="687" t="s">
        <v>207</v>
      </c>
      <c r="C42" s="688" t="s">
        <v>642</v>
      </c>
      <c r="D42" s="386"/>
      <c r="E42" s="739">
        <v>270000</v>
      </c>
      <c r="F42" s="386"/>
    </row>
    <row r="43" spans="1:6" ht="48" thickBot="1">
      <c r="A43" s="746">
        <v>41</v>
      </c>
      <c r="B43" s="687" t="s">
        <v>681</v>
      </c>
      <c r="C43" s="688" t="s">
        <v>642</v>
      </c>
      <c r="D43" s="386"/>
      <c r="E43" s="739">
        <v>105000</v>
      </c>
      <c r="F43" s="386"/>
    </row>
    <row r="44" spans="1:6" ht="48" thickBot="1">
      <c r="A44" s="746">
        <v>42</v>
      </c>
      <c r="B44" s="687" t="s">
        <v>728</v>
      </c>
      <c r="C44" s="688" t="s">
        <v>642</v>
      </c>
      <c r="D44" s="689">
        <v>30000</v>
      </c>
      <c r="E44" s="738"/>
      <c r="F44" s="386"/>
    </row>
    <row r="45" spans="1:6" ht="48" thickBot="1">
      <c r="A45" s="746">
        <v>43</v>
      </c>
      <c r="B45" s="687" t="s">
        <v>715</v>
      </c>
      <c r="C45" s="688" t="s">
        <v>642</v>
      </c>
      <c r="D45" s="689">
        <v>650000</v>
      </c>
      <c r="E45" s="738"/>
      <c r="F45" s="386"/>
    </row>
    <row r="46" spans="1:6" ht="48" thickBot="1">
      <c r="A46" s="746">
        <v>44</v>
      </c>
      <c r="B46" s="687" t="s">
        <v>1651</v>
      </c>
      <c r="C46" s="688" t="s">
        <v>642</v>
      </c>
      <c r="D46" s="386"/>
      <c r="E46" s="739">
        <v>360000</v>
      </c>
      <c r="F46" s="386"/>
    </row>
    <row r="47" spans="1:6" ht="32.25" thickBot="1">
      <c r="A47" s="746">
        <v>45</v>
      </c>
      <c r="B47" s="687" t="s">
        <v>1935</v>
      </c>
      <c r="C47" s="688" t="s">
        <v>642</v>
      </c>
      <c r="D47" s="386"/>
      <c r="E47" s="739">
        <v>90000</v>
      </c>
      <c r="F47" s="386"/>
    </row>
    <row r="48" spans="1:6" ht="48" thickBot="1">
      <c r="A48" s="746">
        <v>46</v>
      </c>
      <c r="B48" s="687" t="s">
        <v>210</v>
      </c>
      <c r="C48" s="688" t="s">
        <v>636</v>
      </c>
      <c r="D48" s="386"/>
      <c r="E48" s="739">
        <v>60000</v>
      </c>
      <c r="F48" s="386"/>
    </row>
    <row r="49" spans="1:6" ht="48" thickBot="1">
      <c r="A49" s="746">
        <v>47</v>
      </c>
      <c r="B49" s="687" t="s">
        <v>96</v>
      </c>
      <c r="C49" s="688" t="s">
        <v>636</v>
      </c>
      <c r="D49" s="386"/>
      <c r="E49" s="739">
        <v>60000</v>
      </c>
      <c r="F49" s="386"/>
    </row>
    <row r="50" spans="1:6" ht="48" thickBot="1">
      <c r="A50" s="746">
        <v>48</v>
      </c>
      <c r="B50" s="687" t="s">
        <v>641</v>
      </c>
      <c r="C50" s="688" t="s">
        <v>636</v>
      </c>
      <c r="D50" s="689">
        <v>30000</v>
      </c>
      <c r="E50" s="738"/>
      <c r="F50" s="386"/>
    </row>
    <row r="51" spans="1:6" ht="32.25" thickBot="1">
      <c r="A51" s="746">
        <v>49</v>
      </c>
      <c r="B51" s="687" t="s">
        <v>744</v>
      </c>
      <c r="C51" s="688" t="s">
        <v>636</v>
      </c>
      <c r="D51" s="689">
        <v>222500</v>
      </c>
      <c r="E51" s="738"/>
      <c r="F51" s="386"/>
    </row>
    <row r="52" spans="1:6" ht="63.75" thickBot="1">
      <c r="A52" s="746">
        <v>50</v>
      </c>
      <c r="B52" s="687" t="s">
        <v>154</v>
      </c>
      <c r="C52" s="688" t="s">
        <v>636</v>
      </c>
      <c r="D52" s="386" t="s">
        <v>1298</v>
      </c>
      <c r="E52" s="739">
        <v>130000</v>
      </c>
      <c r="F52" s="386"/>
    </row>
    <row r="53" spans="1:6" ht="48" thickBot="1">
      <c r="A53" s="746">
        <v>51</v>
      </c>
      <c r="B53" s="687" t="s">
        <v>660</v>
      </c>
      <c r="C53" s="688" t="s">
        <v>746</v>
      </c>
      <c r="D53" s="689">
        <v>25000</v>
      </c>
      <c r="E53" s="738"/>
      <c r="F53" s="386"/>
    </row>
    <row r="54" spans="1:6" ht="63.75" thickBot="1">
      <c r="A54" s="746">
        <v>52</v>
      </c>
      <c r="B54" s="687" t="s">
        <v>748</v>
      </c>
      <c r="C54" s="688" t="s">
        <v>746</v>
      </c>
      <c r="D54" s="689">
        <v>100000</v>
      </c>
      <c r="E54" s="738"/>
      <c r="F54" s="386"/>
    </row>
    <row r="55" spans="1:6" ht="63.75" thickBot="1">
      <c r="A55" s="746">
        <v>53</v>
      </c>
      <c r="B55" s="687" t="s">
        <v>142</v>
      </c>
      <c r="C55" s="688" t="s">
        <v>746</v>
      </c>
      <c r="D55" s="386"/>
      <c r="E55" s="739">
        <v>25000</v>
      </c>
      <c r="F55" s="386"/>
    </row>
    <row r="56" spans="1:6" ht="48" thickBot="1">
      <c r="A56" s="746">
        <v>54</v>
      </c>
      <c r="B56" s="687" t="s">
        <v>663</v>
      </c>
      <c r="C56" s="688" t="s">
        <v>746</v>
      </c>
      <c r="D56" s="386"/>
      <c r="E56" s="739">
        <v>50000</v>
      </c>
      <c r="F56" s="386"/>
    </row>
    <row r="57" spans="1:6" ht="48" thickBot="1">
      <c r="A57" s="746">
        <v>55</v>
      </c>
      <c r="B57" s="687" t="s">
        <v>664</v>
      </c>
      <c r="C57" s="688" t="s">
        <v>746</v>
      </c>
      <c r="D57" s="386"/>
      <c r="E57" s="739">
        <v>70000</v>
      </c>
      <c r="F57" s="386"/>
    </row>
    <row r="58" spans="1:6" ht="32.25" thickBot="1">
      <c r="A58" s="746">
        <v>56</v>
      </c>
      <c r="B58" s="687" t="s">
        <v>144</v>
      </c>
      <c r="C58" s="688" t="s">
        <v>642</v>
      </c>
      <c r="D58" s="386"/>
      <c r="E58" s="739">
        <v>80000</v>
      </c>
      <c r="F58" s="386"/>
    </row>
    <row r="59" spans="1:6" ht="32.25" thickBot="1">
      <c r="A59" s="746">
        <v>57</v>
      </c>
      <c r="B59" s="687" t="s">
        <v>870</v>
      </c>
      <c r="C59" s="688" t="s">
        <v>642</v>
      </c>
      <c r="D59" s="689">
        <v>30000</v>
      </c>
      <c r="E59" s="738"/>
      <c r="F59" s="386"/>
    </row>
    <row r="60" spans="1:6" ht="16.5" thickBot="1">
      <c r="A60" s="401" t="s">
        <v>758</v>
      </c>
      <c r="B60" s="402"/>
      <c r="C60" s="336"/>
      <c r="D60" s="388">
        <v>1895000</v>
      </c>
      <c r="E60" s="1038">
        <v>4057500</v>
      </c>
      <c r="F60" s="389"/>
    </row>
    <row r="61" spans="1:6" ht="16.5" customHeight="1" thickBot="1">
      <c r="A61" s="401" t="s">
        <v>864</v>
      </c>
      <c r="B61" s="402"/>
      <c r="C61" s="336"/>
      <c r="D61" s="403">
        <v>5952500</v>
      </c>
      <c r="E61" s="404"/>
      <c r="F61" s="390"/>
    </row>
    <row r="62" spans="1:6">
      <c r="A62" s="244" t="s">
        <v>2033</v>
      </c>
    </row>
    <row r="63" spans="1:6" ht="15.75">
      <c r="A63" s="691"/>
      <c r="B63" s="247"/>
    </row>
    <row r="64" spans="1:6" ht="110.25">
      <c r="A64" s="594" t="s">
        <v>111</v>
      </c>
      <c r="B64" s="247" t="s">
        <v>932</v>
      </c>
    </row>
    <row r="65" spans="1:5" ht="82.5">
      <c r="A65" s="594" t="s">
        <v>113</v>
      </c>
      <c r="B65" s="588" t="s">
        <v>114</v>
      </c>
    </row>
    <row r="66" spans="1:5" ht="33">
      <c r="A66" s="588" t="s">
        <v>1167</v>
      </c>
      <c r="B66" s="248"/>
    </row>
    <row r="67" spans="1:5" ht="99">
      <c r="A67" s="588" t="s">
        <v>116</v>
      </c>
      <c r="B67" s="248"/>
    </row>
    <row r="68" spans="1:5" ht="16.5">
      <c r="A68" s="246"/>
      <c r="B68" s="248"/>
    </row>
    <row r="69" spans="1:5" ht="15.75">
      <c r="A69" s="205" t="s">
        <v>1649</v>
      </c>
    </row>
    <row r="70" spans="1:5" ht="15.75">
      <c r="A70" s="205"/>
    </row>
    <row r="71" spans="1:5">
      <c r="A71" s="686" t="s">
        <v>1650</v>
      </c>
    </row>
    <row r="72" spans="1:5" ht="15.75">
      <c r="A72" s="232" t="s">
        <v>2034</v>
      </c>
    </row>
    <row r="73" spans="1:5" ht="16.5" thickBot="1">
      <c r="A73" s="232"/>
    </row>
    <row r="74" spans="1:5" ht="43.5" thickBot="1">
      <c r="A74" s="1004" t="s">
        <v>0</v>
      </c>
      <c r="B74" s="1005" t="s">
        <v>121</v>
      </c>
      <c r="C74" s="1005" t="s">
        <v>632</v>
      </c>
      <c r="D74" s="1005" t="s">
        <v>894</v>
      </c>
      <c r="E74" s="1005" t="s">
        <v>699</v>
      </c>
    </row>
    <row r="75" spans="1:5" ht="48" thickBot="1">
      <c r="A75" s="382">
        <v>1</v>
      </c>
      <c r="B75" s="687" t="s">
        <v>840</v>
      </c>
      <c r="C75" s="688" t="s">
        <v>1171</v>
      </c>
      <c r="D75" s="689">
        <v>10000</v>
      </c>
      <c r="E75" s="736"/>
    </row>
    <row r="76" spans="1:5" ht="48" thickBot="1">
      <c r="A76" s="382">
        <v>2</v>
      </c>
      <c r="B76" s="687" t="s">
        <v>1488</v>
      </c>
      <c r="C76" s="688" t="s">
        <v>1171</v>
      </c>
      <c r="D76" s="689">
        <v>10000</v>
      </c>
      <c r="E76" s="736"/>
    </row>
    <row r="77" spans="1:5" ht="48" thickBot="1">
      <c r="A77" s="382">
        <v>3</v>
      </c>
      <c r="B77" s="687" t="s">
        <v>844</v>
      </c>
      <c r="C77" s="688" t="s">
        <v>1171</v>
      </c>
      <c r="D77" s="689">
        <v>10000</v>
      </c>
      <c r="E77" s="736"/>
    </row>
    <row r="78" spans="1:5" ht="48" thickBot="1">
      <c r="A78" s="382">
        <v>4</v>
      </c>
      <c r="B78" s="687" t="s">
        <v>770</v>
      </c>
      <c r="C78" s="688" t="s">
        <v>1179</v>
      </c>
      <c r="D78" s="689">
        <v>30000</v>
      </c>
      <c r="E78" s="736"/>
    </row>
    <row r="79" spans="1:5" ht="32.25" thickBot="1">
      <c r="A79" s="382">
        <v>5</v>
      </c>
      <c r="B79" s="687" t="s">
        <v>1645</v>
      </c>
      <c r="C79" s="688" t="s">
        <v>1179</v>
      </c>
      <c r="D79" s="689">
        <v>30000</v>
      </c>
      <c r="E79" s="736"/>
    </row>
    <row r="80" spans="1:5" ht="32.25" thickBot="1">
      <c r="A80" s="382">
        <v>6</v>
      </c>
      <c r="B80" s="690" t="s">
        <v>1563</v>
      </c>
      <c r="C80" s="688" t="s">
        <v>1179</v>
      </c>
      <c r="D80" s="689">
        <v>40000</v>
      </c>
      <c r="E80" s="736"/>
    </row>
    <row r="81" spans="1:5" ht="32.25" thickBot="1">
      <c r="A81" s="382">
        <v>7</v>
      </c>
      <c r="B81" s="687" t="s">
        <v>1183</v>
      </c>
      <c r="C81" s="688" t="s">
        <v>1182</v>
      </c>
      <c r="D81" s="689">
        <v>20000</v>
      </c>
      <c r="E81" s="736"/>
    </row>
    <row r="82" spans="1:5" ht="32.25" thickBot="1">
      <c r="A82" s="382">
        <v>8</v>
      </c>
      <c r="B82" s="687" t="s">
        <v>861</v>
      </c>
      <c r="C82" s="688" t="s">
        <v>1182</v>
      </c>
      <c r="D82" s="689">
        <v>30000</v>
      </c>
      <c r="E82" s="736"/>
    </row>
    <row r="83" spans="1:5" ht="48" thickBot="1">
      <c r="A83" s="382">
        <v>9</v>
      </c>
      <c r="B83" s="690" t="s">
        <v>1200</v>
      </c>
      <c r="C83" s="688" t="s">
        <v>1198</v>
      </c>
      <c r="D83" s="689">
        <v>10000</v>
      </c>
      <c r="E83" s="736"/>
    </row>
    <row r="84" spans="1:5" ht="48" thickBot="1">
      <c r="A84" s="382">
        <v>10</v>
      </c>
      <c r="B84" s="687" t="s">
        <v>1208</v>
      </c>
      <c r="C84" s="688" t="s">
        <v>1198</v>
      </c>
      <c r="D84" s="689">
        <v>13000</v>
      </c>
      <c r="E84" s="736"/>
    </row>
    <row r="85" spans="1:5" ht="32.25" thickBot="1">
      <c r="A85" s="382">
        <v>11</v>
      </c>
      <c r="B85" s="383" t="s">
        <v>854</v>
      </c>
      <c r="C85" s="688" t="s">
        <v>1182</v>
      </c>
      <c r="D85" s="313">
        <v>3000</v>
      </c>
      <c r="E85" s="736"/>
    </row>
    <row r="86" spans="1:5" ht="48" thickBot="1">
      <c r="A86" s="382">
        <v>12</v>
      </c>
      <c r="B86" s="383" t="s">
        <v>842</v>
      </c>
      <c r="C86" s="688" t="s">
        <v>1171</v>
      </c>
      <c r="D86" s="313">
        <v>3000</v>
      </c>
      <c r="E86" s="736"/>
    </row>
    <row r="87" spans="1:5" ht="16.5" thickBot="1">
      <c r="A87" s="401" t="s">
        <v>758</v>
      </c>
      <c r="B87" s="402"/>
      <c r="C87" s="336"/>
      <c r="D87" s="388">
        <v>209000</v>
      </c>
      <c r="E87" s="1103"/>
    </row>
    <row r="88" spans="1:5">
      <c r="A88" s="244" t="s">
        <v>2035</v>
      </c>
    </row>
    <row r="89" spans="1:5">
      <c r="A89" s="284"/>
    </row>
    <row r="90" spans="1:5">
      <c r="A90" s="284"/>
    </row>
    <row r="91" spans="1:5">
      <c r="A91" s="284"/>
    </row>
    <row r="92" spans="1:5">
      <c r="A92" s="284"/>
    </row>
    <row r="93" spans="1:5">
      <c r="A93" s="284"/>
    </row>
    <row r="94" spans="1:5">
      <c r="A94" s="284"/>
    </row>
    <row r="95" spans="1:5">
      <c r="A95" s="284"/>
    </row>
    <row r="96" spans="1:5">
      <c r="A96" s="284"/>
    </row>
    <row r="97" spans="1:6">
      <c r="A97" s="284"/>
    </row>
    <row r="98" spans="1:6">
      <c r="A98" s="284"/>
    </row>
    <row r="99" spans="1:6" ht="15.75">
      <c r="A99" s="691"/>
      <c r="B99" s="247"/>
    </row>
    <row r="100" spans="1:6" ht="110.25">
      <c r="A100" s="594" t="s">
        <v>111</v>
      </c>
      <c r="B100" s="247" t="s">
        <v>932</v>
      </c>
    </row>
    <row r="101" spans="1:6" ht="82.5">
      <c r="A101" s="594" t="s">
        <v>113</v>
      </c>
      <c r="B101" s="588" t="s">
        <v>114</v>
      </c>
    </row>
    <row r="102" spans="1:6" ht="33">
      <c r="A102" s="588" t="s">
        <v>1167</v>
      </c>
      <c r="B102" s="248"/>
    </row>
    <row r="103" spans="1:6" ht="99">
      <c r="A103" s="588" t="s">
        <v>116</v>
      </c>
      <c r="B103" s="248"/>
    </row>
    <row r="104" spans="1:6" ht="16.5">
      <c r="A104" s="246"/>
      <c r="B104" s="248"/>
    </row>
    <row r="105" spans="1:6" ht="15.75">
      <c r="A105" s="205" t="s">
        <v>696</v>
      </c>
    </row>
    <row r="106" spans="1:6" ht="15.75">
      <c r="A106" s="205"/>
    </row>
    <row r="107" spans="1:6">
      <c r="A107" s="686" t="s">
        <v>1212</v>
      </c>
    </row>
    <row r="108" spans="1:6" ht="16.5" thickBot="1">
      <c r="A108" s="232" t="s">
        <v>2036</v>
      </c>
    </row>
    <row r="109" spans="1:6" ht="28.5" customHeight="1" thickBot="1">
      <c r="A109" s="939" t="s">
        <v>0</v>
      </c>
      <c r="B109" s="939" t="s">
        <v>121</v>
      </c>
      <c r="C109" s="939" t="s">
        <v>632</v>
      </c>
      <c r="D109" s="941" t="s">
        <v>894</v>
      </c>
      <c r="E109" s="942"/>
      <c r="F109" s="939" t="s">
        <v>699</v>
      </c>
    </row>
    <row r="110" spans="1:6" ht="15.75" thickBot="1">
      <c r="A110" s="943"/>
      <c r="B110" s="943"/>
      <c r="C110" s="943"/>
      <c r="D110" s="940" t="s">
        <v>828</v>
      </c>
      <c r="E110" s="940" t="s">
        <v>829</v>
      </c>
      <c r="F110" s="943"/>
    </row>
    <row r="111" spans="1:6" ht="45.75" thickBot="1">
      <c r="A111" s="382">
        <v>1</v>
      </c>
      <c r="B111" s="383" t="s">
        <v>96</v>
      </c>
      <c r="C111" s="384" t="s">
        <v>636</v>
      </c>
      <c r="D111" s="312"/>
      <c r="E111" s="727">
        <v>3000</v>
      </c>
      <c r="F111" s="386"/>
    </row>
    <row r="112" spans="1:6" ht="30.75" thickBot="1">
      <c r="A112" s="382">
        <v>2</v>
      </c>
      <c r="B112" s="383" t="s">
        <v>640</v>
      </c>
      <c r="C112" s="384" t="s">
        <v>636</v>
      </c>
      <c r="D112" s="313">
        <v>15000</v>
      </c>
      <c r="E112" s="738"/>
      <c r="F112" s="386"/>
    </row>
    <row r="113" spans="1:6" ht="30.75" thickBot="1">
      <c r="A113" s="382">
        <v>3</v>
      </c>
      <c r="B113" s="383" t="s">
        <v>744</v>
      </c>
      <c r="C113" s="384" t="s">
        <v>636</v>
      </c>
      <c r="D113" s="313">
        <v>3000</v>
      </c>
      <c r="E113" s="738"/>
      <c r="F113" s="386"/>
    </row>
    <row r="114" spans="1:6" ht="45.75" thickBot="1">
      <c r="A114" s="382">
        <v>4</v>
      </c>
      <c r="B114" s="383" t="s">
        <v>48</v>
      </c>
      <c r="C114" s="384" t="s">
        <v>642</v>
      </c>
      <c r="D114" s="312"/>
      <c r="E114" s="727">
        <v>3000</v>
      </c>
      <c r="F114" s="386"/>
    </row>
    <row r="115" spans="1:6" ht="45.75" thickBot="1">
      <c r="A115" s="382">
        <v>5</v>
      </c>
      <c r="B115" s="383" t="s">
        <v>689</v>
      </c>
      <c r="C115" s="384" t="s">
        <v>642</v>
      </c>
      <c r="D115" s="313">
        <v>9000</v>
      </c>
      <c r="E115" s="738"/>
      <c r="F115" s="386"/>
    </row>
    <row r="116" spans="1:6" ht="45.75" thickBot="1">
      <c r="A116" s="382">
        <v>6</v>
      </c>
      <c r="B116" s="383" t="s">
        <v>656</v>
      </c>
      <c r="C116" s="384" t="s">
        <v>642</v>
      </c>
      <c r="D116" s="313">
        <v>3000</v>
      </c>
      <c r="E116" s="738"/>
      <c r="F116" s="386"/>
    </row>
    <row r="117" spans="1:6" ht="30.75" thickBot="1">
      <c r="A117" s="382">
        <v>7</v>
      </c>
      <c r="B117" s="383" t="s">
        <v>147</v>
      </c>
      <c r="C117" s="384" t="s">
        <v>642</v>
      </c>
      <c r="D117" s="312"/>
      <c r="E117" s="727">
        <v>6000</v>
      </c>
      <c r="F117" s="386"/>
    </row>
    <row r="118" spans="1:6" ht="45.75" thickBot="1">
      <c r="A118" s="382">
        <v>8</v>
      </c>
      <c r="B118" s="383" t="s">
        <v>138</v>
      </c>
      <c r="C118" s="384" t="s">
        <v>642</v>
      </c>
      <c r="D118" s="312"/>
      <c r="E118" s="727">
        <v>3000</v>
      </c>
      <c r="F118" s="386"/>
    </row>
    <row r="119" spans="1:6" ht="45.75" thickBot="1">
      <c r="A119" s="382">
        <v>9</v>
      </c>
      <c r="B119" s="383" t="s">
        <v>56</v>
      </c>
      <c r="C119" s="384" t="s">
        <v>642</v>
      </c>
      <c r="D119" s="312"/>
      <c r="E119" s="727">
        <v>3000</v>
      </c>
      <c r="F119" s="386"/>
    </row>
    <row r="120" spans="1:6" ht="45.75" thickBot="1">
      <c r="A120" s="382">
        <v>10</v>
      </c>
      <c r="B120" s="383" t="s">
        <v>1314</v>
      </c>
      <c r="C120" s="384" t="s">
        <v>642</v>
      </c>
      <c r="D120" s="312"/>
      <c r="E120" s="727">
        <v>6000</v>
      </c>
      <c r="F120" s="386"/>
    </row>
    <row r="121" spans="1:6" ht="45.75" thickBot="1">
      <c r="A121" s="382">
        <v>11</v>
      </c>
      <c r="B121" s="383" t="s">
        <v>647</v>
      </c>
      <c r="C121" s="384" t="s">
        <v>642</v>
      </c>
      <c r="D121" s="313">
        <v>13000</v>
      </c>
      <c r="E121" s="738"/>
      <c r="F121" s="386"/>
    </row>
    <row r="122" spans="1:6" ht="30.75" thickBot="1">
      <c r="A122" s="382">
        <v>12</v>
      </c>
      <c r="B122" s="383" t="s">
        <v>149</v>
      </c>
      <c r="C122" s="384" t="s">
        <v>642</v>
      </c>
      <c r="D122" s="312"/>
      <c r="E122" s="727">
        <v>39000</v>
      </c>
      <c r="F122" s="386"/>
    </row>
    <row r="123" spans="1:6" ht="30.75" thickBot="1">
      <c r="A123" s="382">
        <v>13</v>
      </c>
      <c r="B123" s="383" t="s">
        <v>645</v>
      </c>
      <c r="C123" s="384" t="s">
        <v>642</v>
      </c>
      <c r="D123" s="313">
        <v>3000</v>
      </c>
      <c r="E123" s="738"/>
      <c r="F123" s="386"/>
    </row>
    <row r="124" spans="1:6" ht="45.75" thickBot="1">
      <c r="A124" s="382">
        <v>14</v>
      </c>
      <c r="B124" s="383" t="s">
        <v>776</v>
      </c>
      <c r="C124" s="384" t="s">
        <v>642</v>
      </c>
      <c r="D124" s="312"/>
      <c r="E124" s="727">
        <v>24000</v>
      </c>
      <c r="F124" s="386"/>
    </row>
    <row r="125" spans="1:6" ht="45.75" thickBot="1">
      <c r="A125" s="382">
        <v>15</v>
      </c>
      <c r="B125" s="383" t="s">
        <v>715</v>
      </c>
      <c r="C125" s="384" t="s">
        <v>642</v>
      </c>
      <c r="D125" s="313">
        <v>15000</v>
      </c>
      <c r="E125" s="738"/>
      <c r="F125" s="386"/>
    </row>
    <row r="126" spans="1:6" ht="45.75" thickBot="1">
      <c r="A126" s="382">
        <v>16</v>
      </c>
      <c r="B126" s="383" t="s">
        <v>681</v>
      </c>
      <c r="C126" s="384" t="s">
        <v>642</v>
      </c>
      <c r="D126" s="312"/>
      <c r="E126" s="727">
        <v>15000</v>
      </c>
      <c r="F126" s="386"/>
    </row>
    <row r="127" spans="1:6" ht="30.75" thickBot="1">
      <c r="A127" s="382">
        <v>17</v>
      </c>
      <c r="B127" s="383" t="s">
        <v>778</v>
      </c>
      <c r="C127" s="384" t="s">
        <v>642</v>
      </c>
      <c r="D127" s="312"/>
      <c r="E127" s="727">
        <v>42000</v>
      </c>
      <c r="F127" s="386"/>
    </row>
    <row r="128" spans="1:6" ht="45.75" thickBot="1">
      <c r="A128" s="382">
        <v>18</v>
      </c>
      <c r="B128" s="383" t="s">
        <v>207</v>
      </c>
      <c r="C128" s="384" t="s">
        <v>642</v>
      </c>
      <c r="D128" s="312"/>
      <c r="E128" s="727">
        <v>15000</v>
      </c>
      <c r="F128" s="386"/>
    </row>
    <row r="129" spans="1:6" ht="45.75" thickBot="1">
      <c r="A129" s="382">
        <v>19</v>
      </c>
      <c r="B129" s="383" t="s">
        <v>1651</v>
      </c>
      <c r="C129" s="384" t="s">
        <v>642</v>
      </c>
      <c r="D129" s="312"/>
      <c r="E129" s="727">
        <v>18000</v>
      </c>
      <c r="F129" s="386"/>
    </row>
    <row r="130" spans="1:6" ht="45.75" thickBot="1">
      <c r="A130" s="382">
        <v>20</v>
      </c>
      <c r="B130" s="383" t="s">
        <v>682</v>
      </c>
      <c r="C130" s="384" t="s">
        <v>642</v>
      </c>
      <c r="D130" s="313">
        <v>12000</v>
      </c>
      <c r="E130" s="738"/>
      <c r="F130" s="386"/>
    </row>
    <row r="131" spans="1:6" ht="45.75" thickBot="1">
      <c r="A131" s="382">
        <v>21</v>
      </c>
      <c r="B131" s="383" t="s">
        <v>686</v>
      </c>
      <c r="C131" s="384" t="s">
        <v>649</v>
      </c>
      <c r="D131" s="313">
        <v>15000</v>
      </c>
      <c r="E131" s="738"/>
      <c r="F131" s="386"/>
    </row>
    <row r="132" spans="1:6" ht="45.75" thickBot="1">
      <c r="A132" s="382">
        <v>22</v>
      </c>
      <c r="B132" s="383" t="s">
        <v>685</v>
      </c>
      <c r="C132" s="384" t="s">
        <v>649</v>
      </c>
      <c r="D132" s="313">
        <v>15000</v>
      </c>
      <c r="E132" s="738"/>
      <c r="F132" s="386"/>
    </row>
    <row r="133" spans="1:6" ht="45.75" thickBot="1">
      <c r="A133" s="382">
        <v>23</v>
      </c>
      <c r="B133" s="383" t="s">
        <v>638</v>
      </c>
      <c r="C133" s="384" t="s">
        <v>649</v>
      </c>
      <c r="D133" s="313">
        <v>12000</v>
      </c>
      <c r="E133" s="738"/>
      <c r="F133" s="386"/>
    </row>
    <row r="134" spans="1:6" ht="30.75" thickBot="1">
      <c r="A134" s="382">
        <v>24</v>
      </c>
      <c r="B134" s="383" t="s">
        <v>187</v>
      </c>
      <c r="C134" s="384" t="s">
        <v>649</v>
      </c>
      <c r="D134" s="312"/>
      <c r="E134" s="727">
        <v>3000</v>
      </c>
      <c r="F134" s="386"/>
    </row>
    <row r="135" spans="1:6" ht="30.75" thickBot="1">
      <c r="A135" s="382">
        <v>25</v>
      </c>
      <c r="B135" s="383" t="s">
        <v>152</v>
      </c>
      <c r="C135" s="384" t="s">
        <v>649</v>
      </c>
      <c r="D135" s="312"/>
      <c r="E135" s="727">
        <v>6000</v>
      </c>
      <c r="F135" s="386"/>
    </row>
    <row r="136" spans="1:6" ht="45.75" thickBot="1">
      <c r="A136" s="382">
        <v>26</v>
      </c>
      <c r="B136" s="383" t="s">
        <v>27</v>
      </c>
      <c r="C136" s="384" t="s">
        <v>649</v>
      </c>
      <c r="D136" s="312"/>
      <c r="E136" s="727">
        <v>6000</v>
      </c>
      <c r="F136" s="386"/>
    </row>
    <row r="137" spans="1:6" ht="45.75" thickBot="1">
      <c r="A137" s="746">
        <v>27</v>
      </c>
      <c r="B137" s="383" t="s">
        <v>687</v>
      </c>
      <c r="C137" s="384" t="s">
        <v>649</v>
      </c>
      <c r="D137" s="313">
        <v>9000</v>
      </c>
      <c r="E137" s="738"/>
      <c r="F137" s="386"/>
    </row>
    <row r="138" spans="1:6" ht="45.75" thickBot="1">
      <c r="A138" s="746">
        <v>28</v>
      </c>
      <c r="B138" s="383" t="s">
        <v>295</v>
      </c>
      <c r="C138" s="384" t="s">
        <v>650</v>
      </c>
      <c r="D138" s="312"/>
      <c r="E138" s="727">
        <v>3000</v>
      </c>
      <c r="F138" s="386"/>
    </row>
    <row r="139" spans="1:6" ht="30.75" thickBot="1">
      <c r="A139" s="746">
        <v>29</v>
      </c>
      <c r="B139" s="383" t="s">
        <v>693</v>
      </c>
      <c r="C139" s="384" t="s">
        <v>650</v>
      </c>
      <c r="D139" s="313">
        <v>13000</v>
      </c>
      <c r="E139" s="738"/>
      <c r="F139" s="386"/>
    </row>
    <row r="140" spans="1:6" ht="45.75" thickBot="1">
      <c r="A140" s="746">
        <v>30</v>
      </c>
      <c r="B140" s="383" t="s">
        <v>25</v>
      </c>
      <c r="C140" s="384" t="s">
        <v>650</v>
      </c>
      <c r="D140" s="312"/>
      <c r="E140" s="727">
        <v>3000</v>
      </c>
      <c r="F140" s="386"/>
    </row>
    <row r="141" spans="1:6" ht="30.75" thickBot="1">
      <c r="A141" s="746">
        <v>31</v>
      </c>
      <c r="B141" s="383" t="s">
        <v>1950</v>
      </c>
      <c r="C141" s="384" t="s">
        <v>650</v>
      </c>
      <c r="D141" s="312"/>
      <c r="E141" s="727">
        <v>21000</v>
      </c>
      <c r="F141" s="386"/>
    </row>
    <row r="142" spans="1:6" ht="30.75" thickBot="1">
      <c r="A142" s="746">
        <v>32</v>
      </c>
      <c r="B142" s="383" t="s">
        <v>91</v>
      </c>
      <c r="C142" s="384" t="s">
        <v>650</v>
      </c>
      <c r="D142" s="312"/>
      <c r="E142" s="727">
        <v>6000</v>
      </c>
      <c r="F142" s="386"/>
    </row>
    <row r="143" spans="1:6" ht="45.75" thickBot="1">
      <c r="A143" s="746">
        <v>33</v>
      </c>
      <c r="B143" s="383" t="s">
        <v>269</v>
      </c>
      <c r="C143" s="384" t="s">
        <v>650</v>
      </c>
      <c r="D143" s="312"/>
      <c r="E143" s="727">
        <v>15000</v>
      </c>
      <c r="F143" s="386"/>
    </row>
    <row r="144" spans="1:6" ht="30.75" thickBot="1">
      <c r="A144" s="746">
        <v>34</v>
      </c>
      <c r="B144" s="383" t="s">
        <v>651</v>
      </c>
      <c r="C144" s="384" t="s">
        <v>650</v>
      </c>
      <c r="D144" s="313">
        <v>3000</v>
      </c>
      <c r="E144" s="738"/>
      <c r="F144" s="386"/>
    </row>
    <row r="145" spans="1:6" ht="45.75" thickBot="1">
      <c r="A145" s="746">
        <v>35</v>
      </c>
      <c r="B145" s="383" t="s">
        <v>662</v>
      </c>
      <c r="C145" s="384" t="s">
        <v>1653</v>
      </c>
      <c r="D145" s="313">
        <v>6000</v>
      </c>
      <c r="E145" s="738"/>
      <c r="F145" s="386"/>
    </row>
    <row r="146" spans="1:6" ht="45.75" thickBot="1">
      <c r="A146" s="746">
        <v>36</v>
      </c>
      <c r="B146" s="383" t="s">
        <v>672</v>
      </c>
      <c r="C146" s="384" t="s">
        <v>668</v>
      </c>
      <c r="D146" s="313">
        <v>15000</v>
      </c>
      <c r="E146" s="738"/>
      <c r="F146" s="386"/>
    </row>
    <row r="147" spans="1:6" ht="30.75" thickBot="1">
      <c r="A147" s="746">
        <v>37</v>
      </c>
      <c r="B147" s="383" t="s">
        <v>671</v>
      </c>
      <c r="C147" s="384" t="s">
        <v>668</v>
      </c>
      <c r="D147" s="313">
        <v>15000</v>
      </c>
      <c r="E147" s="738"/>
      <c r="F147" s="386"/>
    </row>
    <row r="148" spans="1:6" ht="30.75" thickBot="1">
      <c r="A148" s="746">
        <v>38</v>
      </c>
      <c r="B148" s="383" t="s">
        <v>1316</v>
      </c>
      <c r="C148" s="384" t="s">
        <v>668</v>
      </c>
      <c r="D148" s="312"/>
      <c r="E148" s="727">
        <v>6000</v>
      </c>
      <c r="F148" s="386"/>
    </row>
    <row r="149" spans="1:6" ht="60.75" thickBot="1">
      <c r="A149" s="746">
        <v>39</v>
      </c>
      <c r="B149" s="383" t="s">
        <v>273</v>
      </c>
      <c r="C149" s="384" t="s">
        <v>668</v>
      </c>
      <c r="D149" s="312"/>
      <c r="E149" s="727">
        <v>23000</v>
      </c>
      <c r="F149" s="386"/>
    </row>
    <row r="150" spans="1:6" ht="45.75" thickBot="1">
      <c r="A150" s="746">
        <v>40</v>
      </c>
      <c r="B150" s="383" t="s">
        <v>732</v>
      </c>
      <c r="C150" s="384" t="s">
        <v>668</v>
      </c>
      <c r="D150" s="313">
        <v>3000</v>
      </c>
      <c r="E150" s="738"/>
      <c r="F150" s="386"/>
    </row>
    <row r="151" spans="1:6" ht="30.75" thickBot="1">
      <c r="A151" s="746">
        <v>41</v>
      </c>
      <c r="B151" s="383" t="s">
        <v>213</v>
      </c>
      <c r="C151" s="384" t="s">
        <v>668</v>
      </c>
      <c r="D151" s="312"/>
      <c r="E151" s="727">
        <v>3000</v>
      </c>
      <c r="F151" s="386"/>
    </row>
    <row r="152" spans="1:6" ht="45.75" thickBot="1">
      <c r="A152" s="746">
        <v>42</v>
      </c>
      <c r="B152" s="383" t="s">
        <v>691</v>
      </c>
      <c r="C152" s="384" t="s">
        <v>668</v>
      </c>
      <c r="D152" s="313">
        <v>3000</v>
      </c>
      <c r="E152" s="738"/>
      <c r="F152" s="386"/>
    </row>
    <row r="153" spans="1:6" ht="45.75" thickBot="1">
      <c r="A153" s="746">
        <v>43</v>
      </c>
      <c r="B153" s="383" t="s">
        <v>1473</v>
      </c>
      <c r="C153" s="384" t="s">
        <v>674</v>
      </c>
      <c r="D153" s="312"/>
      <c r="E153" s="727">
        <v>3000</v>
      </c>
      <c r="F153" s="386"/>
    </row>
    <row r="154" spans="1:6" ht="45.75" thickBot="1">
      <c r="A154" s="746">
        <v>44</v>
      </c>
      <c r="B154" s="383" t="s">
        <v>675</v>
      </c>
      <c r="C154" s="384" t="s">
        <v>674</v>
      </c>
      <c r="D154" s="313">
        <v>3000</v>
      </c>
      <c r="E154" s="738"/>
      <c r="F154" s="386"/>
    </row>
    <row r="155" spans="1:6" ht="30.75" thickBot="1">
      <c r="A155" s="746">
        <v>45</v>
      </c>
      <c r="B155" s="383" t="s">
        <v>72</v>
      </c>
      <c r="C155" s="384" t="s">
        <v>674</v>
      </c>
      <c r="D155" s="312"/>
      <c r="E155" s="727">
        <v>20000</v>
      </c>
      <c r="F155" s="386"/>
    </row>
    <row r="156" spans="1:6" ht="16.5" thickBot="1">
      <c r="A156" s="401" t="s">
        <v>758</v>
      </c>
      <c r="B156" s="402"/>
      <c r="C156" s="687"/>
      <c r="D156" s="1147">
        <v>185000</v>
      </c>
      <c r="E156" s="1183">
        <v>295000</v>
      </c>
      <c r="F156" s="389"/>
    </row>
    <row r="157" spans="1:6" ht="16.5" customHeight="1" thickBot="1">
      <c r="A157" s="401" t="s">
        <v>864</v>
      </c>
      <c r="B157" s="402"/>
      <c r="C157" s="687"/>
      <c r="D157" s="1184">
        <v>480000</v>
      </c>
      <c r="E157" s="1185"/>
      <c r="F157" s="386"/>
    </row>
    <row r="158" spans="1:6">
      <c r="A158" s="244" t="s">
        <v>2037</v>
      </c>
    </row>
    <row r="159" spans="1:6">
      <c r="A159" s="244"/>
    </row>
    <row r="160" spans="1:6">
      <c r="A160" s="244"/>
    </row>
    <row r="161" spans="1:2">
      <c r="A161" s="244"/>
    </row>
    <row r="162" spans="1:2">
      <c r="A162" s="244"/>
    </row>
    <row r="163" spans="1:2">
      <c r="A163" s="244"/>
    </row>
    <row r="164" spans="1:2">
      <c r="A164" s="244"/>
    </row>
    <row r="165" spans="1:2">
      <c r="A165" s="244"/>
    </row>
    <row r="166" spans="1:2">
      <c r="A166" s="244"/>
    </row>
    <row r="167" spans="1:2">
      <c r="A167" s="244"/>
    </row>
    <row r="168" spans="1:2">
      <c r="A168" s="284"/>
    </row>
    <row r="169" spans="1:2" ht="15.75">
      <c r="A169" s="691"/>
      <c r="B169" s="247"/>
    </row>
    <row r="170" spans="1:2" ht="110.25">
      <c r="A170" s="594" t="s">
        <v>111</v>
      </c>
      <c r="B170" s="247" t="s">
        <v>932</v>
      </c>
    </row>
    <row r="171" spans="1:2" ht="82.5">
      <c r="A171" s="594" t="s">
        <v>113</v>
      </c>
      <c r="B171" s="588" t="s">
        <v>114</v>
      </c>
    </row>
    <row r="172" spans="1:2" ht="33">
      <c r="A172" s="588" t="s">
        <v>1167</v>
      </c>
      <c r="B172" s="248"/>
    </row>
    <row r="173" spans="1:2" ht="99">
      <c r="A173" s="588" t="s">
        <v>116</v>
      </c>
      <c r="B173" s="248"/>
    </row>
    <row r="174" spans="1:2" ht="16.5">
      <c r="A174" s="246"/>
      <c r="B174" s="248"/>
    </row>
    <row r="175" spans="1:2" ht="15.75">
      <c r="A175" s="205" t="s">
        <v>704</v>
      </c>
    </row>
    <row r="176" spans="1:2" ht="15.75">
      <c r="A176" s="205"/>
    </row>
    <row r="177" spans="1:4" ht="15.75">
      <c r="A177" s="205" t="s">
        <v>1717</v>
      </c>
    </row>
    <row r="178" spans="1:4" ht="15.75">
      <c r="A178" s="232" t="s">
        <v>2038</v>
      </c>
    </row>
    <row r="179" spans="1:4" ht="15.75" thickBot="1">
      <c r="A179" s="987"/>
    </row>
    <row r="180" spans="1:4" ht="48" thickBot="1">
      <c r="A180" s="252" t="s">
        <v>0</v>
      </c>
      <c r="B180" s="253" t="s">
        <v>632</v>
      </c>
      <c r="C180" s="988" t="s">
        <v>894</v>
      </c>
      <c r="D180" s="989" t="s">
        <v>634</v>
      </c>
    </row>
    <row r="181" spans="1:4" ht="48" thickBot="1">
      <c r="A181" s="273">
        <v>1</v>
      </c>
      <c r="B181" s="256" t="s">
        <v>706</v>
      </c>
      <c r="C181" s="1034" t="s">
        <v>707</v>
      </c>
      <c r="D181" s="413"/>
    </row>
    <row r="182" spans="1:4" ht="63.75" thickBot="1">
      <c r="A182" s="273">
        <v>2</v>
      </c>
      <c r="B182" s="256" t="s">
        <v>836</v>
      </c>
      <c r="C182" s="1034" t="s">
        <v>2039</v>
      </c>
      <c r="D182" s="413"/>
    </row>
    <row r="183" spans="1:4" ht="63.75" thickBot="1">
      <c r="A183" s="273">
        <v>3</v>
      </c>
      <c r="B183" s="256" t="s">
        <v>708</v>
      </c>
      <c r="C183" s="1034" t="s">
        <v>2039</v>
      </c>
      <c r="D183" s="413"/>
    </row>
    <row r="184" spans="1:4" ht="48" thickBot="1">
      <c r="A184" s="273">
        <v>4</v>
      </c>
      <c r="B184" s="256" t="s">
        <v>1920</v>
      </c>
      <c r="C184" s="1034" t="s">
        <v>2039</v>
      </c>
      <c r="D184" s="413"/>
    </row>
    <row r="185" spans="1:4" ht="48" thickBot="1">
      <c r="A185" s="273">
        <v>5</v>
      </c>
      <c r="B185" s="256" t="s">
        <v>890</v>
      </c>
      <c r="C185" s="1034" t="s">
        <v>707</v>
      </c>
      <c r="D185" s="413"/>
    </row>
    <row r="186" spans="1:4" ht="32.25" thickBot="1">
      <c r="A186" s="288" t="s">
        <v>758</v>
      </c>
      <c r="B186" s="289"/>
      <c r="C186" s="283" t="s">
        <v>2040</v>
      </c>
      <c r="D186" s="418"/>
    </row>
    <row r="187" spans="1:4">
      <c r="A187" s="244" t="s">
        <v>2041</v>
      </c>
    </row>
    <row r="188" spans="1:4">
      <c r="A188" s="244"/>
    </row>
    <row r="189" spans="1:4">
      <c r="A189" s="244"/>
    </row>
    <row r="190" spans="1:4">
      <c r="A190" s="244"/>
    </row>
    <row r="191" spans="1:4">
      <c r="A191" s="244"/>
    </row>
    <row r="192" spans="1:4">
      <c r="A192" s="244"/>
    </row>
    <row r="193" spans="1:1">
      <c r="A193" s="244"/>
    </row>
    <row r="194" spans="1:1">
      <c r="A194" s="244"/>
    </row>
    <row r="195" spans="1:1">
      <c r="A195" s="244"/>
    </row>
    <row r="196" spans="1:1">
      <c r="A196" s="244"/>
    </row>
    <row r="197" spans="1:1">
      <c r="A197" s="284"/>
    </row>
    <row r="198" spans="1:1">
      <c r="A198" s="284"/>
    </row>
    <row r="199" spans="1:1">
      <c r="A199" s="284"/>
    </row>
    <row r="200" spans="1:1">
      <c r="A200" s="284"/>
    </row>
    <row r="201" spans="1:1">
      <c r="A201" s="284"/>
    </row>
    <row r="202" spans="1:1">
      <c r="A202" s="284"/>
    </row>
  </sheetData>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1"/>
  <sheetViews>
    <sheetView workbookViewId="0">
      <selection activeCell="C11" sqref="C11"/>
    </sheetView>
  </sheetViews>
  <sheetFormatPr defaultRowHeight="15"/>
  <cols>
    <col min="2" max="2" width="35.42578125" customWidth="1"/>
    <col min="5" max="5" width="9.140625" style="68"/>
  </cols>
  <sheetData>
    <row r="1" spans="1:6" ht="15.75" thickBot="1"/>
    <row r="2" spans="1:6" ht="31.5" customHeight="1" thickBot="1">
      <c r="A2" s="380" t="s">
        <v>0</v>
      </c>
      <c r="B2" s="380" t="s">
        <v>121</v>
      </c>
      <c r="C2" s="380" t="s">
        <v>632</v>
      </c>
      <c r="D2" s="398" t="s">
        <v>894</v>
      </c>
      <c r="E2" s="399"/>
      <c r="F2" s="380" t="s">
        <v>699</v>
      </c>
    </row>
    <row r="3" spans="1:6" ht="16.5" thickBot="1">
      <c r="A3" s="400"/>
      <c r="B3" s="400"/>
      <c r="C3" s="400"/>
      <c r="D3" s="381" t="s">
        <v>828</v>
      </c>
      <c r="E3" s="381" t="s">
        <v>829</v>
      </c>
      <c r="F3" s="400"/>
    </row>
    <row r="4" spans="1:6" ht="16.5" thickBot="1">
      <c r="A4" s="382">
        <v>1</v>
      </c>
      <c r="B4" s="383" t="s">
        <v>715</v>
      </c>
      <c r="C4" s="383" t="s">
        <v>642</v>
      </c>
      <c r="D4" s="313">
        <v>40000</v>
      </c>
      <c r="E4" s="738"/>
      <c r="F4" s="386"/>
    </row>
    <row r="5" spans="1:6" ht="60.75" customHeight="1" thickBot="1">
      <c r="A5" s="382">
        <v>2</v>
      </c>
      <c r="B5" s="383" t="s">
        <v>1651</v>
      </c>
      <c r="C5" s="383" t="s">
        <v>642</v>
      </c>
      <c r="D5" s="312"/>
      <c r="E5" s="727">
        <v>30000</v>
      </c>
      <c r="F5" s="386"/>
    </row>
    <row r="6" spans="1:6" ht="45.75" customHeight="1" thickBot="1">
      <c r="A6" s="382">
        <v>3</v>
      </c>
      <c r="B6" s="383" t="s">
        <v>728</v>
      </c>
      <c r="C6" s="383" t="s">
        <v>642</v>
      </c>
      <c r="D6" s="313">
        <v>60000</v>
      </c>
      <c r="E6" s="738"/>
      <c r="F6" s="386"/>
    </row>
    <row r="7" spans="1:6" ht="60.75" customHeight="1" thickBot="1">
      <c r="A7" s="382">
        <v>4</v>
      </c>
      <c r="B7" s="383" t="s">
        <v>681</v>
      </c>
      <c r="C7" s="383" t="s">
        <v>642</v>
      </c>
      <c r="D7" s="312"/>
      <c r="E7" s="727">
        <v>80000</v>
      </c>
      <c r="F7" s="386"/>
    </row>
    <row r="8" spans="1:6" ht="30.75" customHeight="1" thickBot="1">
      <c r="A8" s="382">
        <v>5</v>
      </c>
      <c r="B8" s="383" t="s">
        <v>744</v>
      </c>
      <c r="C8" s="383" t="s">
        <v>717</v>
      </c>
      <c r="D8" s="313">
        <v>120000</v>
      </c>
      <c r="E8" s="738"/>
      <c r="F8" s="386"/>
    </row>
    <row r="9" spans="1:6" ht="30.75" customHeight="1" thickBot="1">
      <c r="A9" s="382">
        <v>6</v>
      </c>
      <c r="B9" s="383" t="s">
        <v>639</v>
      </c>
      <c r="C9" s="383" t="s">
        <v>717</v>
      </c>
      <c r="D9" s="312"/>
      <c r="E9" s="727">
        <v>30000</v>
      </c>
      <c r="F9" s="386"/>
    </row>
    <row r="10" spans="1:6" ht="45.75" customHeight="1" thickBot="1">
      <c r="A10" s="382">
        <v>7</v>
      </c>
      <c r="B10" s="383" t="s">
        <v>210</v>
      </c>
      <c r="C10" s="383" t="s">
        <v>717</v>
      </c>
      <c r="D10" s="312"/>
      <c r="E10" s="727">
        <v>130000</v>
      </c>
      <c r="F10" s="386"/>
    </row>
    <row r="11" spans="1:6" ht="45.75" customHeight="1" thickBot="1">
      <c r="A11" s="382">
        <v>8</v>
      </c>
      <c r="B11" s="383" t="s">
        <v>638</v>
      </c>
      <c r="C11" s="383" t="s">
        <v>717</v>
      </c>
      <c r="D11" s="313">
        <v>120000</v>
      </c>
      <c r="E11" s="738"/>
      <c r="F11" s="386"/>
    </row>
    <row r="12" spans="1:6" ht="45.75" customHeight="1" thickBot="1">
      <c r="A12" s="382">
        <v>9</v>
      </c>
      <c r="B12" s="383" t="s">
        <v>96</v>
      </c>
      <c r="C12" s="383" t="s">
        <v>717</v>
      </c>
      <c r="D12" s="312"/>
      <c r="E12" s="727">
        <v>90000</v>
      </c>
      <c r="F12" s="386"/>
    </row>
    <row r="13" spans="1:6" ht="45.75" customHeight="1" thickBot="1">
      <c r="A13" s="382">
        <v>10</v>
      </c>
      <c r="B13" s="383" t="s">
        <v>721</v>
      </c>
      <c r="C13" s="383" t="s">
        <v>649</v>
      </c>
      <c r="D13" s="312"/>
      <c r="E13" s="727">
        <v>30000</v>
      </c>
      <c r="F13" s="386"/>
    </row>
    <row r="14" spans="1:6" ht="45.75" customHeight="1" thickBot="1">
      <c r="A14" s="382">
        <v>11</v>
      </c>
      <c r="B14" s="383" t="s">
        <v>205</v>
      </c>
      <c r="C14" s="383" t="s">
        <v>649</v>
      </c>
      <c r="D14" s="312"/>
      <c r="E14" s="727">
        <v>120000</v>
      </c>
      <c r="F14" s="386"/>
    </row>
    <row r="15" spans="1:6" ht="45.75" customHeight="1" thickBot="1">
      <c r="A15" s="382">
        <v>12</v>
      </c>
      <c r="B15" s="383" t="s">
        <v>685</v>
      </c>
      <c r="C15" s="383" t="s">
        <v>649</v>
      </c>
      <c r="D15" s="313">
        <v>310000</v>
      </c>
      <c r="E15" s="738"/>
      <c r="F15" s="386"/>
    </row>
    <row r="16" spans="1:6" ht="45.75" customHeight="1" thickBot="1">
      <c r="A16" s="382">
        <v>13</v>
      </c>
      <c r="B16" s="383" t="s">
        <v>687</v>
      </c>
      <c r="C16" s="383" t="s">
        <v>649</v>
      </c>
      <c r="D16" s="313">
        <v>30000</v>
      </c>
      <c r="E16" s="738"/>
      <c r="F16" s="386"/>
    </row>
    <row r="17" spans="1:6" ht="45.75" customHeight="1" thickBot="1">
      <c r="A17" s="382">
        <v>14</v>
      </c>
      <c r="B17" s="383" t="s">
        <v>686</v>
      </c>
      <c r="C17" s="383" t="s">
        <v>649</v>
      </c>
      <c r="D17" s="313">
        <v>230000</v>
      </c>
      <c r="E17" s="740"/>
      <c r="F17" s="386"/>
    </row>
    <row r="18" spans="1:6" ht="45.75" customHeight="1" thickBot="1">
      <c r="A18" s="382">
        <v>15</v>
      </c>
      <c r="B18" s="383" t="s">
        <v>683</v>
      </c>
      <c r="C18" s="383" t="s">
        <v>646</v>
      </c>
      <c r="D18" s="313">
        <v>60000</v>
      </c>
      <c r="E18" s="737"/>
      <c r="F18" s="386"/>
    </row>
    <row r="19" spans="1:6" ht="30.75" customHeight="1" thickBot="1">
      <c r="A19" s="382">
        <v>16</v>
      </c>
      <c r="B19" s="383" t="s">
        <v>723</v>
      </c>
      <c r="C19" s="383" t="s">
        <v>646</v>
      </c>
      <c r="D19" s="313">
        <v>60000</v>
      </c>
      <c r="E19" s="737"/>
      <c r="F19" s="386"/>
    </row>
    <row r="20" spans="1:6" ht="45.75" customHeight="1" thickBot="1">
      <c r="A20" s="382">
        <v>17</v>
      </c>
      <c r="B20" s="383" t="s">
        <v>168</v>
      </c>
      <c r="C20" s="383" t="s">
        <v>646</v>
      </c>
      <c r="D20" s="312"/>
      <c r="E20" s="727">
        <v>30000</v>
      </c>
      <c r="F20" s="386"/>
    </row>
    <row r="21" spans="1:6" ht="45.75" customHeight="1" thickBot="1">
      <c r="A21" s="382">
        <v>18</v>
      </c>
      <c r="B21" s="383" t="s">
        <v>1434</v>
      </c>
      <c r="C21" s="383" t="s">
        <v>646</v>
      </c>
      <c r="D21" s="312"/>
      <c r="E21" s="727">
        <v>30000</v>
      </c>
      <c r="F21" s="386"/>
    </row>
    <row r="22" spans="1:6" ht="45.75" customHeight="1" thickBot="1">
      <c r="A22" s="382">
        <v>19</v>
      </c>
      <c r="B22" s="383" t="s">
        <v>647</v>
      </c>
      <c r="C22" s="383" t="s">
        <v>646</v>
      </c>
      <c r="D22" s="313">
        <v>20000</v>
      </c>
      <c r="E22" s="738"/>
      <c r="F22" s="386"/>
    </row>
    <row r="23" spans="1:6" ht="30.75" customHeight="1" thickBot="1">
      <c r="A23" s="382">
        <v>20</v>
      </c>
      <c r="B23" s="383" t="s">
        <v>1401</v>
      </c>
      <c r="C23" s="383" t="s">
        <v>650</v>
      </c>
      <c r="D23" s="313">
        <v>120000</v>
      </c>
      <c r="E23" s="740"/>
      <c r="F23" s="386"/>
    </row>
    <row r="24" spans="1:6" ht="30.75" customHeight="1" thickBot="1">
      <c r="A24" s="382">
        <v>21</v>
      </c>
      <c r="B24" s="383" t="s">
        <v>688</v>
      </c>
      <c r="C24" s="383" t="s">
        <v>650</v>
      </c>
      <c r="D24" s="313">
        <v>60000</v>
      </c>
      <c r="E24" s="740"/>
      <c r="F24" s="386"/>
    </row>
    <row r="25" spans="1:6" ht="45.75" customHeight="1" thickBot="1">
      <c r="A25" s="382">
        <v>22</v>
      </c>
      <c r="B25" s="383" t="s">
        <v>269</v>
      </c>
      <c r="C25" s="383" t="s">
        <v>650</v>
      </c>
      <c r="D25" s="312"/>
      <c r="E25" s="727">
        <v>120000</v>
      </c>
      <c r="F25" s="386"/>
    </row>
    <row r="26" spans="1:6" ht="30.75" customHeight="1" thickBot="1">
      <c r="A26" s="382">
        <v>23</v>
      </c>
      <c r="B26" s="383" t="s">
        <v>651</v>
      </c>
      <c r="C26" s="383" t="s">
        <v>650</v>
      </c>
      <c r="D26" s="313">
        <v>120000</v>
      </c>
      <c r="E26" s="738"/>
      <c r="F26" s="386"/>
    </row>
    <row r="27" spans="1:6" ht="30.75" customHeight="1" thickBot="1">
      <c r="A27" s="382">
        <v>24</v>
      </c>
      <c r="B27" s="383" t="s">
        <v>659</v>
      </c>
      <c r="C27" s="383" t="s">
        <v>653</v>
      </c>
      <c r="D27" s="313">
        <v>90000</v>
      </c>
      <c r="E27" s="738"/>
      <c r="F27" s="386"/>
    </row>
    <row r="28" spans="1:6" ht="30.75" customHeight="1" thickBot="1">
      <c r="A28" s="382">
        <v>25</v>
      </c>
      <c r="B28" s="383" t="s">
        <v>146</v>
      </c>
      <c r="C28" s="383" t="s">
        <v>653</v>
      </c>
      <c r="D28" s="312"/>
      <c r="E28" s="727">
        <v>30000</v>
      </c>
      <c r="F28" s="386"/>
    </row>
    <row r="29" spans="1:6" ht="45.75" customHeight="1" thickBot="1">
      <c r="A29" s="382">
        <v>26</v>
      </c>
      <c r="B29" s="383" t="s">
        <v>689</v>
      </c>
      <c r="C29" s="383" t="s">
        <v>653</v>
      </c>
      <c r="D29" s="313">
        <v>90000</v>
      </c>
      <c r="E29" s="740"/>
      <c r="F29" s="386"/>
    </row>
    <row r="30" spans="1:6" ht="45.75" customHeight="1" thickBot="1">
      <c r="A30" s="746">
        <v>27</v>
      </c>
      <c r="B30" s="383" t="s">
        <v>60</v>
      </c>
      <c r="C30" s="383" t="s">
        <v>653</v>
      </c>
      <c r="D30" s="312"/>
      <c r="E30" s="727">
        <v>100000</v>
      </c>
      <c r="F30" s="386"/>
    </row>
    <row r="31" spans="1:6" ht="45.75" customHeight="1" thickBot="1">
      <c r="A31" s="746">
        <v>28</v>
      </c>
      <c r="B31" s="383" t="s">
        <v>690</v>
      </c>
      <c r="C31" s="383" t="s">
        <v>653</v>
      </c>
      <c r="D31" s="312"/>
      <c r="E31" s="727">
        <v>210000</v>
      </c>
      <c r="F31" s="386"/>
    </row>
    <row r="32" spans="1:6" ht="45.75" customHeight="1" thickBot="1">
      <c r="A32" s="746">
        <v>29</v>
      </c>
      <c r="B32" s="383" t="s">
        <v>147</v>
      </c>
      <c r="C32" s="383" t="s">
        <v>653</v>
      </c>
      <c r="D32" s="312"/>
      <c r="E32" s="727">
        <v>140000</v>
      </c>
      <c r="F32" s="386"/>
    </row>
    <row r="33" spans="1:6" ht="45.75" customHeight="1" thickBot="1">
      <c r="A33" s="746">
        <v>30</v>
      </c>
      <c r="B33" s="383" t="s">
        <v>656</v>
      </c>
      <c r="C33" s="383" t="s">
        <v>653</v>
      </c>
      <c r="D33" s="313">
        <v>60000</v>
      </c>
      <c r="E33" s="738"/>
      <c r="F33" s="386"/>
    </row>
    <row r="34" spans="1:6" ht="30.75" customHeight="1" thickBot="1">
      <c r="A34" s="746">
        <v>31</v>
      </c>
      <c r="B34" s="383" t="s">
        <v>658</v>
      </c>
      <c r="C34" s="383" t="s">
        <v>653</v>
      </c>
      <c r="D34" s="313">
        <v>60000</v>
      </c>
      <c r="E34" s="737"/>
      <c r="F34" s="386"/>
    </row>
    <row r="35" spans="1:6" ht="30.75" customHeight="1" thickBot="1">
      <c r="A35" s="746">
        <v>32</v>
      </c>
      <c r="B35" s="383" t="s">
        <v>693</v>
      </c>
      <c r="C35" s="383" t="s">
        <v>668</v>
      </c>
      <c r="D35" s="313">
        <v>30000</v>
      </c>
      <c r="E35" s="737"/>
      <c r="F35" s="386"/>
    </row>
    <row r="36" spans="1:6" ht="30.75" customHeight="1" thickBot="1">
      <c r="A36" s="746">
        <v>33</v>
      </c>
      <c r="B36" s="383" t="s">
        <v>1316</v>
      </c>
      <c r="C36" s="383" t="s">
        <v>668</v>
      </c>
      <c r="D36" s="312"/>
      <c r="E36" s="727">
        <v>60000</v>
      </c>
      <c r="F36" s="386"/>
    </row>
    <row r="37" spans="1:6" ht="45.75" customHeight="1" thickBot="1">
      <c r="A37" s="746">
        <v>34</v>
      </c>
      <c r="B37" s="383" t="s">
        <v>732</v>
      </c>
      <c r="C37" s="383" t="s">
        <v>668</v>
      </c>
      <c r="D37" s="313">
        <v>120000</v>
      </c>
      <c r="E37" s="738"/>
      <c r="F37" s="386"/>
    </row>
    <row r="38" spans="1:6" ht="45.75" customHeight="1" thickBot="1">
      <c r="A38" s="746">
        <v>35</v>
      </c>
      <c r="B38" s="383" t="s">
        <v>672</v>
      </c>
      <c r="C38" s="383" t="s">
        <v>668</v>
      </c>
      <c r="D38" s="313">
        <v>40000</v>
      </c>
      <c r="E38" s="740"/>
      <c r="F38" s="386"/>
    </row>
    <row r="39" spans="1:6" ht="30.75" customHeight="1" thickBot="1">
      <c r="A39" s="746">
        <v>36</v>
      </c>
      <c r="B39" s="383" t="s">
        <v>213</v>
      </c>
      <c r="C39" s="383" t="s">
        <v>668</v>
      </c>
      <c r="D39" s="312"/>
      <c r="E39" s="727">
        <v>30000</v>
      </c>
      <c r="F39" s="386"/>
    </row>
    <row r="40" spans="1:6" ht="45.75" customHeight="1" thickBot="1">
      <c r="A40" s="746">
        <v>37</v>
      </c>
      <c r="B40" s="383" t="s">
        <v>670</v>
      </c>
      <c r="C40" s="383" t="s">
        <v>668</v>
      </c>
      <c r="D40" s="313">
        <v>90000</v>
      </c>
      <c r="E40" s="740"/>
      <c r="F40" s="386"/>
    </row>
    <row r="41" spans="1:6" ht="30.75" customHeight="1" thickBot="1">
      <c r="A41" s="746">
        <v>38</v>
      </c>
      <c r="B41" s="383" t="s">
        <v>149</v>
      </c>
      <c r="C41" s="383" t="s">
        <v>674</v>
      </c>
      <c r="D41" s="312"/>
      <c r="E41" s="727">
        <v>20000</v>
      </c>
      <c r="F41" s="386"/>
    </row>
    <row r="42" spans="1:6" ht="30.75" customHeight="1" thickBot="1">
      <c r="A42" s="746">
        <v>39</v>
      </c>
      <c r="B42" s="383" t="s">
        <v>72</v>
      </c>
      <c r="C42" s="383" t="s">
        <v>674</v>
      </c>
      <c r="D42" s="312"/>
      <c r="E42" s="727">
        <v>30000</v>
      </c>
      <c r="F42" s="386"/>
    </row>
    <row r="43" spans="1:6" ht="17.25" thickBot="1">
      <c r="A43" s="746">
        <v>40</v>
      </c>
      <c r="B43" s="383" t="s">
        <v>182</v>
      </c>
      <c r="C43" s="383" t="s">
        <v>674</v>
      </c>
      <c r="D43" s="312"/>
      <c r="E43" s="727">
        <v>30000</v>
      </c>
      <c r="F43" s="386"/>
    </row>
    <row r="44" spans="1:6" ht="16.5" thickBot="1">
      <c r="A44" s="401" t="s">
        <v>758</v>
      </c>
      <c r="B44" s="402"/>
      <c r="C44" s="336"/>
      <c r="D44" s="388">
        <v>1930000</v>
      </c>
      <c r="E44" s="1038">
        <v>1340000</v>
      </c>
      <c r="F44" s="389"/>
    </row>
    <row r="45" spans="1:6" ht="16.5" customHeight="1" thickBot="1">
      <c r="A45" s="401" t="s">
        <v>864</v>
      </c>
      <c r="B45" s="402"/>
      <c r="C45" s="336"/>
      <c r="D45" s="403">
        <v>3270000</v>
      </c>
      <c r="E45" s="404"/>
      <c r="F45" s="390"/>
    </row>
    <row r="46" spans="1:6">
      <c r="A46" s="1175"/>
    </row>
    <row r="47" spans="1:6">
      <c r="A47" s="284"/>
    </row>
    <row r="48" spans="1:6">
      <c r="A48" s="284"/>
    </row>
    <row r="49" spans="1:2">
      <c r="A49" s="284"/>
    </row>
    <row r="50" spans="1:2">
      <c r="A50" s="284"/>
    </row>
    <row r="51" spans="1:2">
      <c r="A51" s="284"/>
    </row>
    <row r="52" spans="1:2">
      <c r="A52" s="284"/>
    </row>
    <row r="53" spans="1:2">
      <c r="A53" s="284"/>
    </row>
    <row r="54" spans="1:2">
      <c r="A54" s="284"/>
    </row>
    <row r="55" spans="1:2">
      <c r="A55" s="284"/>
    </row>
    <row r="56" spans="1:2">
      <c r="A56" s="284"/>
    </row>
    <row r="57" spans="1:2">
      <c r="A57" s="284"/>
    </row>
    <row r="58" spans="1:2">
      <c r="A58" s="284"/>
    </row>
    <row r="59" spans="1:2">
      <c r="A59" s="284"/>
    </row>
    <row r="60" spans="1:2">
      <c r="A60" s="284"/>
    </row>
    <row r="61" spans="1:2">
      <c r="A61" s="284"/>
    </row>
    <row r="62" spans="1:2" ht="15.75">
      <c r="A62" s="691"/>
      <c r="B62" s="247"/>
    </row>
    <row r="63" spans="1:2" ht="126" customHeight="1">
      <c r="A63" s="594" t="s">
        <v>111</v>
      </c>
      <c r="B63" s="247" t="s">
        <v>932</v>
      </c>
    </row>
    <row r="64" spans="1:2" ht="82.5">
      <c r="A64" s="594" t="s">
        <v>113</v>
      </c>
      <c r="B64" s="588" t="s">
        <v>114</v>
      </c>
    </row>
    <row r="65" spans="1:6" ht="33">
      <c r="A65" s="588" t="s">
        <v>1167</v>
      </c>
      <c r="B65" s="248"/>
    </row>
    <row r="66" spans="1:6" ht="99">
      <c r="A66" s="588" t="s">
        <v>116</v>
      </c>
      <c r="B66" s="248"/>
    </row>
    <row r="67" spans="1:6" ht="16.5">
      <c r="A67" s="246"/>
      <c r="B67" s="248"/>
    </row>
    <row r="68" spans="1:6" ht="15.75">
      <c r="A68" s="205" t="s">
        <v>678</v>
      </c>
    </row>
    <row r="69" spans="1:6" ht="15.75">
      <c r="A69" s="205"/>
    </row>
    <row r="70" spans="1:6">
      <c r="A70" s="686" t="s">
        <v>1502</v>
      </c>
    </row>
    <row r="71" spans="1:6" ht="15.75">
      <c r="A71" s="232" t="s">
        <v>2042</v>
      </c>
    </row>
    <row r="72" spans="1:6" ht="16.5" thickBot="1">
      <c r="A72" s="232"/>
    </row>
    <row r="73" spans="1:6" ht="31.5" customHeight="1" thickBot="1">
      <c r="A73" s="380" t="s">
        <v>0</v>
      </c>
      <c r="B73" s="380" t="s">
        <v>121</v>
      </c>
      <c r="C73" s="380" t="s">
        <v>632</v>
      </c>
      <c r="D73" s="398" t="s">
        <v>894</v>
      </c>
      <c r="E73" s="399"/>
      <c r="F73" s="380" t="s">
        <v>699</v>
      </c>
    </row>
    <row r="74" spans="1:6" ht="16.5" thickBot="1">
      <c r="A74" s="400"/>
      <c r="B74" s="400"/>
      <c r="C74" s="400"/>
      <c r="D74" s="381" t="s">
        <v>828</v>
      </c>
      <c r="E74" s="381" t="s">
        <v>829</v>
      </c>
      <c r="F74" s="400"/>
    </row>
    <row r="75" spans="1:6" ht="16.5" thickBot="1">
      <c r="A75" s="382">
        <v>1</v>
      </c>
      <c r="B75" s="690" t="s">
        <v>685</v>
      </c>
      <c r="C75" s="1002" t="s">
        <v>649</v>
      </c>
      <c r="D75" s="387">
        <v>400</v>
      </c>
      <c r="E75" s="738"/>
      <c r="F75" s="1002" t="s">
        <v>1503</v>
      </c>
    </row>
    <row r="76" spans="1:6" ht="16.5" thickBot="1">
      <c r="A76" s="401" t="s">
        <v>758</v>
      </c>
      <c r="B76" s="402"/>
      <c r="C76" s="336"/>
      <c r="D76" s="388">
        <v>400000</v>
      </c>
      <c r="E76" s="1103"/>
      <c r="F76" s="389"/>
    </row>
    <row r="77" spans="1:6" ht="16.5" customHeight="1" thickBot="1">
      <c r="A77" s="401" t="s">
        <v>864</v>
      </c>
      <c r="B77" s="402"/>
      <c r="C77" s="336"/>
      <c r="D77" s="403">
        <v>400000</v>
      </c>
      <c r="E77" s="404"/>
      <c r="F77" s="390"/>
    </row>
    <row r="78" spans="1:6">
      <c r="A78" s="244"/>
    </row>
    <row r="79" spans="1:6">
      <c r="A79" s="244"/>
    </row>
    <row r="80" spans="1:6">
      <c r="A80" s="244"/>
    </row>
    <row r="81" spans="1:1">
      <c r="A81" s="244"/>
    </row>
    <row r="82" spans="1:1">
      <c r="A82" s="244"/>
    </row>
    <row r="83" spans="1:1">
      <c r="A83" s="244"/>
    </row>
    <row r="84" spans="1:1">
      <c r="A84" s="244"/>
    </row>
    <row r="85" spans="1:1">
      <c r="A85" s="244"/>
    </row>
    <row r="86" spans="1:1">
      <c r="A86" s="244"/>
    </row>
    <row r="87" spans="1:1">
      <c r="A87" s="244"/>
    </row>
    <row r="88" spans="1:1">
      <c r="A88" s="244"/>
    </row>
    <row r="89" spans="1:1">
      <c r="A89" s="244"/>
    </row>
    <row r="90" spans="1:1">
      <c r="A90" s="244"/>
    </row>
    <row r="91" spans="1:1">
      <c r="A91" s="244"/>
    </row>
    <row r="92" spans="1:1">
      <c r="A92" s="244"/>
    </row>
    <row r="93" spans="1:1">
      <c r="A93" s="244"/>
    </row>
    <row r="94" spans="1:1">
      <c r="A94" s="244"/>
    </row>
    <row r="95" spans="1:1">
      <c r="A95" s="244"/>
    </row>
    <row r="96" spans="1:1">
      <c r="A96" s="244"/>
    </row>
    <row r="97" spans="1:4">
      <c r="A97" s="244"/>
    </row>
    <row r="98" spans="1:4">
      <c r="A98" s="244"/>
    </row>
    <row r="99" spans="1:4" ht="15.75">
      <c r="A99" s="691"/>
      <c r="B99" s="247"/>
    </row>
    <row r="100" spans="1:4" ht="126" customHeight="1">
      <c r="A100" s="594" t="s">
        <v>111</v>
      </c>
      <c r="B100" s="247" t="s">
        <v>932</v>
      </c>
    </row>
    <row r="101" spans="1:4" ht="82.5">
      <c r="A101" s="594" t="s">
        <v>113</v>
      </c>
      <c r="B101" s="588" t="s">
        <v>114</v>
      </c>
    </row>
    <row r="102" spans="1:4" ht="33">
      <c r="A102" s="588" t="s">
        <v>1167</v>
      </c>
      <c r="B102" s="248"/>
    </row>
    <row r="103" spans="1:4" ht="99">
      <c r="A103" s="588" t="s">
        <v>116</v>
      </c>
      <c r="B103" s="248"/>
    </row>
    <row r="104" spans="1:4" ht="16.5">
      <c r="A104" s="246"/>
      <c r="B104" s="248"/>
    </row>
    <row r="105" spans="1:4" ht="15.75">
      <c r="A105" s="205" t="s">
        <v>696</v>
      </c>
    </row>
    <row r="106" spans="1:4" ht="15.75">
      <c r="A106" s="205"/>
    </row>
    <row r="107" spans="1:4" ht="15.75">
      <c r="A107" s="205" t="s">
        <v>1717</v>
      </c>
    </row>
    <row r="108" spans="1:4" ht="15.75">
      <c r="A108" s="232" t="s">
        <v>2043</v>
      </c>
    </row>
    <row r="109" spans="1:4" ht="15.75" thickBot="1">
      <c r="A109" s="987"/>
    </row>
    <row r="110" spans="1:4" ht="48" thickBot="1">
      <c r="A110" s="252" t="s">
        <v>0</v>
      </c>
      <c r="B110" s="253" t="s">
        <v>632</v>
      </c>
      <c r="C110" s="988" t="s">
        <v>894</v>
      </c>
      <c r="D110" s="989" t="s">
        <v>634</v>
      </c>
    </row>
    <row r="111" spans="1:4" ht="16.5" thickBot="1">
      <c r="A111" s="273">
        <v>1</v>
      </c>
      <c r="B111" s="256" t="s">
        <v>1450</v>
      </c>
      <c r="C111" s="1176">
        <v>250</v>
      </c>
      <c r="D111" s="413"/>
    </row>
    <row r="112" spans="1:4" ht="16.5" thickBot="1">
      <c r="A112" s="288" t="s">
        <v>758</v>
      </c>
      <c r="B112" s="289"/>
      <c r="C112" s="283">
        <v>250</v>
      </c>
      <c r="D112" s="418"/>
    </row>
    <row r="113" spans="1:1">
      <c r="A113" s="244"/>
    </row>
    <row r="114" spans="1:1">
      <c r="A114" s="244"/>
    </row>
    <row r="115" spans="1:1">
      <c r="A115" s="244"/>
    </row>
    <row r="116" spans="1:1">
      <c r="A116" s="244"/>
    </row>
    <row r="117" spans="1:1">
      <c r="A117" s="244"/>
    </row>
    <row r="118" spans="1:1">
      <c r="A118" s="244"/>
    </row>
    <row r="119" spans="1:1">
      <c r="A119" s="244"/>
    </row>
    <row r="120" spans="1:1">
      <c r="A120" s="244"/>
    </row>
    <row r="121" spans="1:1">
      <c r="A121" s="244"/>
    </row>
    <row r="122" spans="1:1">
      <c r="A122" s="244"/>
    </row>
    <row r="123" spans="1:1">
      <c r="A123" s="244"/>
    </row>
    <row r="124" spans="1:1">
      <c r="A124" s="244"/>
    </row>
    <row r="125" spans="1:1">
      <c r="A125" s="244"/>
    </row>
    <row r="126" spans="1:1">
      <c r="A126" s="244"/>
    </row>
    <row r="127" spans="1:1">
      <c r="A127" s="244"/>
    </row>
    <row r="128" spans="1:1">
      <c r="A128" s="244"/>
    </row>
    <row r="129" spans="1:1">
      <c r="A129" s="244"/>
    </row>
    <row r="130" spans="1:1">
      <c r="A130" s="244"/>
    </row>
    <row r="131" spans="1:1">
      <c r="A131" s="284"/>
    </row>
  </sheetData>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5"/>
  <sheetViews>
    <sheetView topLeftCell="A49" workbookViewId="0">
      <selection activeCell="C11" sqref="C11"/>
    </sheetView>
  </sheetViews>
  <sheetFormatPr defaultRowHeight="15"/>
  <cols>
    <col min="2" max="2" width="29.5703125" customWidth="1"/>
    <col min="5" max="5" width="9.140625" style="68"/>
  </cols>
  <sheetData>
    <row r="1" spans="1:6" ht="15.75" thickBot="1"/>
    <row r="2" spans="1:6" ht="31.5" customHeight="1" thickBot="1">
      <c r="A2" s="380" t="s">
        <v>0</v>
      </c>
      <c r="B2" s="380" t="s">
        <v>121</v>
      </c>
      <c r="C2" s="380" t="s">
        <v>632</v>
      </c>
      <c r="D2" s="398" t="s">
        <v>894</v>
      </c>
      <c r="E2" s="399"/>
      <c r="F2" s="380" t="s">
        <v>699</v>
      </c>
    </row>
    <row r="3" spans="1:6" ht="16.5" thickBot="1">
      <c r="A3" s="400"/>
      <c r="B3" s="400"/>
      <c r="C3" s="400"/>
      <c r="D3" s="381" t="s">
        <v>828</v>
      </c>
      <c r="E3" s="381" t="s">
        <v>829</v>
      </c>
      <c r="F3" s="400"/>
    </row>
    <row r="4" spans="1:6" ht="16.5" thickBot="1">
      <c r="A4" s="382">
        <v>1</v>
      </c>
      <c r="B4" s="383" t="s">
        <v>682</v>
      </c>
      <c r="C4" s="384" t="s">
        <v>642</v>
      </c>
      <c r="D4" s="409">
        <v>30000</v>
      </c>
      <c r="E4" s="738"/>
      <c r="F4" s="386"/>
    </row>
    <row r="5" spans="1:6" ht="16.5" thickBot="1">
      <c r="A5" s="382">
        <v>2</v>
      </c>
      <c r="B5" s="383" t="s">
        <v>715</v>
      </c>
      <c r="C5" s="384" t="s">
        <v>642</v>
      </c>
      <c r="D5" s="409">
        <v>120000</v>
      </c>
      <c r="E5" s="738"/>
      <c r="F5" s="386"/>
    </row>
    <row r="6" spans="1:6" ht="17.25" thickBot="1">
      <c r="A6" s="382">
        <v>3</v>
      </c>
      <c r="B6" s="383" t="s">
        <v>207</v>
      </c>
      <c r="C6" s="384" t="s">
        <v>642</v>
      </c>
      <c r="D6" s="929"/>
      <c r="E6" s="1188">
        <v>130000</v>
      </c>
      <c r="F6" s="386"/>
    </row>
    <row r="7" spans="1:6" ht="17.25" thickBot="1">
      <c r="A7" s="382">
        <v>4</v>
      </c>
      <c r="B7" s="383" t="s">
        <v>1651</v>
      </c>
      <c r="C7" s="384" t="s">
        <v>642</v>
      </c>
      <c r="D7" s="929"/>
      <c r="E7" s="1188">
        <v>30000</v>
      </c>
      <c r="F7" s="386"/>
    </row>
    <row r="8" spans="1:6" ht="16.5" thickBot="1">
      <c r="A8" s="382">
        <v>5</v>
      </c>
      <c r="B8" s="383" t="s">
        <v>755</v>
      </c>
      <c r="C8" s="384" t="s">
        <v>642</v>
      </c>
      <c r="D8" s="409">
        <v>30000</v>
      </c>
      <c r="E8" s="738"/>
      <c r="F8" s="386"/>
    </row>
    <row r="9" spans="1:6" ht="17.25" thickBot="1">
      <c r="A9" s="382">
        <v>6</v>
      </c>
      <c r="B9" s="383" t="s">
        <v>681</v>
      </c>
      <c r="C9" s="384" t="s">
        <v>642</v>
      </c>
      <c r="D9" s="929"/>
      <c r="E9" s="1188">
        <v>90000</v>
      </c>
      <c r="F9" s="386"/>
    </row>
    <row r="10" spans="1:6" ht="17.25" thickBot="1">
      <c r="A10" s="382">
        <v>7</v>
      </c>
      <c r="B10" s="383" t="s">
        <v>153</v>
      </c>
      <c r="C10" s="384" t="s">
        <v>642</v>
      </c>
      <c r="D10" s="929"/>
      <c r="E10" s="1188">
        <v>30000</v>
      </c>
      <c r="F10" s="386"/>
    </row>
    <row r="11" spans="1:6" ht="17.25" thickBot="1">
      <c r="A11" s="382">
        <v>8</v>
      </c>
      <c r="B11" s="383" t="s">
        <v>639</v>
      </c>
      <c r="C11" s="384" t="s">
        <v>717</v>
      </c>
      <c r="D11" s="929"/>
      <c r="E11" s="1188">
        <v>30000</v>
      </c>
      <c r="F11" s="386"/>
    </row>
    <row r="12" spans="1:6" ht="17.25" thickBot="1">
      <c r="A12" s="382">
        <v>9</v>
      </c>
      <c r="B12" s="383" t="s">
        <v>210</v>
      </c>
      <c r="C12" s="384" t="s">
        <v>717</v>
      </c>
      <c r="D12" s="929"/>
      <c r="E12" s="1188">
        <v>180000</v>
      </c>
      <c r="F12" s="386"/>
    </row>
    <row r="13" spans="1:6" ht="17.25" thickBot="1">
      <c r="A13" s="382">
        <v>10</v>
      </c>
      <c r="B13" s="383" t="s">
        <v>638</v>
      </c>
      <c r="C13" s="384" t="s">
        <v>717</v>
      </c>
      <c r="D13" s="409">
        <v>30000</v>
      </c>
      <c r="E13" s="1037"/>
      <c r="F13" s="386"/>
    </row>
    <row r="14" spans="1:6" ht="17.25" thickBot="1">
      <c r="A14" s="382">
        <v>11</v>
      </c>
      <c r="B14" s="383" t="s">
        <v>641</v>
      </c>
      <c r="C14" s="384" t="s">
        <v>717</v>
      </c>
      <c r="D14" s="409">
        <v>30000</v>
      </c>
      <c r="E14" s="1037"/>
      <c r="F14" s="386"/>
    </row>
    <row r="15" spans="1:6" ht="17.25" thickBot="1">
      <c r="A15" s="382">
        <v>12</v>
      </c>
      <c r="B15" s="383" t="s">
        <v>96</v>
      </c>
      <c r="C15" s="384" t="s">
        <v>717</v>
      </c>
      <c r="D15" s="929"/>
      <c r="E15" s="1188">
        <v>30000</v>
      </c>
      <c r="F15" s="386"/>
    </row>
    <row r="16" spans="1:6" ht="17.25" thickBot="1">
      <c r="A16" s="382">
        <v>13</v>
      </c>
      <c r="B16" s="383" t="s">
        <v>831</v>
      </c>
      <c r="C16" s="384" t="s">
        <v>649</v>
      </c>
      <c r="D16" s="929"/>
      <c r="E16" s="1188">
        <v>60000</v>
      </c>
      <c r="F16" s="386"/>
    </row>
    <row r="17" spans="1:6" ht="17.25" thickBot="1">
      <c r="A17" s="382">
        <v>14</v>
      </c>
      <c r="B17" s="383" t="s">
        <v>205</v>
      </c>
      <c r="C17" s="384" t="s">
        <v>649</v>
      </c>
      <c r="D17" s="929"/>
      <c r="E17" s="1188">
        <v>30000</v>
      </c>
      <c r="F17" s="386"/>
    </row>
    <row r="18" spans="1:6" ht="16.5" thickBot="1">
      <c r="A18" s="382">
        <v>15</v>
      </c>
      <c r="B18" s="383" t="s">
        <v>685</v>
      </c>
      <c r="C18" s="384" t="s">
        <v>649</v>
      </c>
      <c r="D18" s="409">
        <v>60000</v>
      </c>
      <c r="E18" s="737"/>
      <c r="F18" s="386"/>
    </row>
    <row r="19" spans="1:6" ht="16.5" thickBot="1">
      <c r="A19" s="382">
        <v>16</v>
      </c>
      <c r="B19" s="383" t="s">
        <v>687</v>
      </c>
      <c r="C19" s="384" t="s">
        <v>649</v>
      </c>
      <c r="D19" s="409">
        <v>310000</v>
      </c>
      <c r="E19" s="737"/>
      <c r="F19" s="386"/>
    </row>
    <row r="20" spans="1:6" ht="17.25" thickBot="1">
      <c r="A20" s="382">
        <v>17</v>
      </c>
      <c r="B20" s="383" t="s">
        <v>684</v>
      </c>
      <c r="C20" s="384" t="s">
        <v>649</v>
      </c>
      <c r="D20" s="409">
        <v>30000</v>
      </c>
      <c r="E20" s="1037"/>
      <c r="F20" s="386"/>
    </row>
    <row r="21" spans="1:6" ht="17.25" thickBot="1">
      <c r="A21" s="382">
        <v>18</v>
      </c>
      <c r="B21" s="383" t="s">
        <v>686</v>
      </c>
      <c r="C21" s="384" t="s">
        <v>649</v>
      </c>
      <c r="D21" s="409">
        <v>150000</v>
      </c>
      <c r="E21" s="1037"/>
      <c r="F21" s="386"/>
    </row>
    <row r="22" spans="1:6" ht="16.5" thickBot="1">
      <c r="A22" s="382">
        <v>19</v>
      </c>
      <c r="B22" s="383" t="s">
        <v>683</v>
      </c>
      <c r="C22" s="384" t="s">
        <v>646</v>
      </c>
      <c r="D22" s="409">
        <v>60000</v>
      </c>
      <c r="E22" s="738"/>
      <c r="F22" s="386"/>
    </row>
    <row r="23" spans="1:6" ht="16.5" thickBot="1">
      <c r="A23" s="382">
        <v>20</v>
      </c>
      <c r="B23" s="383" t="s">
        <v>723</v>
      </c>
      <c r="C23" s="384" t="s">
        <v>646</v>
      </c>
      <c r="D23" s="409">
        <v>170000</v>
      </c>
      <c r="E23" s="740"/>
      <c r="F23" s="386"/>
    </row>
    <row r="24" spans="1:6" ht="17.25" thickBot="1">
      <c r="A24" s="382">
        <v>21</v>
      </c>
      <c r="B24" s="383" t="s">
        <v>168</v>
      </c>
      <c r="C24" s="384" t="s">
        <v>646</v>
      </c>
      <c r="D24" s="929"/>
      <c r="E24" s="1188">
        <v>30000</v>
      </c>
      <c r="F24" s="386"/>
    </row>
    <row r="25" spans="1:6" ht="17.25" thickBot="1">
      <c r="A25" s="382">
        <v>22</v>
      </c>
      <c r="B25" s="383" t="s">
        <v>148</v>
      </c>
      <c r="C25" s="384" t="s">
        <v>646</v>
      </c>
      <c r="D25" s="929"/>
      <c r="E25" s="1188">
        <v>120000</v>
      </c>
      <c r="F25" s="386"/>
    </row>
    <row r="26" spans="1:6" ht="16.5" thickBot="1">
      <c r="A26" s="382">
        <v>23</v>
      </c>
      <c r="B26" s="383" t="s">
        <v>722</v>
      </c>
      <c r="C26" s="384" t="s">
        <v>646</v>
      </c>
      <c r="D26" s="409">
        <v>30000</v>
      </c>
      <c r="E26" s="738"/>
      <c r="F26" s="386"/>
    </row>
    <row r="27" spans="1:6" ht="16.5" thickBot="1">
      <c r="A27" s="382">
        <v>24</v>
      </c>
      <c r="B27" s="383" t="s">
        <v>1434</v>
      </c>
      <c r="C27" s="384" t="s">
        <v>646</v>
      </c>
      <c r="D27" s="383" t="s">
        <v>1299</v>
      </c>
      <c r="E27" s="727">
        <v>120000</v>
      </c>
      <c r="F27" s="386"/>
    </row>
    <row r="28" spans="1:6" ht="16.5" thickBot="1">
      <c r="A28" s="382">
        <v>25</v>
      </c>
      <c r="B28" s="383" t="s">
        <v>647</v>
      </c>
      <c r="C28" s="384" t="s">
        <v>646</v>
      </c>
      <c r="D28" s="409">
        <v>30000</v>
      </c>
      <c r="E28" s="740"/>
      <c r="F28" s="386"/>
    </row>
    <row r="29" spans="1:6" ht="17.25" thickBot="1">
      <c r="A29" s="382">
        <v>26</v>
      </c>
      <c r="B29" s="383" t="s">
        <v>83</v>
      </c>
      <c r="C29" s="384" t="s">
        <v>650</v>
      </c>
      <c r="D29" s="929"/>
      <c r="E29" s="727">
        <v>30000</v>
      </c>
      <c r="F29" s="386"/>
    </row>
    <row r="30" spans="1:6" ht="17.25" thickBot="1">
      <c r="A30" s="746">
        <v>27</v>
      </c>
      <c r="B30" s="383" t="s">
        <v>1401</v>
      </c>
      <c r="C30" s="384" t="s">
        <v>650</v>
      </c>
      <c r="D30" s="409">
        <v>60000</v>
      </c>
      <c r="E30" s="1037"/>
      <c r="F30" s="386"/>
    </row>
    <row r="31" spans="1:6" ht="17.25" thickBot="1">
      <c r="A31" s="746">
        <v>28</v>
      </c>
      <c r="B31" s="383" t="s">
        <v>89</v>
      </c>
      <c r="C31" s="384" t="s">
        <v>650</v>
      </c>
      <c r="D31" s="929"/>
      <c r="E31" s="727">
        <v>90000</v>
      </c>
      <c r="F31" s="386"/>
    </row>
    <row r="32" spans="1:6" ht="17.25" thickBot="1">
      <c r="A32" s="746">
        <v>29</v>
      </c>
      <c r="B32" s="383" t="s">
        <v>728</v>
      </c>
      <c r="C32" s="384" t="s">
        <v>650</v>
      </c>
      <c r="D32" s="409">
        <v>90000</v>
      </c>
      <c r="E32" s="1037"/>
      <c r="F32" s="386"/>
    </row>
    <row r="33" spans="1:6" ht="16.5" thickBot="1">
      <c r="A33" s="746">
        <v>30</v>
      </c>
      <c r="B33" s="383" t="s">
        <v>688</v>
      </c>
      <c r="C33" s="384" t="s">
        <v>650</v>
      </c>
      <c r="D33" s="409">
        <v>120000</v>
      </c>
      <c r="E33" s="738"/>
      <c r="F33" s="386"/>
    </row>
    <row r="34" spans="1:6" ht="17.25" thickBot="1">
      <c r="A34" s="746">
        <v>31</v>
      </c>
      <c r="B34" s="383" t="s">
        <v>91</v>
      </c>
      <c r="C34" s="384" t="s">
        <v>650</v>
      </c>
      <c r="D34" s="929"/>
      <c r="E34" s="1188">
        <v>30000</v>
      </c>
      <c r="F34" s="386"/>
    </row>
    <row r="35" spans="1:6" ht="17.25" thickBot="1">
      <c r="A35" s="746">
        <v>32</v>
      </c>
      <c r="B35" s="383" t="s">
        <v>269</v>
      </c>
      <c r="C35" s="384" t="s">
        <v>650</v>
      </c>
      <c r="D35" s="929"/>
      <c r="E35" s="1188">
        <v>150000</v>
      </c>
      <c r="F35" s="386"/>
    </row>
    <row r="36" spans="1:6" ht="16.5" thickBot="1">
      <c r="A36" s="746">
        <v>33</v>
      </c>
      <c r="B36" s="383" t="s">
        <v>651</v>
      </c>
      <c r="C36" s="384" t="s">
        <v>650</v>
      </c>
      <c r="D36" s="409">
        <v>90000</v>
      </c>
      <c r="E36" s="738"/>
      <c r="F36" s="386"/>
    </row>
    <row r="37" spans="1:6" ht="16.5" thickBot="1">
      <c r="A37" s="746">
        <v>34</v>
      </c>
      <c r="B37" s="383" t="s">
        <v>727</v>
      </c>
      <c r="C37" s="384" t="s">
        <v>650</v>
      </c>
      <c r="D37" s="409">
        <v>60000</v>
      </c>
      <c r="E37" s="738"/>
      <c r="F37" s="386"/>
    </row>
    <row r="38" spans="1:6" ht="16.5" thickBot="1">
      <c r="A38" s="746">
        <v>35</v>
      </c>
      <c r="B38" s="383" t="s">
        <v>689</v>
      </c>
      <c r="C38" s="384" t="s">
        <v>653</v>
      </c>
      <c r="D38" s="409">
        <v>30000</v>
      </c>
      <c r="E38" s="740"/>
      <c r="F38" s="386"/>
    </row>
    <row r="39" spans="1:6" ht="17.25" thickBot="1">
      <c r="A39" s="746">
        <v>36</v>
      </c>
      <c r="B39" s="383" t="s">
        <v>147</v>
      </c>
      <c r="C39" s="384" t="s">
        <v>653</v>
      </c>
      <c r="D39" s="929"/>
      <c r="E39" s="727">
        <v>150000</v>
      </c>
      <c r="F39" s="386"/>
    </row>
    <row r="40" spans="1:6" ht="16.5" thickBot="1">
      <c r="A40" s="746">
        <v>37</v>
      </c>
      <c r="B40" s="383" t="s">
        <v>656</v>
      </c>
      <c r="C40" s="384" t="s">
        <v>653</v>
      </c>
      <c r="D40" s="409">
        <v>30000</v>
      </c>
      <c r="E40" s="740"/>
      <c r="F40" s="386"/>
    </row>
    <row r="41" spans="1:6" ht="17.25" thickBot="1">
      <c r="A41" s="746">
        <v>38</v>
      </c>
      <c r="B41" s="383" t="s">
        <v>693</v>
      </c>
      <c r="C41" s="384" t="s">
        <v>668</v>
      </c>
      <c r="D41" s="409">
        <v>190000</v>
      </c>
      <c r="E41" s="1037"/>
      <c r="F41" s="386"/>
    </row>
    <row r="42" spans="1:6" ht="17.25" thickBot="1">
      <c r="A42" s="746">
        <v>39</v>
      </c>
      <c r="B42" s="383" t="s">
        <v>732</v>
      </c>
      <c r="C42" s="384" t="s">
        <v>668</v>
      </c>
      <c r="D42" s="409">
        <v>180000</v>
      </c>
      <c r="E42" s="1037"/>
      <c r="F42" s="386"/>
    </row>
    <row r="43" spans="1:6" ht="17.25" thickBot="1">
      <c r="A43" s="746">
        <v>40</v>
      </c>
      <c r="B43" s="383" t="s">
        <v>692</v>
      </c>
      <c r="C43" s="384" t="s">
        <v>668</v>
      </c>
      <c r="D43" s="409">
        <v>150000</v>
      </c>
      <c r="E43" s="1037"/>
      <c r="F43" s="386"/>
    </row>
    <row r="44" spans="1:6" ht="17.25" thickBot="1">
      <c r="A44" s="746">
        <v>41</v>
      </c>
      <c r="B44" s="383" t="s">
        <v>672</v>
      </c>
      <c r="C44" s="384" t="s">
        <v>668</v>
      </c>
      <c r="D44" s="409">
        <v>140000</v>
      </c>
      <c r="E44" s="1037"/>
      <c r="F44" s="386"/>
    </row>
    <row r="45" spans="1:6" ht="17.25" thickBot="1">
      <c r="A45" s="746">
        <v>42</v>
      </c>
      <c r="B45" s="383" t="s">
        <v>670</v>
      </c>
      <c r="C45" s="384" t="s">
        <v>668</v>
      </c>
      <c r="D45" s="409">
        <v>90000</v>
      </c>
      <c r="E45" s="1037"/>
      <c r="F45" s="386"/>
    </row>
    <row r="46" spans="1:6" ht="17.25" thickBot="1">
      <c r="A46" s="746">
        <v>43</v>
      </c>
      <c r="B46" s="383" t="s">
        <v>671</v>
      </c>
      <c r="C46" s="384" t="s">
        <v>668</v>
      </c>
      <c r="D46" s="409">
        <v>30000</v>
      </c>
      <c r="E46" s="1037"/>
      <c r="F46" s="386"/>
    </row>
    <row r="47" spans="1:6" ht="17.25" thickBot="1">
      <c r="A47" s="746">
        <v>44</v>
      </c>
      <c r="B47" s="383" t="s">
        <v>29</v>
      </c>
      <c r="C47" s="384" t="s">
        <v>668</v>
      </c>
      <c r="D47" s="929"/>
      <c r="E47" s="1188">
        <v>30000</v>
      </c>
      <c r="F47" s="386"/>
    </row>
    <row r="48" spans="1:6" ht="17.25" thickBot="1">
      <c r="A48" s="746">
        <v>45</v>
      </c>
      <c r="B48" s="383" t="s">
        <v>213</v>
      </c>
      <c r="C48" s="384" t="s">
        <v>668</v>
      </c>
      <c r="D48" s="929"/>
      <c r="E48" s="1188">
        <v>50000</v>
      </c>
      <c r="F48" s="386"/>
    </row>
    <row r="49" spans="1:6" ht="17.25" thickBot="1">
      <c r="A49" s="746">
        <v>46</v>
      </c>
      <c r="B49" s="383" t="s">
        <v>150</v>
      </c>
      <c r="C49" s="384" t="s">
        <v>674</v>
      </c>
      <c r="D49" s="929"/>
      <c r="E49" s="1188">
        <v>120000</v>
      </c>
      <c r="F49" s="386"/>
    </row>
    <row r="50" spans="1:6" ht="17.25" thickBot="1">
      <c r="A50" s="746">
        <v>47</v>
      </c>
      <c r="B50" s="383" t="s">
        <v>149</v>
      </c>
      <c r="C50" s="384" t="s">
        <v>674</v>
      </c>
      <c r="D50" s="929"/>
      <c r="E50" s="1188">
        <v>90000</v>
      </c>
      <c r="F50" s="386"/>
    </row>
    <row r="51" spans="1:6" ht="17.25" thickBot="1">
      <c r="A51" s="746">
        <v>48</v>
      </c>
      <c r="B51" s="383" t="s">
        <v>72</v>
      </c>
      <c r="C51" s="384" t="s">
        <v>674</v>
      </c>
      <c r="D51" s="929"/>
      <c r="E51" s="1188">
        <v>60000</v>
      </c>
      <c r="F51" s="386"/>
    </row>
    <row r="52" spans="1:6" ht="17.25" thickBot="1">
      <c r="A52" s="746">
        <v>49</v>
      </c>
      <c r="B52" s="383" t="s">
        <v>675</v>
      </c>
      <c r="C52" s="384" t="s">
        <v>674</v>
      </c>
      <c r="D52" s="409">
        <v>30000</v>
      </c>
      <c r="E52" s="1037"/>
      <c r="F52" s="386"/>
    </row>
    <row r="53" spans="1:6" ht="16.5" thickBot="1">
      <c r="A53" s="401" t="s">
        <v>758</v>
      </c>
      <c r="B53" s="402"/>
      <c r="C53" s="336"/>
      <c r="D53" s="388">
        <v>2370000</v>
      </c>
      <c r="E53" s="1038">
        <v>1680000</v>
      </c>
      <c r="F53" s="389"/>
    </row>
    <row r="54" spans="1:6" ht="16.5" customHeight="1" thickBot="1">
      <c r="A54" s="401" t="s">
        <v>864</v>
      </c>
      <c r="B54" s="402"/>
      <c r="C54" s="336"/>
      <c r="D54" s="403">
        <v>4050000</v>
      </c>
      <c r="E54" s="1189"/>
      <c r="F54" s="390"/>
    </row>
    <row r="55" spans="1:6">
      <c r="A55" s="1175"/>
    </row>
    <row r="56" spans="1:6">
      <c r="A56" s="284"/>
    </row>
    <row r="57" spans="1:6">
      <c r="A57" s="284"/>
    </row>
    <row r="58" spans="1:6">
      <c r="A58" s="284"/>
    </row>
    <row r="59" spans="1:6">
      <c r="A59" s="284"/>
    </row>
    <row r="60" spans="1:6">
      <c r="A60" s="284"/>
    </row>
    <row r="61" spans="1:6">
      <c r="A61" s="284"/>
    </row>
    <row r="62" spans="1:6">
      <c r="A62" s="284"/>
    </row>
    <row r="63" spans="1:6" ht="15.75">
      <c r="A63" s="691"/>
      <c r="B63" s="247"/>
    </row>
    <row r="64" spans="1:6" ht="49.5">
      <c r="A64" s="594" t="s">
        <v>111</v>
      </c>
      <c r="B64" s="247" t="s">
        <v>932</v>
      </c>
    </row>
    <row r="65" spans="1:6" ht="82.5">
      <c r="A65" s="594" t="s">
        <v>113</v>
      </c>
      <c r="B65" s="588" t="s">
        <v>114</v>
      </c>
    </row>
    <row r="66" spans="1:6" ht="33">
      <c r="A66" s="588" t="s">
        <v>1167</v>
      </c>
      <c r="B66" s="248"/>
    </row>
    <row r="67" spans="1:6" ht="99">
      <c r="A67" s="588" t="s">
        <v>116</v>
      </c>
      <c r="B67" s="248"/>
    </row>
    <row r="68" spans="1:6" ht="16.5">
      <c r="A68" s="246"/>
      <c r="B68" s="248"/>
    </row>
    <row r="69" spans="1:6" ht="15.75">
      <c r="A69" s="205" t="s">
        <v>678</v>
      </c>
    </row>
    <row r="70" spans="1:6" ht="15.75">
      <c r="A70" s="205"/>
    </row>
    <row r="71" spans="1:6">
      <c r="A71" s="686" t="s">
        <v>1502</v>
      </c>
    </row>
    <row r="72" spans="1:6" ht="15.75">
      <c r="A72" s="232" t="s">
        <v>2044</v>
      </c>
    </row>
    <row r="73" spans="1:6" ht="16.5" thickBot="1">
      <c r="A73" s="232"/>
    </row>
    <row r="74" spans="1:6" ht="31.5" customHeight="1" thickBot="1">
      <c r="A74" s="380" t="s">
        <v>0</v>
      </c>
      <c r="B74" s="380" t="s">
        <v>121</v>
      </c>
      <c r="C74" s="380" t="s">
        <v>632</v>
      </c>
      <c r="D74" s="398" t="s">
        <v>894</v>
      </c>
      <c r="E74" s="399"/>
      <c r="F74" s="380" t="s">
        <v>699</v>
      </c>
    </row>
    <row r="75" spans="1:6" ht="16.5" thickBot="1">
      <c r="A75" s="400"/>
      <c r="B75" s="400"/>
      <c r="C75" s="400"/>
      <c r="D75" s="381" t="s">
        <v>828</v>
      </c>
      <c r="E75" s="381" t="s">
        <v>829</v>
      </c>
      <c r="F75" s="400"/>
    </row>
    <row r="76" spans="1:6" ht="16.5" thickBot="1">
      <c r="A76" s="382">
        <v>1</v>
      </c>
      <c r="B76" s="690" t="s">
        <v>687</v>
      </c>
      <c r="C76" s="1002" t="s">
        <v>649</v>
      </c>
      <c r="D76" s="387">
        <v>400</v>
      </c>
      <c r="E76" s="738"/>
      <c r="F76" s="1002" t="s">
        <v>1503</v>
      </c>
    </row>
    <row r="77" spans="1:6" ht="16.5" thickBot="1">
      <c r="A77" s="401" t="s">
        <v>758</v>
      </c>
      <c r="B77" s="402"/>
      <c r="C77" s="336"/>
      <c r="D77" s="388">
        <v>400000</v>
      </c>
      <c r="E77" s="1103"/>
      <c r="F77" s="389"/>
    </row>
    <row r="78" spans="1:6" ht="16.5" customHeight="1" thickBot="1">
      <c r="A78" s="401" t="s">
        <v>864</v>
      </c>
      <c r="B78" s="402"/>
      <c r="C78" s="336"/>
      <c r="D78" s="403">
        <v>400000</v>
      </c>
      <c r="E78" s="1189"/>
      <c r="F78" s="390"/>
    </row>
    <row r="79" spans="1:6">
      <c r="A79" s="244"/>
    </row>
    <row r="80" spans="1:6">
      <c r="A80" s="244"/>
    </row>
    <row r="81" spans="1:1">
      <c r="A81" s="244"/>
    </row>
    <row r="82" spans="1:1">
      <c r="A82" s="244"/>
    </row>
    <row r="83" spans="1:1">
      <c r="A83" s="244"/>
    </row>
    <row r="84" spans="1:1">
      <c r="A84" s="244"/>
    </row>
    <row r="85" spans="1:1">
      <c r="A85" s="244"/>
    </row>
    <row r="86" spans="1:1">
      <c r="A86" s="244"/>
    </row>
    <row r="87" spans="1:1">
      <c r="A87" s="244"/>
    </row>
    <row r="88" spans="1:1">
      <c r="A88" s="244"/>
    </row>
    <row r="89" spans="1:1">
      <c r="A89" s="244"/>
    </row>
    <row r="90" spans="1:1">
      <c r="A90" s="244"/>
    </row>
    <row r="91" spans="1:1">
      <c r="A91" s="244"/>
    </row>
    <row r="92" spans="1:1">
      <c r="A92" s="244"/>
    </row>
    <row r="93" spans="1:1">
      <c r="A93" s="244"/>
    </row>
    <row r="94" spans="1:1">
      <c r="A94" s="244"/>
    </row>
    <row r="95" spans="1:1">
      <c r="A95" s="244"/>
    </row>
    <row r="96" spans="1:1">
      <c r="A96" s="244"/>
    </row>
    <row r="97" spans="1:4">
      <c r="A97" s="244"/>
    </row>
    <row r="98" spans="1:4">
      <c r="A98" s="244"/>
    </row>
    <row r="99" spans="1:4">
      <c r="A99" s="244"/>
    </row>
    <row r="100" spans="1:4" ht="15.75">
      <c r="A100" s="691"/>
      <c r="B100" s="247"/>
    </row>
    <row r="101" spans="1:4" ht="49.5">
      <c r="A101" s="594" t="s">
        <v>111</v>
      </c>
      <c r="B101" s="247" t="s">
        <v>932</v>
      </c>
    </row>
    <row r="102" spans="1:4" ht="82.5">
      <c r="A102" s="594" t="s">
        <v>113</v>
      </c>
      <c r="B102" s="588" t="s">
        <v>114</v>
      </c>
    </row>
    <row r="103" spans="1:4" ht="33">
      <c r="A103" s="588" t="s">
        <v>1167</v>
      </c>
      <c r="B103" s="248"/>
    </row>
    <row r="104" spans="1:4" ht="99">
      <c r="A104" s="588" t="s">
        <v>116</v>
      </c>
      <c r="B104" s="248"/>
    </row>
    <row r="105" spans="1:4" ht="16.5">
      <c r="A105" s="246"/>
      <c r="B105" s="248"/>
    </row>
    <row r="106" spans="1:4" ht="15.75">
      <c r="A106" s="205" t="s">
        <v>696</v>
      </c>
    </row>
    <row r="107" spans="1:4" ht="15.75">
      <c r="A107" s="205"/>
    </row>
    <row r="108" spans="1:4" ht="15.75">
      <c r="A108" s="205" t="s">
        <v>1717</v>
      </c>
    </row>
    <row r="109" spans="1:4" ht="15.75">
      <c r="A109" s="232" t="s">
        <v>2045</v>
      </c>
    </row>
    <row r="110" spans="1:4" ht="15.75" thickBot="1">
      <c r="A110" s="987"/>
    </row>
    <row r="111" spans="1:4" ht="48" thickBot="1">
      <c r="A111" s="252" t="s">
        <v>0</v>
      </c>
      <c r="B111" s="253" t="s">
        <v>632</v>
      </c>
      <c r="C111" s="988" t="s">
        <v>894</v>
      </c>
      <c r="D111" s="989" t="s">
        <v>634</v>
      </c>
    </row>
    <row r="112" spans="1:4" ht="32.25" thickBot="1">
      <c r="A112" s="273">
        <v>1</v>
      </c>
      <c r="B112" s="256" t="s">
        <v>1450</v>
      </c>
      <c r="C112" s="1176" t="s">
        <v>707</v>
      </c>
      <c r="D112" s="413"/>
    </row>
    <row r="113" spans="1:4" ht="16.5" thickBot="1">
      <c r="A113" s="273">
        <v>2</v>
      </c>
      <c r="B113" s="256" t="s">
        <v>836</v>
      </c>
      <c r="C113" s="1176">
        <v>250</v>
      </c>
      <c r="D113" s="413"/>
    </row>
    <row r="114" spans="1:4" ht="16.5" thickBot="1">
      <c r="A114" s="273">
        <v>3</v>
      </c>
      <c r="B114" s="256" t="s">
        <v>837</v>
      </c>
      <c r="C114" s="1176">
        <v>250</v>
      </c>
      <c r="D114" s="413"/>
    </row>
    <row r="115" spans="1:4" ht="16.5" thickBot="1">
      <c r="A115" s="273">
        <v>4</v>
      </c>
      <c r="B115" s="256" t="s">
        <v>1920</v>
      </c>
      <c r="C115" s="1176">
        <v>250</v>
      </c>
      <c r="D115" s="413"/>
    </row>
    <row r="116" spans="1:4" ht="32.25" thickBot="1">
      <c r="A116" s="288" t="s">
        <v>758</v>
      </c>
      <c r="B116" s="289"/>
      <c r="C116" s="283" t="s">
        <v>1547</v>
      </c>
      <c r="D116" s="418"/>
    </row>
    <row r="117" spans="1:4">
      <c r="A117" s="244"/>
    </row>
    <row r="118" spans="1:4">
      <c r="A118" s="244"/>
    </row>
    <row r="119" spans="1:4">
      <c r="A119" s="244"/>
    </row>
    <row r="120" spans="1:4">
      <c r="A120" s="244"/>
    </row>
    <row r="121" spans="1:4">
      <c r="A121" s="244"/>
    </row>
    <row r="122" spans="1:4">
      <c r="A122" s="244"/>
    </row>
    <row r="123" spans="1:4">
      <c r="A123" s="244"/>
    </row>
    <row r="124" spans="1:4">
      <c r="A124" s="244"/>
    </row>
    <row r="125" spans="1:4">
      <c r="A125" s="244"/>
    </row>
    <row r="126" spans="1:4">
      <c r="A126" s="244"/>
    </row>
    <row r="127" spans="1:4">
      <c r="A127" s="244"/>
    </row>
    <row r="128" spans="1:4">
      <c r="A128" s="244"/>
    </row>
    <row r="129" spans="1:1">
      <c r="A129" s="244"/>
    </row>
    <row r="130" spans="1:1">
      <c r="A130" s="244"/>
    </row>
    <row r="131" spans="1:1">
      <c r="A131" s="244"/>
    </row>
    <row r="132" spans="1:1">
      <c r="A132" s="244"/>
    </row>
    <row r="133" spans="1:1">
      <c r="A133" s="244"/>
    </row>
    <row r="134" spans="1:1">
      <c r="A134" s="244"/>
    </row>
    <row r="135" spans="1:1">
      <c r="A135" s="284"/>
    </row>
  </sheetData>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7"/>
  <sheetViews>
    <sheetView workbookViewId="0">
      <selection activeCell="C11" sqref="C11"/>
    </sheetView>
  </sheetViews>
  <sheetFormatPr defaultRowHeight="15"/>
  <cols>
    <col min="2" max="2" width="34.28515625" customWidth="1"/>
    <col min="5" max="5" width="18.85546875" style="68" customWidth="1"/>
  </cols>
  <sheetData>
    <row r="1" spans="1:7" ht="15.75" customHeight="1" thickBot="1">
      <c r="A1" s="939" t="s">
        <v>0</v>
      </c>
      <c r="B1" s="939" t="s">
        <v>121</v>
      </c>
      <c r="C1" s="939" t="s">
        <v>632</v>
      </c>
      <c r="D1" s="941" t="s">
        <v>894</v>
      </c>
      <c r="E1" s="1195"/>
      <c r="F1" s="942"/>
      <c r="G1" s="939" t="s">
        <v>699</v>
      </c>
    </row>
    <row r="2" spans="1:7" ht="15.75" thickBot="1">
      <c r="A2" s="943"/>
      <c r="B2" s="943"/>
      <c r="C2" s="943"/>
      <c r="D2" s="940" t="s">
        <v>828</v>
      </c>
      <c r="E2" s="940" t="s">
        <v>829</v>
      </c>
      <c r="F2" s="940" t="s">
        <v>2054</v>
      </c>
      <c r="G2" s="943"/>
    </row>
    <row r="3" spans="1:7" ht="16.5" thickBot="1">
      <c r="A3" s="382">
        <v>1</v>
      </c>
      <c r="B3" s="690" t="s">
        <v>641</v>
      </c>
      <c r="C3" s="1002" t="s">
        <v>636</v>
      </c>
      <c r="D3" s="976">
        <v>54000</v>
      </c>
      <c r="E3" s="740"/>
      <c r="F3" s="387"/>
      <c r="G3" s="387"/>
    </row>
    <row r="4" spans="1:7" ht="32.25" customHeight="1" thickBot="1">
      <c r="A4" s="382">
        <v>2</v>
      </c>
      <c r="B4" s="690" t="s">
        <v>98</v>
      </c>
      <c r="C4" s="1002" t="s">
        <v>636</v>
      </c>
      <c r="D4" s="387"/>
      <c r="E4" s="1179">
        <v>4500</v>
      </c>
      <c r="F4" s="387"/>
      <c r="G4" s="387"/>
    </row>
    <row r="5" spans="1:7" ht="48" customHeight="1" thickBot="1">
      <c r="A5" s="382">
        <v>3</v>
      </c>
      <c r="B5" s="690" t="s">
        <v>207</v>
      </c>
      <c r="C5" s="1002" t="s">
        <v>642</v>
      </c>
      <c r="D5" s="387"/>
      <c r="E5" s="1179">
        <v>346250</v>
      </c>
      <c r="F5" s="387"/>
      <c r="G5" s="387"/>
    </row>
    <row r="6" spans="1:7" ht="32.25" customHeight="1" thickBot="1">
      <c r="A6" s="382">
        <v>4</v>
      </c>
      <c r="B6" s="690" t="s">
        <v>644</v>
      </c>
      <c r="C6" s="1002" t="s">
        <v>642</v>
      </c>
      <c r="D6" s="387"/>
      <c r="E6" s="1179">
        <v>317200</v>
      </c>
      <c r="F6" s="387"/>
      <c r="G6" s="387"/>
    </row>
    <row r="7" spans="1:7" ht="48" customHeight="1" thickBot="1">
      <c r="A7" s="382">
        <v>5</v>
      </c>
      <c r="B7" s="690" t="s">
        <v>1458</v>
      </c>
      <c r="C7" s="1002" t="s">
        <v>642</v>
      </c>
      <c r="D7" s="387"/>
      <c r="E7" s="1179">
        <v>312550</v>
      </c>
      <c r="F7" s="387"/>
      <c r="G7" s="387"/>
    </row>
    <row r="8" spans="1:7" ht="32.25" customHeight="1" thickBot="1">
      <c r="A8" s="382">
        <v>6</v>
      </c>
      <c r="B8" s="690" t="s">
        <v>153</v>
      </c>
      <c r="C8" s="1002" t="s">
        <v>642</v>
      </c>
      <c r="D8" s="387"/>
      <c r="E8" s="1179">
        <v>7000</v>
      </c>
      <c r="F8" s="387"/>
      <c r="G8" s="387"/>
    </row>
    <row r="9" spans="1:7" ht="48" customHeight="1" thickBot="1">
      <c r="A9" s="382">
        <v>7</v>
      </c>
      <c r="B9" s="690" t="s">
        <v>755</v>
      </c>
      <c r="C9" s="1002" t="s">
        <v>642</v>
      </c>
      <c r="D9" s="976">
        <v>81000</v>
      </c>
      <c r="E9" s="740"/>
      <c r="F9" s="387"/>
      <c r="G9" s="387"/>
    </row>
    <row r="10" spans="1:7" ht="48" customHeight="1" thickBot="1">
      <c r="A10" s="382">
        <v>8</v>
      </c>
      <c r="B10" s="690" t="s">
        <v>681</v>
      </c>
      <c r="C10" s="1002" t="s">
        <v>642</v>
      </c>
      <c r="D10" s="387"/>
      <c r="E10" s="1179">
        <v>8000</v>
      </c>
      <c r="F10" s="387"/>
      <c r="G10" s="387"/>
    </row>
    <row r="11" spans="1:7" ht="48" customHeight="1" thickBot="1">
      <c r="A11" s="382">
        <v>9</v>
      </c>
      <c r="B11" s="690" t="s">
        <v>716</v>
      </c>
      <c r="C11" s="1002" t="s">
        <v>642</v>
      </c>
      <c r="D11" s="387"/>
      <c r="E11" s="1179">
        <v>20500</v>
      </c>
      <c r="F11" s="387"/>
      <c r="G11" s="387"/>
    </row>
    <row r="12" spans="1:7" ht="48" customHeight="1" thickBot="1">
      <c r="A12" s="382">
        <v>10</v>
      </c>
      <c r="B12" s="690" t="s">
        <v>94</v>
      </c>
      <c r="C12" s="1002" t="s">
        <v>642</v>
      </c>
      <c r="D12" s="387"/>
      <c r="E12" s="1179">
        <v>75000</v>
      </c>
      <c r="F12" s="387"/>
      <c r="G12" s="387"/>
    </row>
    <row r="13" spans="1:7" ht="63.75" customHeight="1" thickBot="1">
      <c r="A13" s="382">
        <v>11</v>
      </c>
      <c r="B13" s="690" t="s">
        <v>289</v>
      </c>
      <c r="C13" s="1002" t="s">
        <v>646</v>
      </c>
      <c r="D13" s="387"/>
      <c r="E13" s="1179">
        <v>240000</v>
      </c>
      <c r="F13" s="387"/>
      <c r="G13" s="387"/>
    </row>
    <row r="14" spans="1:7" ht="48" customHeight="1" thickBot="1">
      <c r="A14" s="382">
        <v>12</v>
      </c>
      <c r="B14" s="690" t="s">
        <v>282</v>
      </c>
      <c r="C14" s="1002" t="s">
        <v>646</v>
      </c>
      <c r="D14" s="387"/>
      <c r="E14" s="1179">
        <v>90950</v>
      </c>
      <c r="F14" s="387"/>
      <c r="G14" s="387"/>
    </row>
    <row r="15" spans="1:7" ht="48" customHeight="1" thickBot="1">
      <c r="A15" s="382">
        <v>13</v>
      </c>
      <c r="B15" s="690" t="s">
        <v>722</v>
      </c>
      <c r="C15" s="1002" t="s">
        <v>646</v>
      </c>
      <c r="D15" s="976">
        <v>98700</v>
      </c>
      <c r="E15" s="740"/>
      <c r="F15" s="387"/>
      <c r="G15" s="387"/>
    </row>
    <row r="16" spans="1:7" ht="32.25" customHeight="1" thickBot="1">
      <c r="A16" s="382">
        <v>14</v>
      </c>
      <c r="B16" s="690" t="s">
        <v>723</v>
      </c>
      <c r="C16" s="1002" t="s">
        <v>646</v>
      </c>
      <c r="D16" s="976">
        <v>96000</v>
      </c>
      <c r="E16" s="740"/>
      <c r="F16" s="387"/>
      <c r="G16" s="387"/>
    </row>
    <row r="17" spans="1:7" ht="48" customHeight="1" thickBot="1">
      <c r="A17" s="382">
        <v>15</v>
      </c>
      <c r="B17" s="690" t="s">
        <v>168</v>
      </c>
      <c r="C17" s="1002" t="s">
        <v>646</v>
      </c>
      <c r="D17" s="387"/>
      <c r="E17" s="1179">
        <v>4500</v>
      </c>
      <c r="F17" s="387"/>
      <c r="G17" s="387"/>
    </row>
    <row r="18" spans="1:7" ht="48" customHeight="1" thickBot="1">
      <c r="A18" s="382">
        <v>16</v>
      </c>
      <c r="B18" s="690" t="s">
        <v>1314</v>
      </c>
      <c r="C18" s="1002" t="s">
        <v>646</v>
      </c>
      <c r="D18" s="387"/>
      <c r="E18" s="1179">
        <v>4500</v>
      </c>
      <c r="F18" s="387"/>
      <c r="G18" s="387"/>
    </row>
    <row r="19" spans="1:7" ht="48" customHeight="1" thickBot="1">
      <c r="A19" s="382">
        <v>17</v>
      </c>
      <c r="B19" s="690" t="s">
        <v>685</v>
      </c>
      <c r="C19" s="1002" t="s">
        <v>649</v>
      </c>
      <c r="D19" s="976">
        <v>48250</v>
      </c>
      <c r="E19" s="740"/>
      <c r="F19" s="387"/>
      <c r="G19" s="387"/>
    </row>
    <row r="20" spans="1:7" ht="48" customHeight="1" thickBot="1">
      <c r="A20" s="382">
        <v>18</v>
      </c>
      <c r="B20" s="690" t="s">
        <v>687</v>
      </c>
      <c r="C20" s="1002" t="s">
        <v>649</v>
      </c>
      <c r="D20" s="976">
        <v>83750</v>
      </c>
      <c r="E20" s="740"/>
      <c r="F20" s="387"/>
      <c r="G20" s="387"/>
    </row>
    <row r="21" spans="1:7" ht="48" customHeight="1" thickBot="1">
      <c r="A21" s="382">
        <v>19</v>
      </c>
      <c r="B21" s="690" t="s">
        <v>721</v>
      </c>
      <c r="C21" s="1002" t="s">
        <v>649</v>
      </c>
      <c r="D21" s="387"/>
      <c r="E21" s="1179">
        <v>29500</v>
      </c>
      <c r="F21" s="387"/>
      <c r="G21" s="387"/>
    </row>
    <row r="22" spans="1:7" ht="48" customHeight="1" thickBot="1">
      <c r="A22" s="382">
        <v>20</v>
      </c>
      <c r="B22" s="690" t="s">
        <v>686</v>
      </c>
      <c r="C22" s="1002" t="s">
        <v>649</v>
      </c>
      <c r="D22" s="976">
        <v>10000</v>
      </c>
      <c r="E22" s="740"/>
      <c r="F22" s="387"/>
      <c r="G22" s="387"/>
    </row>
    <row r="23" spans="1:7" ht="48" customHeight="1" thickBot="1">
      <c r="A23" s="382">
        <v>21</v>
      </c>
      <c r="B23" s="690" t="s">
        <v>205</v>
      </c>
      <c r="C23" s="1002" t="s">
        <v>649</v>
      </c>
      <c r="D23" s="387"/>
      <c r="E23" s="1179">
        <v>15000</v>
      </c>
      <c r="F23" s="387"/>
      <c r="G23" s="387"/>
    </row>
    <row r="24" spans="1:7" ht="48" customHeight="1" thickBot="1">
      <c r="A24" s="382">
        <v>22</v>
      </c>
      <c r="B24" s="690" t="s">
        <v>269</v>
      </c>
      <c r="C24" s="1002" t="s">
        <v>650</v>
      </c>
      <c r="D24" s="387"/>
      <c r="E24" s="1179">
        <v>171000</v>
      </c>
      <c r="F24" s="387"/>
      <c r="G24" s="387"/>
    </row>
    <row r="25" spans="1:7" ht="32.25" customHeight="1" thickBot="1">
      <c r="A25" s="382">
        <v>23</v>
      </c>
      <c r="B25" s="690" t="s">
        <v>765</v>
      </c>
      <c r="C25" s="1002" t="s">
        <v>650</v>
      </c>
      <c r="D25" s="387"/>
      <c r="E25" s="1179">
        <v>22000</v>
      </c>
      <c r="F25" s="387"/>
      <c r="G25" s="387"/>
    </row>
    <row r="26" spans="1:7" ht="63.75" customHeight="1" thickBot="1">
      <c r="A26" s="382">
        <v>24</v>
      </c>
      <c r="B26" s="690" t="s">
        <v>89</v>
      </c>
      <c r="C26" s="1002" t="s">
        <v>650</v>
      </c>
      <c r="D26" s="387"/>
      <c r="E26" s="1179">
        <v>15000</v>
      </c>
      <c r="F26" s="387"/>
      <c r="G26" s="387"/>
    </row>
    <row r="27" spans="1:7" ht="48" customHeight="1" thickBot="1">
      <c r="A27" s="382">
        <v>25</v>
      </c>
      <c r="B27" s="690" t="s">
        <v>728</v>
      </c>
      <c r="C27" s="1002" t="s">
        <v>650</v>
      </c>
      <c r="D27" s="976">
        <v>4500</v>
      </c>
      <c r="E27" s="740"/>
      <c r="F27" s="387"/>
      <c r="G27" s="387"/>
    </row>
    <row r="28" spans="1:7" ht="63.75" customHeight="1" thickBot="1">
      <c r="A28" s="382">
        <v>26</v>
      </c>
      <c r="B28" s="690" t="s">
        <v>142</v>
      </c>
      <c r="C28" s="1002" t="s">
        <v>746</v>
      </c>
      <c r="D28" s="387"/>
      <c r="E28" s="1179">
        <v>25500</v>
      </c>
      <c r="F28" s="387"/>
      <c r="G28" s="387"/>
    </row>
    <row r="29" spans="1:7" ht="48" customHeight="1" thickBot="1">
      <c r="A29" s="382">
        <v>27</v>
      </c>
      <c r="B29" s="690" t="s">
        <v>747</v>
      </c>
      <c r="C29" s="1002" t="s">
        <v>746</v>
      </c>
      <c r="D29" s="976">
        <v>3500</v>
      </c>
      <c r="E29" s="740"/>
      <c r="F29" s="387"/>
      <c r="G29" s="387"/>
    </row>
    <row r="30" spans="1:7" ht="32.25" customHeight="1" thickBot="1">
      <c r="A30" s="382">
        <v>28</v>
      </c>
      <c r="B30" s="690" t="s">
        <v>659</v>
      </c>
      <c r="C30" s="1002" t="s">
        <v>653</v>
      </c>
      <c r="D30" s="976">
        <v>78000</v>
      </c>
      <c r="E30" s="740"/>
      <c r="F30" s="387"/>
      <c r="G30" s="387"/>
    </row>
    <row r="31" spans="1:7" ht="48" customHeight="1" thickBot="1">
      <c r="A31" s="382">
        <v>29</v>
      </c>
      <c r="B31" s="690" t="s">
        <v>654</v>
      </c>
      <c r="C31" s="1002" t="s">
        <v>653</v>
      </c>
      <c r="D31" s="976">
        <v>180000</v>
      </c>
      <c r="E31" s="740"/>
      <c r="F31" s="387"/>
      <c r="G31" s="387"/>
    </row>
    <row r="32" spans="1:7" ht="48" customHeight="1" thickBot="1">
      <c r="A32" s="382">
        <v>30</v>
      </c>
      <c r="B32" s="690" t="s">
        <v>656</v>
      </c>
      <c r="C32" s="1002" t="s">
        <v>653</v>
      </c>
      <c r="D32" s="976">
        <v>77750</v>
      </c>
      <c r="E32" s="740"/>
      <c r="F32" s="387"/>
      <c r="G32" s="387"/>
    </row>
    <row r="33" spans="1:7" ht="32.25" customHeight="1" thickBot="1">
      <c r="A33" s="382">
        <v>31</v>
      </c>
      <c r="B33" s="690" t="s">
        <v>658</v>
      </c>
      <c r="C33" s="1002" t="s">
        <v>653</v>
      </c>
      <c r="D33" s="976">
        <v>54500</v>
      </c>
      <c r="E33" s="740"/>
      <c r="F33" s="387"/>
      <c r="G33" s="387"/>
    </row>
    <row r="34" spans="1:7" ht="48" customHeight="1" thickBot="1">
      <c r="A34" s="382">
        <v>32</v>
      </c>
      <c r="B34" s="690" t="s">
        <v>743</v>
      </c>
      <c r="C34" s="1002" t="s">
        <v>653</v>
      </c>
      <c r="D34" s="976">
        <v>190800</v>
      </c>
      <c r="E34" s="740"/>
      <c r="F34" s="387"/>
      <c r="G34" s="387"/>
    </row>
    <row r="35" spans="1:7" ht="32.25" customHeight="1" thickBot="1">
      <c r="A35" s="382">
        <v>33</v>
      </c>
      <c r="B35" s="690" t="s">
        <v>655</v>
      </c>
      <c r="C35" s="1002" t="s">
        <v>653</v>
      </c>
      <c r="D35" s="976">
        <v>10000</v>
      </c>
      <c r="E35" s="740"/>
      <c r="F35" s="387"/>
      <c r="G35" s="387"/>
    </row>
    <row r="36" spans="1:7" ht="32.25" customHeight="1" thickBot="1">
      <c r="A36" s="382">
        <v>34</v>
      </c>
      <c r="B36" s="690" t="s">
        <v>146</v>
      </c>
      <c r="C36" s="1002" t="s">
        <v>653</v>
      </c>
      <c r="D36" s="387"/>
      <c r="E36" s="1179">
        <v>31500</v>
      </c>
      <c r="F36" s="387"/>
      <c r="G36" s="387"/>
    </row>
    <row r="37" spans="1:7" ht="32.25" customHeight="1" thickBot="1">
      <c r="A37" s="382">
        <v>35</v>
      </c>
      <c r="B37" s="690" t="s">
        <v>151</v>
      </c>
      <c r="C37" s="1002" t="s">
        <v>653</v>
      </c>
      <c r="D37" s="387"/>
      <c r="E37" s="1179">
        <v>12000</v>
      </c>
      <c r="F37" s="387"/>
      <c r="G37" s="387"/>
    </row>
    <row r="38" spans="1:7" ht="48" customHeight="1" thickBot="1">
      <c r="A38" s="382">
        <v>36</v>
      </c>
      <c r="B38" s="690" t="s">
        <v>56</v>
      </c>
      <c r="C38" s="1002" t="s">
        <v>653</v>
      </c>
      <c r="D38" s="387"/>
      <c r="E38" s="1179">
        <v>600000</v>
      </c>
      <c r="F38" s="387"/>
      <c r="G38" s="387"/>
    </row>
    <row r="39" spans="1:7" ht="48" customHeight="1" thickBot="1">
      <c r="A39" s="382">
        <v>37</v>
      </c>
      <c r="B39" s="690" t="s">
        <v>50</v>
      </c>
      <c r="C39" s="1002" t="s">
        <v>653</v>
      </c>
      <c r="D39" s="387"/>
      <c r="E39" s="1179">
        <v>500000</v>
      </c>
      <c r="F39" s="387"/>
      <c r="G39" s="387"/>
    </row>
    <row r="40" spans="1:7" ht="48" customHeight="1" thickBot="1">
      <c r="A40" s="382">
        <v>38</v>
      </c>
      <c r="B40" s="690" t="s">
        <v>670</v>
      </c>
      <c r="C40" s="1002" t="s">
        <v>668</v>
      </c>
      <c r="D40" s="976">
        <v>190500</v>
      </c>
      <c r="E40" s="740"/>
      <c r="F40" s="387"/>
      <c r="G40" s="387"/>
    </row>
    <row r="41" spans="1:7" ht="48" customHeight="1" thickBot="1">
      <c r="A41" s="382">
        <v>39</v>
      </c>
      <c r="B41" s="690" t="s">
        <v>39</v>
      </c>
      <c r="C41" s="1002" t="s">
        <v>668</v>
      </c>
      <c r="D41" s="387"/>
      <c r="E41" s="1179">
        <v>1629000</v>
      </c>
      <c r="F41" s="387"/>
      <c r="G41" s="387"/>
    </row>
    <row r="42" spans="1:7" ht="63.75" customHeight="1" thickBot="1">
      <c r="A42" s="382">
        <v>40</v>
      </c>
      <c r="B42" s="690" t="s">
        <v>692</v>
      </c>
      <c r="C42" s="1002" t="s">
        <v>668</v>
      </c>
      <c r="D42" s="976">
        <v>38250</v>
      </c>
      <c r="E42" s="740"/>
      <c r="F42" s="387"/>
      <c r="G42" s="387"/>
    </row>
    <row r="43" spans="1:7" ht="48" customHeight="1" thickBot="1">
      <c r="A43" s="382">
        <v>41</v>
      </c>
      <c r="B43" s="690" t="s">
        <v>757</v>
      </c>
      <c r="C43" s="1002" t="s">
        <v>668</v>
      </c>
      <c r="D43" s="976">
        <v>105000</v>
      </c>
      <c r="E43" s="740"/>
      <c r="F43" s="387"/>
      <c r="G43" s="387"/>
    </row>
    <row r="44" spans="1:7" ht="48" customHeight="1" thickBot="1">
      <c r="A44" s="382">
        <v>42</v>
      </c>
      <c r="B44" s="690" t="s">
        <v>213</v>
      </c>
      <c r="C44" s="1002" t="s">
        <v>668</v>
      </c>
      <c r="D44" s="387" t="s">
        <v>1298</v>
      </c>
      <c r="E44" s="1179">
        <v>75000</v>
      </c>
      <c r="F44" s="387"/>
      <c r="G44" s="387"/>
    </row>
    <row r="45" spans="1:7" ht="32.25" thickBot="1">
      <c r="A45" s="382">
        <v>43</v>
      </c>
      <c r="B45" s="690" t="s">
        <v>846</v>
      </c>
      <c r="C45" s="1002" t="s">
        <v>1179</v>
      </c>
      <c r="D45" s="387"/>
      <c r="E45" s="740"/>
      <c r="F45" s="976">
        <v>10500</v>
      </c>
      <c r="G45" s="387"/>
    </row>
    <row r="46" spans="1:7" ht="48" customHeight="1" thickBot="1">
      <c r="A46" s="382">
        <v>44</v>
      </c>
      <c r="B46" s="690" t="s">
        <v>2055</v>
      </c>
      <c r="C46" s="1002" t="s">
        <v>1179</v>
      </c>
      <c r="D46" s="387"/>
      <c r="E46" s="740"/>
      <c r="F46" s="976">
        <v>10500</v>
      </c>
      <c r="G46" s="387"/>
    </row>
    <row r="47" spans="1:7" ht="48" customHeight="1" thickBot="1">
      <c r="A47" s="382">
        <v>45</v>
      </c>
      <c r="B47" s="690" t="s">
        <v>850</v>
      </c>
      <c r="C47" s="1002" t="s">
        <v>1179</v>
      </c>
      <c r="D47" s="387"/>
      <c r="E47" s="740"/>
      <c r="F47" s="976">
        <v>10500</v>
      </c>
      <c r="G47" s="387"/>
    </row>
    <row r="48" spans="1:7" ht="32.25" thickBot="1">
      <c r="A48" s="382">
        <v>46</v>
      </c>
      <c r="B48" s="690" t="s">
        <v>768</v>
      </c>
      <c r="C48" s="1002" t="s">
        <v>1179</v>
      </c>
      <c r="D48" s="387"/>
      <c r="E48" s="740"/>
      <c r="F48" s="976">
        <v>7000</v>
      </c>
      <c r="G48" s="387"/>
    </row>
    <row r="49" spans="1:7" ht="48" customHeight="1" thickBot="1">
      <c r="A49" s="382">
        <v>47</v>
      </c>
      <c r="B49" s="690" t="s">
        <v>851</v>
      </c>
      <c r="C49" s="1002" t="s">
        <v>1179</v>
      </c>
      <c r="D49" s="387"/>
      <c r="E49" s="740"/>
      <c r="F49" s="976">
        <v>8000</v>
      </c>
      <c r="G49" s="387"/>
    </row>
    <row r="50" spans="1:7" ht="32.25" thickBot="1">
      <c r="A50" s="382">
        <v>48</v>
      </c>
      <c r="B50" s="690" t="s">
        <v>1479</v>
      </c>
      <c r="C50" s="1002" t="s">
        <v>1179</v>
      </c>
      <c r="D50" s="387"/>
      <c r="E50" s="740"/>
      <c r="F50" s="976">
        <v>7000</v>
      </c>
      <c r="G50" s="387"/>
    </row>
    <row r="51" spans="1:7" ht="48" customHeight="1" thickBot="1">
      <c r="A51" s="382">
        <v>49</v>
      </c>
      <c r="B51" s="690" t="s">
        <v>1191</v>
      </c>
      <c r="C51" s="1002" t="s">
        <v>1182</v>
      </c>
      <c r="D51" s="387"/>
      <c r="E51" s="740"/>
      <c r="F51" s="976">
        <v>10500</v>
      </c>
      <c r="G51" s="387"/>
    </row>
    <row r="52" spans="1:7" ht="48" customHeight="1" thickBot="1">
      <c r="A52" s="382">
        <v>50</v>
      </c>
      <c r="B52" s="690" t="s">
        <v>1186</v>
      </c>
      <c r="C52" s="1002" t="s">
        <v>1182</v>
      </c>
      <c r="D52" s="387"/>
      <c r="E52" s="740"/>
      <c r="F52" s="976">
        <v>7000</v>
      </c>
      <c r="G52" s="387"/>
    </row>
    <row r="53" spans="1:7" ht="48" customHeight="1" thickBot="1">
      <c r="A53" s="382">
        <v>51</v>
      </c>
      <c r="B53" s="690" t="s">
        <v>1208</v>
      </c>
      <c r="C53" s="1002" t="s">
        <v>1198</v>
      </c>
      <c r="D53" s="387"/>
      <c r="E53" s="740"/>
      <c r="F53" s="976">
        <v>9000</v>
      </c>
      <c r="G53" s="387"/>
    </row>
    <row r="54" spans="1:7" ht="32.25" thickBot="1">
      <c r="A54" s="382">
        <v>52</v>
      </c>
      <c r="B54" s="690" t="s">
        <v>879</v>
      </c>
      <c r="C54" s="1002" t="s">
        <v>1198</v>
      </c>
      <c r="D54" s="387"/>
      <c r="E54" s="740"/>
      <c r="F54" s="976">
        <v>7000</v>
      </c>
      <c r="G54" s="387"/>
    </row>
    <row r="55" spans="1:7" ht="16.5" thickBot="1">
      <c r="A55" s="401" t="s">
        <v>758</v>
      </c>
      <c r="B55" s="402"/>
      <c r="C55" s="1194"/>
      <c r="D55" s="388">
        <v>1404500</v>
      </c>
      <c r="E55" s="1038">
        <v>4556450</v>
      </c>
      <c r="F55" s="388">
        <v>87000</v>
      </c>
      <c r="G55" s="389"/>
    </row>
    <row r="56" spans="1:7" ht="16.5" customHeight="1" thickBot="1">
      <c r="A56" s="401" t="s">
        <v>2056</v>
      </c>
      <c r="B56" s="402"/>
      <c r="C56" s="336"/>
      <c r="D56" s="403">
        <v>6047950</v>
      </c>
      <c r="E56" s="1196"/>
      <c r="F56" s="404"/>
      <c r="G56" s="390"/>
    </row>
    <row r="57" spans="1:7">
      <c r="A57" s="284"/>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
  <sheetViews>
    <sheetView workbookViewId="0">
      <selection activeCell="C25" sqref="C25:D25"/>
    </sheetView>
  </sheetViews>
  <sheetFormatPr defaultRowHeight="15"/>
  <cols>
    <col min="2" max="2" width="16.5703125" customWidth="1"/>
    <col min="3" max="3" width="67.28515625" customWidth="1"/>
    <col min="10" max="10" width="13.5703125" customWidth="1"/>
    <col min="11" max="11" width="12.28515625" customWidth="1"/>
    <col min="259" max="259" width="48.85546875" customWidth="1"/>
    <col min="515" max="515" width="48.85546875" customWidth="1"/>
    <col min="771" max="771" width="48.85546875" customWidth="1"/>
    <col min="1027" max="1027" width="48.85546875" customWidth="1"/>
    <col min="1283" max="1283" width="48.85546875" customWidth="1"/>
    <col min="1539" max="1539" width="48.85546875" customWidth="1"/>
    <col min="1795" max="1795" width="48.85546875" customWidth="1"/>
    <col min="2051" max="2051" width="48.85546875" customWidth="1"/>
    <col min="2307" max="2307" width="48.85546875" customWidth="1"/>
    <col min="2563" max="2563" width="48.85546875" customWidth="1"/>
    <col min="2819" max="2819" width="48.85546875" customWidth="1"/>
    <col min="3075" max="3075" width="48.85546875" customWidth="1"/>
    <col min="3331" max="3331" width="48.85546875" customWidth="1"/>
    <col min="3587" max="3587" width="48.85546875" customWidth="1"/>
    <col min="3843" max="3843" width="48.85546875" customWidth="1"/>
    <col min="4099" max="4099" width="48.85546875" customWidth="1"/>
    <col min="4355" max="4355" width="48.85546875" customWidth="1"/>
    <col min="4611" max="4611" width="48.85546875" customWidth="1"/>
    <col min="4867" max="4867" width="48.85546875" customWidth="1"/>
    <col min="5123" max="5123" width="48.85546875" customWidth="1"/>
    <col min="5379" max="5379" width="48.85546875" customWidth="1"/>
    <col min="5635" max="5635" width="48.85546875" customWidth="1"/>
    <col min="5891" max="5891" width="48.85546875" customWidth="1"/>
    <col min="6147" max="6147" width="48.85546875" customWidth="1"/>
    <col min="6403" max="6403" width="48.85546875" customWidth="1"/>
    <col min="6659" max="6659" width="48.85546875" customWidth="1"/>
    <col min="6915" max="6915" width="48.85546875" customWidth="1"/>
    <col min="7171" max="7171" width="48.85546875" customWidth="1"/>
    <col min="7427" max="7427" width="48.85546875" customWidth="1"/>
    <col min="7683" max="7683" width="48.85546875" customWidth="1"/>
    <col min="7939" max="7939" width="48.85546875" customWidth="1"/>
    <col min="8195" max="8195" width="48.85546875" customWidth="1"/>
    <col min="8451" max="8451" width="48.85546875" customWidth="1"/>
    <col min="8707" max="8707" width="48.85546875" customWidth="1"/>
    <col min="8963" max="8963" width="48.85546875" customWidth="1"/>
    <col min="9219" max="9219" width="48.85546875" customWidth="1"/>
    <col min="9475" max="9475" width="48.85546875" customWidth="1"/>
    <col min="9731" max="9731" width="48.85546875" customWidth="1"/>
    <col min="9987" max="9987" width="48.85546875" customWidth="1"/>
    <col min="10243" max="10243" width="48.85546875" customWidth="1"/>
    <col min="10499" max="10499" width="48.85546875" customWidth="1"/>
    <col min="10755" max="10755" width="48.85546875" customWidth="1"/>
    <col min="11011" max="11011" width="48.85546875" customWidth="1"/>
    <col min="11267" max="11267" width="48.85546875" customWidth="1"/>
    <col min="11523" max="11523" width="48.85546875" customWidth="1"/>
    <col min="11779" max="11779" width="48.85546875" customWidth="1"/>
    <col min="12035" max="12035" width="48.85546875" customWidth="1"/>
    <col min="12291" max="12291" width="48.85546875" customWidth="1"/>
    <col min="12547" max="12547" width="48.85546875" customWidth="1"/>
    <col min="12803" max="12803" width="48.85546875" customWidth="1"/>
    <col min="13059" max="13059" width="48.85546875" customWidth="1"/>
    <col min="13315" max="13315" width="48.85546875" customWidth="1"/>
    <col min="13571" max="13571" width="48.85546875" customWidth="1"/>
    <col min="13827" max="13827" width="48.85546875" customWidth="1"/>
    <col min="14083" max="14083" width="48.85546875" customWidth="1"/>
    <col min="14339" max="14339" width="48.85546875" customWidth="1"/>
    <col min="14595" max="14595" width="48.85546875" customWidth="1"/>
    <col min="14851" max="14851" width="48.85546875" customWidth="1"/>
    <col min="15107" max="15107" width="48.85546875" customWidth="1"/>
    <col min="15363" max="15363" width="48.85546875" customWidth="1"/>
    <col min="15619" max="15619" width="48.85546875" customWidth="1"/>
    <col min="15875" max="15875" width="48.85546875" customWidth="1"/>
    <col min="16131" max="16131" width="48.85546875" customWidth="1"/>
  </cols>
  <sheetData>
    <row r="1" spans="1:11">
      <c r="A1" s="1582" t="s">
        <v>225</v>
      </c>
      <c r="B1" s="1499"/>
      <c r="C1" s="1499"/>
      <c r="D1" s="1499"/>
      <c r="E1" s="1499"/>
      <c r="F1" s="1499"/>
      <c r="G1" s="1499"/>
      <c r="H1" s="1499"/>
      <c r="I1" s="1499"/>
      <c r="J1" s="1499"/>
      <c r="K1" s="1499"/>
    </row>
    <row r="2" spans="1:11">
      <c r="A2" s="1582" t="s">
        <v>225</v>
      </c>
      <c r="B2" s="1499"/>
      <c r="C2" s="1499"/>
      <c r="D2" s="1499"/>
      <c r="E2" s="1499"/>
      <c r="F2" s="1499"/>
      <c r="G2" s="1499"/>
      <c r="H2" s="1499"/>
      <c r="I2" s="1499"/>
      <c r="J2" s="1499"/>
      <c r="K2" s="1499"/>
    </row>
    <row r="4" spans="1:11" ht="18.75">
      <c r="A4" s="1583" t="s">
        <v>254</v>
      </c>
      <c r="B4" s="1499"/>
      <c r="C4" s="1499"/>
      <c r="D4" s="1499"/>
      <c r="E4" s="1499"/>
      <c r="F4" s="1499"/>
      <c r="G4" s="1499"/>
      <c r="H4" s="1499"/>
      <c r="I4" s="1499"/>
      <c r="J4" s="1499"/>
      <c r="K4" s="1499"/>
    </row>
    <row r="5" spans="1:11">
      <c r="A5" s="1584" t="s">
        <v>2083</v>
      </c>
      <c r="B5" s="1499"/>
      <c r="C5" s="1499"/>
      <c r="D5" s="1499"/>
      <c r="E5" s="1499"/>
      <c r="F5" s="1499"/>
      <c r="G5" s="1499"/>
      <c r="H5" s="1499"/>
      <c r="I5" s="1499"/>
      <c r="J5" s="1499"/>
      <c r="K5" s="1499"/>
    </row>
    <row r="7" spans="1:11">
      <c r="A7" s="1585" t="s">
        <v>226</v>
      </c>
      <c r="B7" s="1586"/>
      <c r="C7" s="1585" t="s">
        <v>227</v>
      </c>
      <c r="D7" s="1585" t="s">
        <v>255</v>
      </c>
      <c r="E7" s="1586"/>
      <c r="F7" s="1585" t="s">
        <v>228</v>
      </c>
      <c r="G7" s="1586"/>
      <c r="H7" s="1585" t="s">
        <v>229</v>
      </c>
      <c r="I7" s="1586"/>
      <c r="J7" s="1585" t="s">
        <v>230</v>
      </c>
      <c r="K7" s="1586"/>
    </row>
    <row r="8" spans="1:11">
      <c r="A8" s="1129" t="s">
        <v>231</v>
      </c>
      <c r="B8" s="1129" t="s">
        <v>232</v>
      </c>
      <c r="C8" s="1586"/>
      <c r="D8" s="1129" t="s">
        <v>233</v>
      </c>
      <c r="E8" s="1129" t="s">
        <v>234</v>
      </c>
      <c r="F8" s="1129" t="s">
        <v>233</v>
      </c>
      <c r="G8" s="1129" t="s">
        <v>234</v>
      </c>
      <c r="H8" s="1129" t="s">
        <v>233</v>
      </c>
      <c r="I8" s="1129" t="s">
        <v>234</v>
      </c>
      <c r="J8" s="1129" t="s">
        <v>233</v>
      </c>
      <c r="K8" s="1129" t="s">
        <v>234</v>
      </c>
    </row>
    <row r="9" spans="1:11">
      <c r="A9" s="1586" t="s">
        <v>235</v>
      </c>
      <c r="B9" s="1586"/>
      <c r="C9" s="1586"/>
      <c r="D9" s="1586"/>
      <c r="E9" s="1586"/>
      <c r="F9" s="1586"/>
      <c r="G9" s="1586"/>
      <c r="H9" s="1586"/>
      <c r="I9" s="1586"/>
      <c r="J9" s="1586"/>
      <c r="K9" s="1586"/>
    </row>
    <row r="10" spans="1:11">
      <c r="A10" s="1130" t="s">
        <v>2084</v>
      </c>
      <c r="B10" s="1124" t="s">
        <v>2085</v>
      </c>
      <c r="C10" s="1124" t="s">
        <v>2086</v>
      </c>
      <c r="D10" s="182">
        <v>0</v>
      </c>
      <c r="E10" s="182">
        <v>0</v>
      </c>
      <c r="F10" s="182">
        <v>7443600</v>
      </c>
      <c r="G10" s="182">
        <v>0</v>
      </c>
      <c r="H10" s="182">
        <v>7443600</v>
      </c>
      <c r="I10" s="182">
        <v>0</v>
      </c>
      <c r="J10" s="182">
        <v>0</v>
      </c>
      <c r="K10" s="182">
        <v>0</v>
      </c>
    </row>
    <row r="11" spans="1:11">
      <c r="A11" s="1130" t="s">
        <v>2084</v>
      </c>
      <c r="B11" s="1124" t="s">
        <v>2087</v>
      </c>
      <c r="C11" s="1124" t="s">
        <v>2088</v>
      </c>
      <c r="D11" s="182">
        <v>0</v>
      </c>
      <c r="E11" s="182">
        <v>0</v>
      </c>
      <c r="F11" s="182">
        <v>4010800</v>
      </c>
      <c r="G11" s="182">
        <v>0</v>
      </c>
      <c r="H11" s="182">
        <v>4010800</v>
      </c>
      <c r="I11" s="182">
        <v>0</v>
      </c>
      <c r="J11" s="182">
        <v>0</v>
      </c>
      <c r="K11" s="182">
        <v>0</v>
      </c>
    </row>
    <row r="12" spans="1:11">
      <c r="A12" s="1130" t="s">
        <v>2089</v>
      </c>
      <c r="B12" s="1124" t="s">
        <v>2090</v>
      </c>
      <c r="C12" s="1124" t="s">
        <v>2091</v>
      </c>
      <c r="D12" s="182">
        <v>0</v>
      </c>
      <c r="E12" s="182">
        <v>0</v>
      </c>
      <c r="F12" s="182">
        <v>12749480</v>
      </c>
      <c r="G12" s="182">
        <v>0</v>
      </c>
      <c r="H12" s="182">
        <v>12749480</v>
      </c>
      <c r="I12" s="182">
        <v>0</v>
      </c>
      <c r="J12" s="182">
        <v>0</v>
      </c>
      <c r="K12" s="182">
        <v>0</v>
      </c>
    </row>
    <row r="13" spans="1:11">
      <c r="A13" s="1130" t="s">
        <v>2089</v>
      </c>
      <c r="B13" s="1124" t="s">
        <v>2092</v>
      </c>
      <c r="C13" s="1124" t="s">
        <v>2093</v>
      </c>
      <c r="D13" s="182">
        <v>0</v>
      </c>
      <c r="E13" s="182">
        <v>0</v>
      </c>
      <c r="F13" s="182">
        <v>2904800</v>
      </c>
      <c r="G13" s="182">
        <v>0</v>
      </c>
      <c r="H13" s="182">
        <v>2904800</v>
      </c>
      <c r="I13" s="182">
        <v>0</v>
      </c>
      <c r="J13" s="182">
        <v>0</v>
      </c>
      <c r="K13" s="182">
        <v>0</v>
      </c>
    </row>
    <row r="14" spans="1:11" s="342" customFormat="1">
      <c r="A14" s="1248" t="s">
        <v>2089</v>
      </c>
      <c r="B14" s="1249" t="s">
        <v>2094</v>
      </c>
      <c r="C14" s="1249" t="s">
        <v>2095</v>
      </c>
      <c r="D14" s="69">
        <v>0</v>
      </c>
      <c r="E14" s="69">
        <v>0</v>
      </c>
      <c r="F14" s="69">
        <v>66000</v>
      </c>
      <c r="G14" s="69">
        <v>0</v>
      </c>
      <c r="H14" s="69">
        <v>66000</v>
      </c>
      <c r="I14" s="69">
        <v>0</v>
      </c>
      <c r="J14" s="69">
        <v>0</v>
      </c>
      <c r="K14" s="69">
        <v>0</v>
      </c>
    </row>
    <row r="15" spans="1:11">
      <c r="A15" s="1130" t="s">
        <v>2089</v>
      </c>
      <c r="B15" s="1124" t="s">
        <v>2096</v>
      </c>
      <c r="C15" s="1124" t="s">
        <v>2097</v>
      </c>
      <c r="D15" s="182">
        <v>0</v>
      </c>
      <c r="E15" s="182">
        <v>0</v>
      </c>
      <c r="F15" s="182">
        <v>1250000</v>
      </c>
      <c r="G15" s="182">
        <v>0</v>
      </c>
      <c r="H15" s="182">
        <v>1250000</v>
      </c>
      <c r="I15" s="182">
        <v>0</v>
      </c>
      <c r="J15" s="182">
        <v>0</v>
      </c>
      <c r="K15" s="182">
        <v>0</v>
      </c>
    </row>
    <row r="16" spans="1:11" s="342" customFormat="1">
      <c r="A16" s="1248" t="s">
        <v>2089</v>
      </c>
      <c r="B16" s="1249" t="s">
        <v>2098</v>
      </c>
      <c r="C16" s="1249" t="s">
        <v>2099</v>
      </c>
      <c r="D16" s="69">
        <v>0</v>
      </c>
      <c r="E16" s="69">
        <v>0</v>
      </c>
      <c r="F16" s="69">
        <v>66000</v>
      </c>
      <c r="G16" s="69">
        <v>0</v>
      </c>
      <c r="H16" s="69">
        <v>66000</v>
      </c>
      <c r="I16" s="69">
        <v>0</v>
      </c>
      <c r="J16" s="69">
        <v>0</v>
      </c>
      <c r="K16" s="69">
        <v>0</v>
      </c>
    </row>
    <row r="17" spans="1:11">
      <c r="A17" s="1130" t="s">
        <v>2089</v>
      </c>
      <c r="B17" s="1124" t="s">
        <v>2100</v>
      </c>
      <c r="C17" s="1124" t="s">
        <v>2101</v>
      </c>
      <c r="D17" s="182">
        <v>0</v>
      </c>
      <c r="E17" s="182">
        <v>0</v>
      </c>
      <c r="F17" s="182">
        <v>539200</v>
      </c>
      <c r="G17" s="182">
        <v>0</v>
      </c>
      <c r="H17" s="182">
        <v>539200</v>
      </c>
      <c r="I17" s="182">
        <v>0</v>
      </c>
      <c r="J17" s="182">
        <v>0</v>
      </c>
      <c r="K17" s="182">
        <v>0</v>
      </c>
    </row>
    <row r="18" spans="1:11">
      <c r="A18" s="1130" t="s">
        <v>2089</v>
      </c>
      <c r="B18" s="1124" t="s">
        <v>2102</v>
      </c>
      <c r="C18" s="1124" t="s">
        <v>2103</v>
      </c>
      <c r="D18" s="182">
        <v>0</v>
      </c>
      <c r="E18" s="182">
        <v>0</v>
      </c>
      <c r="F18" s="182">
        <v>419600</v>
      </c>
      <c r="G18" s="182">
        <v>0</v>
      </c>
      <c r="H18" s="182">
        <v>419600</v>
      </c>
      <c r="I18" s="182">
        <v>0</v>
      </c>
      <c r="J18" s="182">
        <v>0</v>
      </c>
      <c r="K18" s="182">
        <v>0</v>
      </c>
    </row>
    <row r="19" spans="1:11">
      <c r="A19" s="1586" t="s">
        <v>256</v>
      </c>
      <c r="B19" s="1586"/>
      <c r="C19" s="1586"/>
      <c r="D19" s="182">
        <v>0</v>
      </c>
      <c r="E19" s="182">
        <v>0</v>
      </c>
      <c r="F19" s="182">
        <v>29449480</v>
      </c>
      <c r="G19" s="182">
        <v>0</v>
      </c>
      <c r="H19" s="182">
        <v>29449480</v>
      </c>
      <c r="I19" s="182">
        <v>0</v>
      </c>
      <c r="J19" s="182">
        <v>0</v>
      </c>
      <c r="K19" s="182">
        <v>0</v>
      </c>
    </row>
    <row r="20" spans="1:11">
      <c r="A20" s="1586" t="s">
        <v>257</v>
      </c>
      <c r="B20" s="1586"/>
      <c r="C20" s="1586"/>
      <c r="D20" s="182">
        <v>0</v>
      </c>
      <c r="E20" s="182">
        <v>0</v>
      </c>
      <c r="F20" s="182">
        <v>29449480</v>
      </c>
      <c r="G20" s="182">
        <v>0</v>
      </c>
      <c r="H20" s="182">
        <v>29449480</v>
      </c>
      <c r="I20" s="182">
        <v>0</v>
      </c>
      <c r="J20" s="182">
        <v>0</v>
      </c>
      <c r="K20" s="182">
        <v>0</v>
      </c>
    </row>
    <row r="21" spans="1:11">
      <c r="A21" s="1586" t="s">
        <v>258</v>
      </c>
      <c r="B21" s="1586"/>
      <c r="C21" s="1586"/>
      <c r="D21" s="182">
        <v>0</v>
      </c>
      <c r="E21" s="182">
        <v>0</v>
      </c>
      <c r="F21" s="182">
        <v>29449480</v>
      </c>
      <c r="G21" s="182">
        <v>0</v>
      </c>
      <c r="H21" s="182">
        <v>29449480</v>
      </c>
      <c r="I21" s="182">
        <v>0</v>
      </c>
      <c r="J21" s="182">
        <v>0</v>
      </c>
      <c r="K21" s="182">
        <v>0</v>
      </c>
    </row>
    <row r="23" spans="1:11">
      <c r="J23" s="1587" t="s">
        <v>2104</v>
      </c>
      <c r="K23" s="1499"/>
    </row>
    <row r="24" spans="1:11">
      <c r="C24" s="1584" t="s">
        <v>248</v>
      </c>
      <c r="D24" s="1499"/>
      <c r="F24" s="67">
        <f>F14+F16</f>
        <v>132000</v>
      </c>
      <c r="J24" s="1584" t="s">
        <v>249</v>
      </c>
      <c r="K24" s="1499"/>
    </row>
    <row r="25" spans="1:11">
      <c r="C25" s="1584" t="s">
        <v>250</v>
      </c>
      <c r="D25" s="1499"/>
      <c r="J25" s="1584" t="s">
        <v>251</v>
      </c>
      <c r="K25" s="1499"/>
    </row>
    <row r="30" spans="1:11">
      <c r="C30" s="1584" t="s">
        <v>252</v>
      </c>
      <c r="D30" s="1499"/>
      <c r="J30" s="1584" t="s">
        <v>253</v>
      </c>
      <c r="K30" s="1499"/>
    </row>
  </sheetData>
  <mergeCells count="21">
    <mergeCell ref="C25:D25"/>
    <mergeCell ref="J25:K25"/>
    <mergeCell ref="C30:D30"/>
    <mergeCell ref="J30:K30"/>
    <mergeCell ref="A9:K9"/>
    <mergeCell ref="A19:C19"/>
    <mergeCell ref="A20:C20"/>
    <mergeCell ref="A21:C21"/>
    <mergeCell ref="J23:K23"/>
    <mergeCell ref="C24:D24"/>
    <mergeCell ref="J24:K24"/>
    <mergeCell ref="A1:K1"/>
    <mergeCell ref="A2:K2"/>
    <mergeCell ref="A4:K4"/>
    <mergeCell ref="A5:K5"/>
    <mergeCell ref="A7:B7"/>
    <mergeCell ref="C7:C8"/>
    <mergeCell ref="D7:E7"/>
    <mergeCell ref="F7:G7"/>
    <mergeCell ref="H7:I7"/>
    <mergeCell ref="J7:K7"/>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pane xSplit="2" topLeftCell="W1" activePane="topRight" state="frozen"/>
      <selection activeCell="A5" sqref="A5"/>
      <selection pane="topRight" activeCell="Y6" sqref="Y6"/>
    </sheetView>
  </sheetViews>
  <sheetFormatPr defaultRowHeight="15"/>
  <cols>
    <col min="3" max="3" width="14.140625" customWidth="1"/>
    <col min="4" max="4" width="16.7109375" customWidth="1"/>
    <col min="5" max="5" width="15.28515625" customWidth="1"/>
    <col min="7" max="7" width="18.42578125" customWidth="1"/>
    <col min="8" max="8" width="13" customWidth="1"/>
    <col min="9" max="9" width="14.85546875" customWidth="1"/>
    <col min="10" max="14" width="13" customWidth="1"/>
    <col min="15" max="15" width="12.140625" customWidth="1"/>
    <col min="17" max="17" width="13" customWidth="1"/>
    <col min="18" max="18" width="12.85546875" customWidth="1"/>
    <col min="21" max="21" width="14.5703125" customWidth="1"/>
    <col min="22" max="22" width="24.85546875" customWidth="1"/>
    <col min="23" max="33" width="14.5703125" customWidth="1"/>
    <col min="34" max="34" width="17.7109375" customWidth="1"/>
  </cols>
  <sheetData>
    <row r="1" spans="1:34">
      <c r="A1" t="s">
        <v>2224</v>
      </c>
    </row>
    <row r="3" spans="1:34" ht="16.5">
      <c r="A3" s="623" t="s">
        <v>2225</v>
      </c>
    </row>
    <row r="4" spans="1:34">
      <c r="U4" t="s">
        <v>1099</v>
      </c>
      <c r="V4" t="s">
        <v>1099</v>
      </c>
      <c r="W4" t="s">
        <v>1099</v>
      </c>
    </row>
    <row r="5" spans="1:34" ht="31.5">
      <c r="A5" s="564" t="s">
        <v>1100</v>
      </c>
      <c r="B5" s="564"/>
      <c r="C5" s="564" t="s">
        <v>976</v>
      </c>
      <c r="D5" s="564" t="s">
        <v>976</v>
      </c>
      <c r="E5" s="564" t="s">
        <v>976</v>
      </c>
      <c r="F5" s="564"/>
      <c r="G5" s="564" t="s">
        <v>977</v>
      </c>
      <c r="H5" s="564" t="s">
        <v>978</v>
      </c>
      <c r="I5" s="564" t="s">
        <v>979</v>
      </c>
      <c r="J5" s="564" t="s">
        <v>980</v>
      </c>
      <c r="K5" s="564" t="s">
        <v>981</v>
      </c>
      <c r="L5" s="564" t="s">
        <v>982</v>
      </c>
      <c r="M5" s="564" t="s">
        <v>983</v>
      </c>
      <c r="N5" s="564" t="s">
        <v>984</v>
      </c>
      <c r="O5" s="564" t="s">
        <v>985</v>
      </c>
      <c r="P5" s="564" t="s">
        <v>986</v>
      </c>
      <c r="Q5" s="564" t="s">
        <v>987</v>
      </c>
      <c r="R5" s="564" t="s">
        <v>988</v>
      </c>
      <c r="S5" s="564"/>
      <c r="T5" s="564"/>
      <c r="U5" s="564" t="s">
        <v>509</v>
      </c>
      <c r="V5" s="564" t="s">
        <v>989</v>
      </c>
      <c r="W5" s="564" t="s">
        <v>510</v>
      </c>
      <c r="X5" s="564" t="s">
        <v>991</v>
      </c>
      <c r="Y5" s="564" t="s">
        <v>506</v>
      </c>
      <c r="Z5" s="565" t="s">
        <v>507</v>
      </c>
      <c r="AA5" s="564" t="s">
        <v>992</v>
      </c>
      <c r="AB5" s="564"/>
      <c r="AC5" s="564"/>
      <c r="AD5" s="564"/>
      <c r="AE5" s="564" t="s">
        <v>2221</v>
      </c>
      <c r="AF5" s="564"/>
      <c r="AG5" s="564"/>
      <c r="AH5" s="564"/>
    </row>
    <row r="6" spans="1:34" ht="82.5">
      <c r="A6" s="624" t="s">
        <v>0</v>
      </c>
      <c r="B6" s="624" t="s">
        <v>632</v>
      </c>
      <c r="C6" s="1296" t="s">
        <v>1030</v>
      </c>
      <c r="D6" s="1296" t="s">
        <v>1031</v>
      </c>
      <c r="E6" s="1296" t="s">
        <v>1032</v>
      </c>
      <c r="F6" s="1297" t="s">
        <v>1006</v>
      </c>
      <c r="G6" s="1297" t="s">
        <v>1007</v>
      </c>
      <c r="H6" s="1297" t="s">
        <v>1008</v>
      </c>
      <c r="I6" s="1297" t="s">
        <v>1009</v>
      </c>
      <c r="J6" s="1297" t="s">
        <v>1010</v>
      </c>
      <c r="K6" s="1297" t="s">
        <v>1011</v>
      </c>
      <c r="L6" s="1297" t="s">
        <v>1012</v>
      </c>
      <c r="M6" s="1297" t="s">
        <v>1013</v>
      </c>
      <c r="N6" s="1297" t="s">
        <v>1014</v>
      </c>
      <c r="O6" s="1297" t="s">
        <v>1015</v>
      </c>
      <c r="P6" s="1296" t="s">
        <v>1033</v>
      </c>
      <c r="Q6" s="1296" t="s">
        <v>1034</v>
      </c>
      <c r="R6" s="1296" t="s">
        <v>1035</v>
      </c>
      <c r="S6" s="1297" t="s">
        <v>1017</v>
      </c>
      <c r="T6" s="1297" t="s">
        <v>1018</v>
      </c>
      <c r="U6" s="1297" t="s">
        <v>1019</v>
      </c>
      <c r="V6" s="1297" t="s">
        <v>1020</v>
      </c>
      <c r="W6" s="1297" t="s">
        <v>1021</v>
      </c>
      <c r="X6" s="1296" t="s">
        <v>1036</v>
      </c>
      <c r="Y6" s="1296" t="s">
        <v>1037</v>
      </c>
      <c r="Z6" s="1296" t="s">
        <v>1038</v>
      </c>
      <c r="AA6" s="1296" t="s">
        <v>1039</v>
      </c>
      <c r="AB6" s="1297" t="s">
        <v>1023</v>
      </c>
      <c r="AC6" s="1297" t="s">
        <v>1024</v>
      </c>
      <c r="AD6" s="1297" t="s">
        <v>1025</v>
      </c>
      <c r="AE6" s="1297" t="s">
        <v>1026</v>
      </c>
      <c r="AF6" s="1297" t="s">
        <v>1027</v>
      </c>
      <c r="AG6" s="1297" t="s">
        <v>1028</v>
      </c>
      <c r="AH6" s="1298" t="s">
        <v>676</v>
      </c>
    </row>
    <row r="7" spans="1:34" ht="16.5">
      <c r="A7" s="1299">
        <v>1</v>
      </c>
      <c r="B7" s="1300" t="s">
        <v>15</v>
      </c>
      <c r="C7" s="1301" t="e">
        <f>SUMIFS('[22]lương P1P3 T1.2024'!$S$1:$S$65536,'[22]lương P1P3 T1.2024'!$D$1:$D$65536,'[22]Tổng hợp'!$B7)</f>
        <v>#VALUE!</v>
      </c>
      <c r="D7" s="1301" t="e">
        <f>SUMIFS('[22]lương P1P3 T1.2024'!$T$1:$T$65536,'[22]lương P1P3 T1.2024'!$D$1:$D$65536,'[22]Tổng hợp'!B7)</f>
        <v>#VALUE!</v>
      </c>
      <c r="E7" s="1301" t="e">
        <f>SUMIFS('[22]lương P1P3 T1.2024'!$U$1:$U$65536,'[22]lương P1P3 T1.2024'!$D$1:$D$65536,'[22]Tổng hợp'!B7)</f>
        <v>#VALUE!</v>
      </c>
      <c r="F7" s="1301" t="e">
        <f>SUMIFS('[22]lương P1P3 T1.2024'!$V$1:$V$65536,'[22]lương P1P3 T1.2024'!$D$1:$D$65536,'[22]Tổng hợp'!B7)</f>
        <v>#VALUE!</v>
      </c>
      <c r="G7" s="1301" t="e">
        <f>SUMIFS('[22]lương P1P3 T1.2024'!$W$1:$W$65536,'[22]lương P1P3 T1.2024'!$D$1:$D$65536,'[22]Tổng hợp'!B7)</f>
        <v>#VALUE!</v>
      </c>
      <c r="H7" s="1301" t="e">
        <f>SUMIFS('[22]lương P1P3 T1.2024'!$X$1:$X$65536,'[22]lương P1P3 T1.2024'!$D$1:$D$65536,'[22]Tổng hợp'!B7)</f>
        <v>#VALUE!</v>
      </c>
      <c r="I7" s="1301" t="e">
        <f>SUMIFS('[22]lương P1P3 T1.2024'!$Y$1:$Y$65536,'[22]lương P1P3 T1.2024'!$D$1:$D$65536,'[22]Tổng hợp'!B7)</f>
        <v>#VALUE!</v>
      </c>
      <c r="J7" s="1301" t="e">
        <f>SUMIFS('[22]lương P1P3 T1.2024'!$Z$1:$Z$65536,'[22]lương P1P3 T1.2024'!$D$1:$D$65536,'[22]Tổng hợp'!B7)</f>
        <v>#VALUE!</v>
      </c>
      <c r="K7" s="1301" t="e">
        <f>SUMIFS('[22]lương P1P3 T1.2024'!$AA$1:$AA$65536,'[22]lương P1P3 T1.2024'!$D$1:$D$65536,'[22]Tổng hợp'!B7)</f>
        <v>#VALUE!</v>
      </c>
      <c r="L7" s="1301" t="e">
        <f>SUMIFS('[22]lương P1P3 T1.2024'!$AB$1:$AB$65536,'[22]lương P1P3 T1.2024'!$D$1:$D$65536,'[22]Tổng hợp'!B7)</f>
        <v>#VALUE!</v>
      </c>
      <c r="M7" s="1301" t="e">
        <f>SUMIFS('[22]lương P1P3 T1.2024'!$AC$1:$AC$65536,'[22]lương P1P3 T1.2024'!$D$1:$D$65536,'[22]Tổng hợp'!B7)</f>
        <v>#VALUE!</v>
      </c>
      <c r="N7" s="1301" t="e">
        <f>SUMIFS('[22]lương P1P3 T1.2024'!$AD$1:$AD$65536,'[22]lương P1P3 T1.2024'!$D$1:$D$65536,'[22]Tổng hợp'!B7)</f>
        <v>#VALUE!</v>
      </c>
      <c r="O7" s="1301" t="e">
        <f>SUMIFS('[22]lương P1P3 T1.2024'!$AE$1:$AE$65536,'[22]lương P1P3 T1.2024'!$D$1:$D$65536,'[22]Tổng hợp'!B7)</f>
        <v>#VALUE!</v>
      </c>
      <c r="P7" s="1301" t="e">
        <f>SUMIFS('[22]lương P1P3 T1.2024'!$AF$1:$AF$65536,'[22]lương P1P3 T1.2024'!$D$1:$D$65536,'[22]Tổng hợp'!B7)</f>
        <v>#VALUE!</v>
      </c>
      <c r="Q7" s="1301" t="e">
        <f>SUMIFS('[22]lương P1P3 T1.2024'!$AG$1:$AG$65536,'[22]lương P1P3 T1.2024'!$D$1:$D$65536,'[22]Tổng hợp'!$B7)</f>
        <v>#VALUE!</v>
      </c>
      <c r="R7" s="1301" t="e">
        <f>SUMIFS('[22]lương P1P3 T1.2024'!$AH$1:$AH$65536,'[22]lương P1P3 T1.2024'!$D$1:$D$65536,'[22]Tổng hợp'!$B7)</f>
        <v>#VALUE!</v>
      </c>
      <c r="S7" s="1301" t="e">
        <f>SUMIFS('[22]lương P1P3 T1.2024'!$AI$1:$AI$65536,'[22]lương P1P3 T1.2024'!$D$1:$D$65536,'[22]Tổng hợp'!$B7)</f>
        <v>#VALUE!</v>
      </c>
      <c r="T7" s="1301" t="e">
        <f>SUMIFS('[22]lương P1P3 T1.2024'!$AJ$1:$AJ$65536,'[22]lương P1P3 T1.2024'!$D$1:$D$65536,'[22]Tổng hợp'!$B7)</f>
        <v>#VALUE!</v>
      </c>
      <c r="U7" s="1301" t="e">
        <f>SUMIFS('[22]lương P1P3 T1.2024'!$AK$1:$AK$65536,'[22]lương P1P3 T1.2024'!$D$1:$D$65536,'[22]Tổng hợp'!$B7)</f>
        <v>#VALUE!</v>
      </c>
      <c r="V7" s="1301" t="e">
        <f>SUMIFS('[22]lương P1P3 T1.2024'!$AL$1:$AL$65536,'[22]lương P1P3 T1.2024'!$D$1:$D$65536,'[22]Tổng hợp'!$B7)</f>
        <v>#VALUE!</v>
      </c>
      <c r="W7" s="1301" t="e">
        <f>SUMIFS('[22]lương P1P3 T1.2024'!$AM$1:$AM$65536,'[22]lương P1P3 T1.2024'!$D$1:$D$65536,'[22]Tổng hợp'!$B7)</f>
        <v>#VALUE!</v>
      </c>
      <c r="X7" s="1301" t="e">
        <f>SUMIFS('[22]lương P1P3 T1.2024'!$AN$1:$AN$65536,'[22]lương P1P3 T1.2024'!$D$1:$D$65536,'[22]Tổng hợp'!$B7)</f>
        <v>#VALUE!</v>
      </c>
      <c r="Y7" s="1301" t="e">
        <f>SUMIFS('[22]lương P1P3 T1.2024'!$AO$1:$AO$65536,'[22]lương P1P3 T1.2024'!$D$1:$D$65536,'[22]Tổng hợp'!$B7)</f>
        <v>#VALUE!</v>
      </c>
      <c r="Z7" s="1301" t="e">
        <f>SUMIFS('[22]lương P1P3 T1.2024'!$AP$1:$AP$65536,'[22]lương P1P3 T1.2024'!$D$1:$D$65536,'[22]Tổng hợp'!$B7)</f>
        <v>#VALUE!</v>
      </c>
      <c r="AA7" s="1301" t="e">
        <f>SUMIFS('[22]lương P1P3 T1.2024'!$AQ$1:$AQ$65536,'[22]lương P1P3 T1.2024'!$D$1:$D$65536,'[22]Tổng hợp'!$B7)</f>
        <v>#VALUE!</v>
      </c>
      <c r="AB7" s="1301" t="e">
        <f>SUMIFS('[22]lương P1P3 T1.2024'!$AR$1:$AR$65536,'[22]lương P1P3 T1.2024'!$D$1:$D$65536,'[22]Tổng hợp'!$B7)</f>
        <v>#VALUE!</v>
      </c>
      <c r="AC7" s="1301" t="e">
        <f>SUMIFS('[22]lương P1P3 T1.2024'!$AS$1:$AS$65536,'[22]lương P1P3 T1.2024'!$D$1:$D$65536,'[22]Tổng hợp'!$B7)</f>
        <v>#VALUE!</v>
      </c>
      <c r="AD7" s="1301" t="e">
        <f>SUMIFS('[22]lương P1P3 T1.2024'!$AT$1:$AT$65536,'[22]lương P1P3 T1.2024'!$D$1:$D$65536,'[22]Tổng hợp'!$B7)</f>
        <v>#VALUE!</v>
      </c>
      <c r="AE7" s="1301" t="e">
        <f>SUMIFS('[22]lương P1P3 T1.2024'!$AU$1:$AU$65536,'[22]lương P1P3 T1.2024'!$D$1:$D$65536,'[22]Tổng hợp'!$B7)</f>
        <v>#VALUE!</v>
      </c>
      <c r="AF7" s="1301" t="e">
        <f>SUMIFS('[22]lương P1P3 T1.2024'!$AV$1:$AV$65536,'[22]lương P1P3 T1.2024'!$D$1:$D$65536,'[22]Tổng hợp'!$B7)</f>
        <v>#VALUE!</v>
      </c>
      <c r="AG7" s="1301" t="e">
        <f>SUMIFS('[22]lương P1P3 T1.2024'!$AW$1:$AW$65536,'[22]lương P1P3 T1.2024'!$D$1:$D$65536,'[22]Tổng hợp'!$B7)</f>
        <v>#VALUE!</v>
      </c>
      <c r="AH7" s="1302" t="e">
        <f>SUM(C7:AG7)</f>
        <v>#VALUE!</v>
      </c>
    </row>
    <row r="8" spans="1:34" ht="16.5">
      <c r="A8" s="1299">
        <v>2</v>
      </c>
      <c r="B8" s="1300" t="s">
        <v>23</v>
      </c>
      <c r="C8" s="1301" t="e">
        <f>SUMIFS('[22]lương P1P3 T1.2024'!$S$1:$S$65536,'[22]lương P1P3 T1.2024'!$D$1:$D$65536,'[22]Tổng hợp'!$B8)</f>
        <v>#VALUE!</v>
      </c>
      <c r="D8" s="1301" t="e">
        <f>SUMIFS('[22]lương P1P3 T1.2024'!$T$1:$T$65536,'[22]lương P1P3 T1.2024'!$D$1:$D$65536,'[22]Tổng hợp'!B8)</f>
        <v>#VALUE!</v>
      </c>
      <c r="E8" s="1301" t="e">
        <f>SUMIFS('[22]lương P1P3 T1.2024'!$U$1:$U$65536,'[22]lương P1P3 T1.2024'!$D$1:$D$65536,'[22]Tổng hợp'!B8)</f>
        <v>#VALUE!</v>
      </c>
      <c r="F8" s="1301" t="e">
        <f>SUMIFS('[22]lương P1P3 T1.2024'!$V$1:$V$65536,'[22]lương P1P3 T1.2024'!$D$1:$D$65536,'[22]Tổng hợp'!B8)</f>
        <v>#VALUE!</v>
      </c>
      <c r="G8" s="1301" t="e">
        <f>SUMIFS('[22]lương P1P3 T1.2024'!$W$1:$W$65536,'[22]lương P1P3 T1.2024'!$D$1:$D$65536,'[22]Tổng hợp'!B8)</f>
        <v>#VALUE!</v>
      </c>
      <c r="H8" s="1301" t="e">
        <f>SUMIFS('[22]lương P1P3 T1.2024'!$X$1:$X$65536,'[22]lương P1P3 T1.2024'!$D$1:$D$65536,'[22]Tổng hợp'!B8)</f>
        <v>#VALUE!</v>
      </c>
      <c r="I8" s="1301" t="e">
        <f>SUMIFS('[22]lương P1P3 T1.2024'!$Y$1:$Y$65536,'[22]lương P1P3 T1.2024'!$D$1:$D$65536,'[22]Tổng hợp'!B8)</f>
        <v>#VALUE!</v>
      </c>
      <c r="J8" s="1301" t="e">
        <f>SUMIFS('[22]lương P1P3 T1.2024'!$Z$1:$Z$65536,'[22]lương P1P3 T1.2024'!$D$1:$D$65536,'[22]Tổng hợp'!B8)</f>
        <v>#VALUE!</v>
      </c>
      <c r="K8" s="1301" t="e">
        <f>SUMIFS('[22]lương P1P3 T1.2024'!$AA$1:$AA$65536,'[22]lương P1P3 T1.2024'!$D$1:$D$65536,'[22]Tổng hợp'!B8)</f>
        <v>#VALUE!</v>
      </c>
      <c r="L8" s="1301" t="e">
        <f>SUMIFS('[22]lương P1P3 T1.2024'!$AB$1:$AB$65536,'[22]lương P1P3 T1.2024'!$D$1:$D$65536,'[22]Tổng hợp'!B8)</f>
        <v>#VALUE!</v>
      </c>
      <c r="M8" s="1301" t="e">
        <f>SUMIFS('[22]lương P1P3 T1.2024'!$AC$1:$AC$65536,'[22]lương P1P3 T1.2024'!$D$1:$D$65536,'[22]Tổng hợp'!B8)</f>
        <v>#VALUE!</v>
      </c>
      <c r="N8" s="1301" t="e">
        <f>SUMIFS('[22]lương P1P3 T1.2024'!$AD$1:$AD$65536,'[22]lương P1P3 T1.2024'!$D$1:$D$65536,'[22]Tổng hợp'!B8)</f>
        <v>#VALUE!</v>
      </c>
      <c r="O8" s="1301" t="e">
        <f>SUMIFS('[22]lương P1P3 T1.2024'!$AE$1:$AE$65536,'[22]lương P1P3 T1.2024'!$D$1:$D$65536,'[22]Tổng hợp'!B8)</f>
        <v>#VALUE!</v>
      </c>
      <c r="P8" s="1301" t="e">
        <f>SUMIFS('[22]lương P1P3 T1.2024'!$AF$1:$AF$65536,'[22]lương P1P3 T1.2024'!$D$1:$D$65536,'[22]Tổng hợp'!B8)</f>
        <v>#VALUE!</v>
      </c>
      <c r="Q8" s="1301" t="e">
        <f>SUMIFS('[22]lương P1P3 T1.2024'!$AG$1:$AG$65536,'[22]lương P1P3 T1.2024'!$D$1:$D$65536,'[22]Tổng hợp'!$B8)</f>
        <v>#VALUE!</v>
      </c>
      <c r="R8" s="1301" t="e">
        <f>SUMIFS('[22]lương P1P3 T1.2024'!$AH$1:$AH$65536,'[22]lương P1P3 T1.2024'!$D$1:$D$65536,'[22]Tổng hợp'!$B8)</f>
        <v>#VALUE!</v>
      </c>
      <c r="S8" s="1301" t="e">
        <f>SUMIFS('[22]lương P1P3 T1.2024'!$AI$1:$AI$65536,'[22]lương P1P3 T1.2024'!$D$1:$D$65536,'[22]Tổng hợp'!$B8)</f>
        <v>#VALUE!</v>
      </c>
      <c r="T8" s="1301" t="e">
        <f>SUMIFS('[22]lương P1P3 T1.2024'!$AJ$1:$AJ$65536,'[22]lương P1P3 T1.2024'!$D$1:$D$65536,'[22]Tổng hợp'!$B8)</f>
        <v>#VALUE!</v>
      </c>
      <c r="U8" s="1301" t="e">
        <f>SUMIFS('[22]lương P1P3 T1.2024'!$AK$1:$AK$65536,'[22]lương P1P3 T1.2024'!$D$1:$D$65536,'[22]Tổng hợp'!$B8)</f>
        <v>#VALUE!</v>
      </c>
      <c r="V8" s="1301" t="e">
        <f>SUMIFS('[22]lương P1P3 T1.2024'!$AL$1:$AL$65536,'[22]lương P1P3 T1.2024'!$D$1:$D$65536,'[22]Tổng hợp'!$B8)</f>
        <v>#VALUE!</v>
      </c>
      <c r="W8" s="1301" t="e">
        <f>SUMIFS('[22]lương P1P3 T1.2024'!$AM$1:$AM$65536,'[22]lương P1P3 T1.2024'!$D$1:$D$65536,'[22]Tổng hợp'!$B8)</f>
        <v>#VALUE!</v>
      </c>
      <c r="X8" s="1301" t="e">
        <f>SUMIFS('[22]lương P1P3 T1.2024'!$AN$1:$AN$65536,'[22]lương P1P3 T1.2024'!$D$1:$D$65536,'[22]Tổng hợp'!$B8)</f>
        <v>#VALUE!</v>
      </c>
      <c r="Y8" s="1301" t="e">
        <f>SUMIFS('[22]lương P1P3 T1.2024'!$AO$1:$AO$65536,'[22]lương P1P3 T1.2024'!$D$1:$D$65536,'[22]Tổng hợp'!$B8)</f>
        <v>#VALUE!</v>
      </c>
      <c r="Z8" s="1301" t="e">
        <f>SUMIFS('[22]lương P1P3 T1.2024'!$AP$1:$AP$65536,'[22]lương P1P3 T1.2024'!$D$1:$D$65536,'[22]Tổng hợp'!$B8)</f>
        <v>#VALUE!</v>
      </c>
      <c r="AA8" s="1301" t="e">
        <f>SUMIFS('[22]lương P1P3 T1.2024'!$AQ$1:$AQ$65536,'[22]lương P1P3 T1.2024'!$D$1:$D$65536,'[22]Tổng hợp'!$B8)</f>
        <v>#VALUE!</v>
      </c>
      <c r="AB8" s="1301" t="e">
        <f>SUMIFS('[22]lương P1P3 T1.2024'!$AR$1:$AR$65536,'[22]lương P1P3 T1.2024'!$D$1:$D$65536,'[22]Tổng hợp'!$B8)</f>
        <v>#VALUE!</v>
      </c>
      <c r="AC8" s="1301" t="e">
        <f>SUMIFS('[22]lương P1P3 T1.2024'!$AS$1:$AS$65536,'[22]lương P1P3 T1.2024'!$D$1:$D$65536,'[22]Tổng hợp'!$B8)</f>
        <v>#VALUE!</v>
      </c>
      <c r="AD8" s="1301" t="e">
        <f>SUMIFS('[22]lương P1P3 T1.2024'!$AT$1:$AT$65536,'[22]lương P1P3 T1.2024'!$D$1:$D$65536,'[22]Tổng hợp'!$B8)</f>
        <v>#VALUE!</v>
      </c>
      <c r="AE8" s="1301" t="e">
        <f>SUMIFS('[22]lương P1P3 T1.2024'!$AU$1:$AU$65536,'[22]lương P1P3 T1.2024'!$D$1:$D$65536,'[22]Tổng hợp'!$B8)</f>
        <v>#VALUE!</v>
      </c>
      <c r="AF8" s="1301" t="e">
        <f>SUMIFS('[22]lương P1P3 T1.2024'!$AV$1:$AV$65536,'[22]lương P1P3 T1.2024'!$D$1:$D$65536,'[22]Tổng hợp'!$B8)</f>
        <v>#VALUE!</v>
      </c>
      <c r="AG8" s="1301" t="e">
        <f>SUMIFS('[22]lương P1P3 T1.2024'!$AW$1:$AW$65536,'[22]lương P1P3 T1.2024'!$D$1:$D$65536,'[22]Tổng hợp'!$B8)</f>
        <v>#VALUE!</v>
      </c>
      <c r="AH8" s="1302" t="e">
        <f t="shared" ref="AH8:AH17" si="0">SUM(C8:AG8)</f>
        <v>#VALUE!</v>
      </c>
    </row>
    <row r="9" spans="1:34" ht="16.5">
      <c r="A9" s="1299">
        <v>3</v>
      </c>
      <c r="B9" s="1300" t="s">
        <v>42</v>
      </c>
      <c r="C9" s="1301" t="e">
        <f>SUMIFS('[22]lương P1P3 T1.2024'!$S$1:$S$65536,'[22]lương P1P3 T1.2024'!$D$1:$D$65536,'[22]Tổng hợp'!$B9)</f>
        <v>#VALUE!</v>
      </c>
      <c r="D9" s="1301" t="e">
        <f>SUMIFS('[22]lương P1P3 T1.2024'!$T$1:$T$65536,'[22]lương P1P3 T1.2024'!$D$1:$D$65536,'[22]Tổng hợp'!B9)</f>
        <v>#VALUE!</v>
      </c>
      <c r="E9" s="1301" t="e">
        <f>SUMIFS('[22]lương P1P3 T1.2024'!$U$1:$U$65536,'[22]lương P1P3 T1.2024'!$D$1:$D$65536,'[22]Tổng hợp'!B9)</f>
        <v>#VALUE!</v>
      </c>
      <c r="F9" s="1301" t="e">
        <f>SUMIFS('[22]lương P1P3 T1.2024'!$V$1:$V$65536,'[22]lương P1P3 T1.2024'!$D$1:$D$65536,'[22]Tổng hợp'!B9)</f>
        <v>#VALUE!</v>
      </c>
      <c r="G9" s="1301" t="e">
        <f>SUMIFS('[22]lương P1P3 T1.2024'!$W$1:$W$65536,'[22]lương P1P3 T1.2024'!$D$1:$D$65536,'[22]Tổng hợp'!B9)</f>
        <v>#VALUE!</v>
      </c>
      <c r="H9" s="1301" t="e">
        <f>SUMIFS('[22]lương P1P3 T1.2024'!$X$1:$X$65536,'[22]lương P1P3 T1.2024'!$D$1:$D$65536,'[22]Tổng hợp'!B9)</f>
        <v>#VALUE!</v>
      </c>
      <c r="I9" s="1301" t="e">
        <f>SUMIFS('[22]lương P1P3 T1.2024'!$Y$1:$Y$65536,'[22]lương P1P3 T1.2024'!$D$1:$D$65536,'[22]Tổng hợp'!B9)</f>
        <v>#VALUE!</v>
      </c>
      <c r="J9" s="1301" t="e">
        <f>SUMIFS('[22]lương P1P3 T1.2024'!$Z$1:$Z$65536,'[22]lương P1P3 T1.2024'!$D$1:$D$65536,'[22]Tổng hợp'!B9)</f>
        <v>#VALUE!</v>
      </c>
      <c r="K9" s="1301" t="e">
        <f>SUMIFS('[22]lương P1P3 T1.2024'!$AA$1:$AA$65536,'[22]lương P1P3 T1.2024'!$D$1:$D$65536,'[22]Tổng hợp'!B9)</f>
        <v>#VALUE!</v>
      </c>
      <c r="L9" s="1301" t="e">
        <f>SUMIFS('[22]lương P1P3 T1.2024'!$AB$1:$AB$65536,'[22]lương P1P3 T1.2024'!$D$1:$D$65536,'[22]Tổng hợp'!B9)</f>
        <v>#VALUE!</v>
      </c>
      <c r="M9" s="1301" t="e">
        <f>SUMIFS('[22]lương P1P3 T1.2024'!$AC$1:$AC$65536,'[22]lương P1P3 T1.2024'!$D$1:$D$65536,'[22]Tổng hợp'!B9)</f>
        <v>#VALUE!</v>
      </c>
      <c r="N9" s="1301" t="e">
        <f>SUMIFS('[22]lương P1P3 T1.2024'!$AD$1:$AD$65536,'[22]lương P1P3 T1.2024'!$D$1:$D$65536,'[22]Tổng hợp'!B9)</f>
        <v>#VALUE!</v>
      </c>
      <c r="O9" s="1301" t="e">
        <f>SUMIFS('[22]lương P1P3 T1.2024'!$AE$1:$AE$65536,'[22]lương P1P3 T1.2024'!$D$1:$D$65536,'[22]Tổng hợp'!B9)</f>
        <v>#VALUE!</v>
      </c>
      <c r="P9" s="1301" t="e">
        <f>SUMIFS('[22]lương P1P3 T1.2024'!$AF$1:$AF$65536,'[22]lương P1P3 T1.2024'!$D$1:$D$65536,'[22]Tổng hợp'!B9)</f>
        <v>#VALUE!</v>
      </c>
      <c r="Q9" s="1301" t="e">
        <f>SUMIFS('[22]lương P1P3 T1.2024'!$AG$1:$AG$65536,'[22]lương P1P3 T1.2024'!$D$1:$D$65536,'[22]Tổng hợp'!$B9)</f>
        <v>#VALUE!</v>
      </c>
      <c r="R9" s="1301" t="e">
        <f>SUMIFS('[22]lương P1P3 T1.2024'!$AH$1:$AH$65536,'[22]lương P1P3 T1.2024'!$D$1:$D$65536,'[22]Tổng hợp'!$B9)</f>
        <v>#VALUE!</v>
      </c>
      <c r="S9" s="1301" t="e">
        <f>SUMIFS('[22]lương P1P3 T1.2024'!$AI$1:$AI$65536,'[22]lương P1P3 T1.2024'!$D$1:$D$65536,'[22]Tổng hợp'!$B9)</f>
        <v>#VALUE!</v>
      </c>
      <c r="T9" s="1301" t="e">
        <f>SUMIFS('[22]lương P1P3 T1.2024'!$AJ$1:$AJ$65536,'[22]lương P1P3 T1.2024'!$D$1:$D$65536,'[22]Tổng hợp'!$B9)</f>
        <v>#VALUE!</v>
      </c>
      <c r="U9" s="1301" t="e">
        <f>SUMIFS('[22]lương P1P3 T1.2024'!$AK$1:$AK$65536,'[22]lương P1P3 T1.2024'!$D$1:$D$65536,'[22]Tổng hợp'!$B9)</f>
        <v>#VALUE!</v>
      </c>
      <c r="V9" s="1301" t="e">
        <f>SUMIFS('[22]lương P1P3 T1.2024'!$AL$1:$AL$65536,'[22]lương P1P3 T1.2024'!$D$1:$D$65536,'[22]Tổng hợp'!$B9)</f>
        <v>#VALUE!</v>
      </c>
      <c r="W9" s="1301" t="e">
        <f>SUMIFS('[22]lương P1P3 T1.2024'!$AM$1:$AM$65536,'[22]lương P1P3 T1.2024'!$D$1:$D$65536,'[22]Tổng hợp'!$B9)</f>
        <v>#VALUE!</v>
      </c>
      <c r="X9" s="1301" t="e">
        <f>SUMIFS('[22]lương P1P3 T1.2024'!$AN$1:$AN$65536,'[22]lương P1P3 T1.2024'!$D$1:$D$65536,'[22]Tổng hợp'!$B9)</f>
        <v>#VALUE!</v>
      </c>
      <c r="Y9" s="1301" t="e">
        <f>SUMIFS('[22]lương P1P3 T1.2024'!$AO$1:$AO$65536,'[22]lương P1P3 T1.2024'!$D$1:$D$65536,'[22]Tổng hợp'!$B9)</f>
        <v>#VALUE!</v>
      </c>
      <c r="Z9" s="1301" t="e">
        <f>SUMIFS('[22]lương P1P3 T1.2024'!$AP$1:$AP$65536,'[22]lương P1P3 T1.2024'!$D$1:$D$65536,'[22]Tổng hợp'!$B9)</f>
        <v>#VALUE!</v>
      </c>
      <c r="AA9" s="1301" t="e">
        <f>SUMIFS('[22]lương P1P3 T1.2024'!$AQ$1:$AQ$65536,'[22]lương P1P3 T1.2024'!$D$1:$D$65536,'[22]Tổng hợp'!$B9)</f>
        <v>#VALUE!</v>
      </c>
      <c r="AB9" s="1301" t="e">
        <f>SUMIFS('[22]lương P1P3 T1.2024'!$AR$1:$AR$65536,'[22]lương P1P3 T1.2024'!$D$1:$D$65536,'[22]Tổng hợp'!$B9)</f>
        <v>#VALUE!</v>
      </c>
      <c r="AC9" s="1301" t="e">
        <f>SUMIFS('[22]lương P1P3 T1.2024'!$AS$1:$AS$65536,'[22]lương P1P3 T1.2024'!$D$1:$D$65536,'[22]Tổng hợp'!$B9)</f>
        <v>#VALUE!</v>
      </c>
      <c r="AD9" s="1301" t="e">
        <f>SUMIFS('[22]lương P1P3 T1.2024'!$AT$1:$AT$65536,'[22]lương P1P3 T1.2024'!$D$1:$D$65536,'[22]Tổng hợp'!$B9)</f>
        <v>#VALUE!</v>
      </c>
      <c r="AE9" s="1301" t="e">
        <f>SUMIFS('[22]lương P1P3 T1.2024'!$AU$1:$AU$65536,'[22]lương P1P3 T1.2024'!$D$1:$D$65536,'[22]Tổng hợp'!$B9)</f>
        <v>#VALUE!</v>
      </c>
      <c r="AF9" s="1301" t="e">
        <f>SUMIFS('[22]lương P1P3 T1.2024'!$AV$1:$AV$65536,'[22]lương P1P3 T1.2024'!$D$1:$D$65536,'[22]Tổng hợp'!$B9)</f>
        <v>#VALUE!</v>
      </c>
      <c r="AG9" s="1301" t="e">
        <f>SUMIFS('[22]lương P1P3 T1.2024'!$AW$1:$AW$65536,'[22]lương P1P3 T1.2024'!$D$1:$D$65536,'[22]Tổng hợp'!$B9)</f>
        <v>#VALUE!</v>
      </c>
      <c r="AH9" s="1302" t="e">
        <f t="shared" si="0"/>
        <v>#VALUE!</v>
      </c>
    </row>
    <row r="10" spans="1:34" ht="16.5">
      <c r="A10" s="1299">
        <v>4</v>
      </c>
      <c r="B10" s="1300" t="s">
        <v>63</v>
      </c>
      <c r="C10" s="1301" t="e">
        <f>SUMIFS('[22]lương P1P3 T1.2024'!$S$1:$S$65536,'[22]lương P1P3 T1.2024'!$D$1:$D$65536,'[22]Tổng hợp'!$B10)</f>
        <v>#VALUE!</v>
      </c>
      <c r="D10" s="1301" t="e">
        <f>SUMIFS('[22]lương P1P3 T1.2024'!$T$1:$T$65536,'[22]lương P1P3 T1.2024'!$D$1:$D$65536,'[22]Tổng hợp'!B10)</f>
        <v>#VALUE!</v>
      </c>
      <c r="E10" s="1301" t="e">
        <f>SUMIFS('[22]lương P1P3 T1.2024'!$U$1:$U$65536,'[22]lương P1P3 T1.2024'!$D$1:$D$65536,'[22]Tổng hợp'!B10)</f>
        <v>#VALUE!</v>
      </c>
      <c r="F10" s="1301" t="e">
        <f>SUMIFS('[22]lương P1P3 T1.2024'!$V$1:$V$65536,'[22]lương P1P3 T1.2024'!$D$1:$D$65536,'[22]Tổng hợp'!B10)</f>
        <v>#VALUE!</v>
      </c>
      <c r="G10" s="1301" t="e">
        <f>SUMIFS('[22]lương P1P3 T1.2024'!$W$1:$W$65536,'[22]lương P1P3 T1.2024'!$D$1:$D$65536,'[22]Tổng hợp'!B10)</f>
        <v>#VALUE!</v>
      </c>
      <c r="H10" s="1301" t="e">
        <f>SUMIFS('[22]lương P1P3 T1.2024'!$X$1:$X$65536,'[22]lương P1P3 T1.2024'!$D$1:$D$65536,'[22]Tổng hợp'!B10)</f>
        <v>#VALUE!</v>
      </c>
      <c r="I10" s="1301" t="e">
        <f>SUMIFS('[22]lương P1P3 T1.2024'!$Y$1:$Y$65536,'[22]lương P1P3 T1.2024'!$D$1:$D$65536,'[22]Tổng hợp'!B10)</f>
        <v>#VALUE!</v>
      </c>
      <c r="J10" s="1301" t="e">
        <f>SUMIFS('[22]lương P1P3 T1.2024'!$Z$1:$Z$65536,'[22]lương P1P3 T1.2024'!$D$1:$D$65536,'[22]Tổng hợp'!B10)</f>
        <v>#VALUE!</v>
      </c>
      <c r="K10" s="1301" t="e">
        <f>SUMIFS('[22]lương P1P3 T1.2024'!$AA$1:$AA$65536,'[22]lương P1P3 T1.2024'!$D$1:$D$65536,'[22]Tổng hợp'!B10)</f>
        <v>#VALUE!</v>
      </c>
      <c r="L10" s="1301" t="e">
        <f>SUMIFS('[22]lương P1P3 T1.2024'!$AB$1:$AB$65536,'[22]lương P1P3 T1.2024'!$D$1:$D$65536,'[22]Tổng hợp'!B10)</f>
        <v>#VALUE!</v>
      </c>
      <c r="M10" s="1301"/>
      <c r="N10" s="1301" t="e">
        <f>SUMIFS('[22]lương P1P3 T1.2024'!$AD$1:$AD$65536,'[22]lương P1P3 T1.2024'!$D$1:$D$65536,'[22]Tổng hợp'!B10)</f>
        <v>#VALUE!</v>
      </c>
      <c r="O10" s="1301" t="e">
        <f>SUMIFS('[22]lương P1P3 T1.2024'!$AE$1:$AE$65536,'[22]lương P1P3 T1.2024'!$D$1:$D$65536,'[22]Tổng hợp'!B10)</f>
        <v>#VALUE!</v>
      </c>
      <c r="P10" s="1301" t="e">
        <f>SUMIFS('[22]lương P1P3 T1.2024'!$AF$1:$AF$65536,'[22]lương P1P3 T1.2024'!$D$1:$D$65536,'[22]Tổng hợp'!B10)</f>
        <v>#VALUE!</v>
      </c>
      <c r="Q10" s="1301" t="e">
        <f>SUMIFS('[22]lương P1P3 T1.2024'!$AG$1:$AG$65536,'[22]lương P1P3 T1.2024'!$D$1:$D$65536,'[22]Tổng hợp'!$B10)</f>
        <v>#VALUE!</v>
      </c>
      <c r="R10" s="1301" t="e">
        <f>SUMIFS('[22]lương P1P3 T1.2024'!$AH$1:$AH$65536,'[22]lương P1P3 T1.2024'!$D$1:$D$65536,'[22]Tổng hợp'!$B10)</f>
        <v>#VALUE!</v>
      </c>
      <c r="S10" s="1301" t="e">
        <f>SUMIFS('[22]lương P1P3 T1.2024'!$AI$1:$AI$65536,'[22]lương P1P3 T1.2024'!$D$1:$D$65536,'[22]Tổng hợp'!$B10)</f>
        <v>#VALUE!</v>
      </c>
      <c r="T10" s="1301" t="e">
        <f>SUMIFS('[22]lương P1P3 T1.2024'!$AJ$1:$AJ$65536,'[22]lương P1P3 T1.2024'!$D$1:$D$65536,'[22]Tổng hợp'!$B10)</f>
        <v>#VALUE!</v>
      </c>
      <c r="U10" s="1301" t="e">
        <f>SUMIFS('[22]lương P1P3 T1.2024'!$AK$1:$AK$65536,'[22]lương P1P3 T1.2024'!$D$1:$D$65536,'[22]Tổng hợp'!$B10)</f>
        <v>#VALUE!</v>
      </c>
      <c r="V10" s="1301" t="e">
        <f>SUMIFS('[22]lương P1P3 T1.2024'!$AL$1:$AL$65536,'[22]lương P1P3 T1.2024'!$D$1:$D$65536,'[22]Tổng hợp'!$B10)</f>
        <v>#VALUE!</v>
      </c>
      <c r="W10" s="1301" t="e">
        <f>SUMIFS('[22]lương P1P3 T1.2024'!$AM$1:$AM$65536,'[22]lương P1P3 T1.2024'!$D$1:$D$65536,'[22]Tổng hợp'!$B10)</f>
        <v>#VALUE!</v>
      </c>
      <c r="X10" s="1301" t="e">
        <f>SUMIFS('[22]lương P1P3 T1.2024'!$AN$1:$AN$65536,'[22]lương P1P3 T1.2024'!$D$1:$D$65536,'[22]Tổng hợp'!$B10)</f>
        <v>#VALUE!</v>
      </c>
      <c r="Y10" s="1301" t="e">
        <f>SUMIFS('[22]lương P1P3 T1.2024'!$AO$1:$AO$65536,'[22]lương P1P3 T1.2024'!$D$1:$D$65536,'[22]Tổng hợp'!$B10)</f>
        <v>#VALUE!</v>
      </c>
      <c r="Z10" s="1301" t="e">
        <f>SUMIFS('[22]lương P1P3 T1.2024'!$AP$1:$AP$65536,'[22]lương P1P3 T1.2024'!$D$1:$D$65536,'[22]Tổng hợp'!$B10)</f>
        <v>#VALUE!</v>
      </c>
      <c r="AA10" s="1301" t="e">
        <f>SUMIFS('[22]lương P1P3 T1.2024'!$AQ$1:$AQ$65536,'[22]lương P1P3 T1.2024'!$D$1:$D$65536,'[22]Tổng hợp'!$B10)</f>
        <v>#VALUE!</v>
      </c>
      <c r="AB10" s="1301" t="e">
        <f>SUMIFS('[22]lương P1P3 T1.2024'!$AR$1:$AR$65536,'[22]lương P1P3 T1.2024'!$D$1:$D$65536,'[22]Tổng hợp'!$B10)</f>
        <v>#VALUE!</v>
      </c>
      <c r="AC10" s="1301" t="e">
        <f>SUMIFS('[22]lương P1P3 T1.2024'!$AS$1:$AS$65536,'[22]lương P1P3 T1.2024'!$D$1:$D$65536,'[22]Tổng hợp'!$B10)</f>
        <v>#VALUE!</v>
      </c>
      <c r="AD10" s="1301" t="e">
        <f>SUMIFS('[22]lương P1P3 T1.2024'!$AT$1:$AT$65536,'[22]lương P1P3 T1.2024'!$D$1:$D$65536,'[22]Tổng hợp'!$B10)</f>
        <v>#VALUE!</v>
      </c>
      <c r="AE10" s="1301" t="e">
        <f>SUMIFS('[22]lương P1P3 T1.2024'!$AU$1:$AU$65536,'[22]lương P1P3 T1.2024'!$D$1:$D$65536,'[22]Tổng hợp'!$B10)</f>
        <v>#VALUE!</v>
      </c>
      <c r="AF10" s="1301" t="e">
        <f>SUMIFS('[22]lương P1P3 T1.2024'!$AV$1:$AV$65536,'[22]lương P1P3 T1.2024'!$D$1:$D$65536,'[22]Tổng hợp'!$B10)</f>
        <v>#VALUE!</v>
      </c>
      <c r="AG10" s="1301" t="e">
        <f>SUMIFS('[22]lương P1P3 T1.2024'!$AW$1:$AW$65536,'[22]lương P1P3 T1.2024'!$D$1:$D$65536,'[22]Tổng hợp'!$B10)</f>
        <v>#VALUE!</v>
      </c>
      <c r="AH10" s="1302" t="e">
        <f t="shared" si="0"/>
        <v>#VALUE!</v>
      </c>
    </row>
    <row r="11" spans="1:34" ht="16.5">
      <c r="A11" s="1299">
        <v>5</v>
      </c>
      <c r="B11" s="1300" t="s">
        <v>70</v>
      </c>
      <c r="C11" s="1301" t="e">
        <f>SUMIFS('[22]lương P1P3 T1.2024'!$S$1:$S$65536,'[22]lương P1P3 T1.2024'!$D$1:$D$65536,'[22]Tổng hợp'!$B11)</f>
        <v>#VALUE!</v>
      </c>
      <c r="D11" s="1301" t="e">
        <f>SUMIFS('[22]lương P1P3 T1.2024'!$T$1:$T$65536,'[22]lương P1P3 T1.2024'!$D$1:$D$65536,'[22]Tổng hợp'!B11)</f>
        <v>#VALUE!</v>
      </c>
      <c r="E11" s="1301" t="e">
        <f>SUMIFS('[22]lương P1P3 T1.2024'!$U$1:$U$65536,'[22]lương P1P3 T1.2024'!$D$1:$D$65536,'[22]Tổng hợp'!B11)</f>
        <v>#VALUE!</v>
      </c>
      <c r="F11" s="1301" t="e">
        <f>SUMIFS('[22]lương P1P3 T1.2024'!$V$1:$V$65536,'[22]lương P1P3 T1.2024'!$D$1:$D$65536,'[22]Tổng hợp'!B11)</f>
        <v>#VALUE!</v>
      </c>
      <c r="G11" s="1301" t="e">
        <f>SUMIFS('[22]lương P1P3 T1.2024'!$W$1:$W$65536,'[22]lương P1P3 T1.2024'!$D$1:$D$65536,'[22]Tổng hợp'!B11)</f>
        <v>#VALUE!</v>
      </c>
      <c r="H11" s="1301" t="e">
        <f>SUMIFS('[22]lương P1P3 T1.2024'!$X$1:$X$65536,'[22]lương P1P3 T1.2024'!$D$1:$D$65536,'[22]Tổng hợp'!B11)</f>
        <v>#VALUE!</v>
      </c>
      <c r="I11" s="1301" t="e">
        <f>SUMIFS('[22]lương P1P3 T1.2024'!$Y$1:$Y$65536,'[22]lương P1P3 T1.2024'!$D$1:$D$65536,'[22]Tổng hợp'!B11)</f>
        <v>#VALUE!</v>
      </c>
      <c r="J11" s="1301" t="e">
        <f>SUMIFS('[22]lương P1P3 T1.2024'!$Z$1:$Z$65536,'[22]lương P1P3 T1.2024'!$D$1:$D$65536,'[22]Tổng hợp'!B11)</f>
        <v>#VALUE!</v>
      </c>
      <c r="K11" s="1301" t="e">
        <f>SUMIFS('[22]lương P1P3 T1.2024'!$AA$1:$AA$65536,'[22]lương P1P3 T1.2024'!$D$1:$D$65536,'[22]Tổng hợp'!B11)</f>
        <v>#VALUE!</v>
      </c>
      <c r="L11" s="1301" t="e">
        <f>SUMIFS('[22]lương P1P3 T1.2024'!$AB$1:$AB$65536,'[22]lương P1P3 T1.2024'!$D$1:$D$65536,'[22]Tổng hợp'!B11)</f>
        <v>#VALUE!</v>
      </c>
      <c r="M11" s="1301" t="e">
        <f>SUMIFS('[22]lương P1P3 T1.2024'!$AC$1:$AC$65536,'[22]lương P1P3 T1.2024'!$D$1:$D$65536,'[22]Tổng hợp'!B11)</f>
        <v>#VALUE!</v>
      </c>
      <c r="N11" s="1301" t="e">
        <f>SUMIFS('[22]lương P1P3 T1.2024'!$AD$1:$AD$65536,'[22]lương P1P3 T1.2024'!$D$1:$D$65536,'[22]Tổng hợp'!B11)</f>
        <v>#VALUE!</v>
      </c>
      <c r="O11" s="1301" t="e">
        <f>SUMIFS('[22]lương P1P3 T1.2024'!$AE$1:$AE$65536,'[22]lương P1P3 T1.2024'!$D$1:$D$65536,'[22]Tổng hợp'!B11)</f>
        <v>#VALUE!</v>
      </c>
      <c r="P11" s="1301" t="e">
        <f>SUMIFS('[22]lương P1P3 T1.2024'!$AF$1:$AF$65536,'[22]lương P1P3 T1.2024'!$D$1:$D$65536,'[22]Tổng hợp'!B11)</f>
        <v>#VALUE!</v>
      </c>
      <c r="Q11" s="1301" t="e">
        <f>SUMIFS('[22]lương P1P3 T1.2024'!$AG$1:$AG$65536,'[22]lương P1P3 T1.2024'!$D$1:$D$65536,'[22]Tổng hợp'!$B11)</f>
        <v>#VALUE!</v>
      </c>
      <c r="R11" s="1301" t="e">
        <f>SUMIFS('[22]lương P1P3 T1.2024'!$AH$1:$AH$65536,'[22]lương P1P3 T1.2024'!$D$1:$D$65536,'[22]Tổng hợp'!$B11)</f>
        <v>#VALUE!</v>
      </c>
      <c r="S11" s="1301" t="e">
        <f>SUMIFS('[22]lương P1P3 T1.2024'!$AI$1:$AI$65536,'[22]lương P1P3 T1.2024'!$D$1:$D$65536,'[22]Tổng hợp'!$B11)</f>
        <v>#VALUE!</v>
      </c>
      <c r="T11" s="1301" t="e">
        <f>SUMIFS('[22]lương P1P3 T1.2024'!$AJ$1:$AJ$65536,'[22]lương P1P3 T1.2024'!$D$1:$D$65536,'[22]Tổng hợp'!$B11)</f>
        <v>#VALUE!</v>
      </c>
      <c r="U11" s="1301" t="e">
        <f>SUMIFS('[22]lương P1P3 T1.2024'!$AK$1:$AK$65536,'[22]lương P1P3 T1.2024'!$D$1:$D$65536,'[22]Tổng hợp'!$B11)</f>
        <v>#VALUE!</v>
      </c>
      <c r="V11" s="1301" t="e">
        <f>SUMIFS('[22]lương P1P3 T1.2024'!$AL$1:$AL$65536,'[22]lương P1P3 T1.2024'!$D$1:$D$65536,'[22]Tổng hợp'!$B11)</f>
        <v>#VALUE!</v>
      </c>
      <c r="W11" s="1301" t="e">
        <f>SUMIFS('[22]lương P1P3 T1.2024'!$AM$1:$AM$65536,'[22]lương P1P3 T1.2024'!$D$1:$D$65536,'[22]Tổng hợp'!$B11)</f>
        <v>#VALUE!</v>
      </c>
      <c r="X11" s="1301" t="e">
        <f>SUMIFS('[22]lương P1P3 T1.2024'!$AN$1:$AN$65536,'[22]lương P1P3 T1.2024'!$D$1:$D$65536,'[22]Tổng hợp'!$B11)</f>
        <v>#VALUE!</v>
      </c>
      <c r="Y11" s="1301" t="e">
        <f>SUMIFS('[22]lương P1P3 T1.2024'!$AO$1:$AO$65536,'[22]lương P1P3 T1.2024'!$D$1:$D$65536,'[22]Tổng hợp'!$B11)</f>
        <v>#VALUE!</v>
      </c>
      <c r="Z11" s="1301" t="e">
        <f>SUMIFS('[22]lương P1P3 T1.2024'!$AP$1:$AP$65536,'[22]lương P1P3 T1.2024'!$D$1:$D$65536,'[22]Tổng hợp'!$B11)</f>
        <v>#VALUE!</v>
      </c>
      <c r="AA11" s="1301" t="e">
        <f>SUMIFS('[22]lương P1P3 T1.2024'!$AQ$1:$AQ$65536,'[22]lương P1P3 T1.2024'!$D$1:$D$65536,'[22]Tổng hợp'!$B11)</f>
        <v>#VALUE!</v>
      </c>
      <c r="AB11" s="1301" t="e">
        <f>SUMIFS('[22]lương P1P3 T1.2024'!$AR$1:$AR$65536,'[22]lương P1P3 T1.2024'!$D$1:$D$65536,'[22]Tổng hợp'!$B11)</f>
        <v>#VALUE!</v>
      </c>
      <c r="AC11" s="1301" t="e">
        <f>SUMIFS('[22]lương P1P3 T1.2024'!$AS$1:$AS$65536,'[22]lương P1P3 T1.2024'!$D$1:$D$65536,'[22]Tổng hợp'!$B11)</f>
        <v>#VALUE!</v>
      </c>
      <c r="AD11" s="1301" t="e">
        <f>SUMIFS('[22]lương P1P3 T1.2024'!$AT$1:$AT$65536,'[22]lương P1P3 T1.2024'!$D$1:$D$65536,'[22]Tổng hợp'!$B11)</f>
        <v>#VALUE!</v>
      </c>
      <c r="AE11" s="1301" t="e">
        <f>SUMIFS('[22]lương P1P3 T1.2024'!$AU$1:$AU$65536,'[22]lương P1P3 T1.2024'!$D$1:$D$65536,'[22]Tổng hợp'!$B11)</f>
        <v>#VALUE!</v>
      </c>
      <c r="AF11" s="1301" t="e">
        <f>SUMIFS('[22]lương P1P3 T1.2024'!$AV$1:$AV$65536,'[22]lương P1P3 T1.2024'!$D$1:$D$65536,'[22]Tổng hợp'!$B11)</f>
        <v>#VALUE!</v>
      </c>
      <c r="AG11" s="1301" t="e">
        <f>SUMIFS('[22]lương P1P3 T1.2024'!$AW$1:$AW$65536,'[22]lương P1P3 T1.2024'!$D$1:$D$65536,'[22]Tổng hợp'!$B11)</f>
        <v>#VALUE!</v>
      </c>
      <c r="AH11" s="1302" t="e">
        <f t="shared" si="0"/>
        <v>#VALUE!</v>
      </c>
    </row>
    <row r="12" spans="1:34" ht="16.5">
      <c r="A12" s="1299">
        <v>6</v>
      </c>
      <c r="B12" s="1300" t="s">
        <v>79</v>
      </c>
      <c r="C12" s="1301" t="e">
        <f>SUMIFS('[22]lương P1P3 T1.2024'!$S$1:$S$65536,'[22]lương P1P3 T1.2024'!$D$1:$D$65536,'[22]Tổng hợp'!$B12)</f>
        <v>#VALUE!</v>
      </c>
      <c r="D12" s="1301" t="e">
        <f>SUMIFS('[22]lương P1P3 T1.2024'!$T$1:$T$65536,'[22]lương P1P3 T1.2024'!$D$1:$D$65536,'[22]Tổng hợp'!B12)</f>
        <v>#VALUE!</v>
      </c>
      <c r="E12" s="1301" t="e">
        <f>SUMIFS('[22]lương P1P3 T1.2024'!$U$1:$U$65536,'[22]lương P1P3 T1.2024'!$D$1:$D$65536,'[22]Tổng hợp'!B12)</f>
        <v>#VALUE!</v>
      </c>
      <c r="F12" s="1301" t="e">
        <f>SUMIFS('[22]lương P1P3 T1.2024'!$V$1:$V$65536,'[22]lương P1P3 T1.2024'!$D$1:$D$65536,'[22]Tổng hợp'!B12)</f>
        <v>#VALUE!</v>
      </c>
      <c r="G12" s="1301" t="e">
        <f>SUMIFS('[22]lương P1P3 T1.2024'!$W$1:$W$65536,'[22]lương P1P3 T1.2024'!$D$1:$D$65536,'[22]Tổng hợp'!B12)</f>
        <v>#VALUE!</v>
      </c>
      <c r="H12" s="1301" t="e">
        <f>SUMIFS('[22]lương P1P3 T1.2024'!$X$1:$X$65536,'[22]lương P1P3 T1.2024'!$D$1:$D$65536,'[22]Tổng hợp'!B12)</f>
        <v>#VALUE!</v>
      </c>
      <c r="I12" s="1301" t="e">
        <f>SUMIFS('[22]lương P1P3 T1.2024'!$Y$1:$Y$65536,'[22]lương P1P3 T1.2024'!$D$1:$D$65536,'[22]Tổng hợp'!B12)</f>
        <v>#VALUE!</v>
      </c>
      <c r="J12" s="1301" t="e">
        <f>SUMIFS('[22]lương P1P3 T1.2024'!$Z$1:$Z$65536,'[22]lương P1P3 T1.2024'!$D$1:$D$65536,'[22]Tổng hợp'!B12)</f>
        <v>#VALUE!</v>
      </c>
      <c r="K12" s="1301" t="e">
        <f>SUMIFS('[22]lương P1P3 T1.2024'!$AA$1:$AA$65536,'[22]lương P1P3 T1.2024'!$D$1:$D$65536,'[22]Tổng hợp'!B12)</f>
        <v>#VALUE!</v>
      </c>
      <c r="L12" s="1301" t="e">
        <f>SUMIFS('[22]lương P1P3 T1.2024'!$AB$1:$AB$65536,'[22]lương P1P3 T1.2024'!$D$1:$D$65536,'[22]Tổng hợp'!B12)</f>
        <v>#VALUE!</v>
      </c>
      <c r="M12" s="1301" t="e">
        <f>SUMIFS('[22]lương P1P3 T1.2024'!$AC$1:$AC$65536,'[22]lương P1P3 T1.2024'!$D$1:$D$65536,'[22]Tổng hợp'!B12)</f>
        <v>#VALUE!</v>
      </c>
      <c r="N12" s="1301" t="e">
        <f>SUMIFS('[22]lương P1P3 T1.2024'!$AD$1:$AD$65536,'[22]lương P1P3 T1.2024'!$D$1:$D$65536,'[22]Tổng hợp'!B12)</f>
        <v>#VALUE!</v>
      </c>
      <c r="O12" s="1301" t="e">
        <f>SUMIFS('[22]lương P1P3 T1.2024'!$AE$1:$AE$65536,'[22]lương P1P3 T1.2024'!$D$1:$D$65536,'[22]Tổng hợp'!B12)</f>
        <v>#VALUE!</v>
      </c>
      <c r="P12" s="1301" t="e">
        <f>SUMIFS('[22]lương P1P3 T1.2024'!$AF$1:$AF$65536,'[22]lương P1P3 T1.2024'!$D$1:$D$65536,'[22]Tổng hợp'!B12)</f>
        <v>#VALUE!</v>
      </c>
      <c r="Q12" s="1301" t="e">
        <f>SUMIFS('[22]lương P1P3 T1.2024'!$AG$1:$AG$65536,'[22]lương P1P3 T1.2024'!$D$1:$D$65536,'[22]Tổng hợp'!$B12)</f>
        <v>#VALUE!</v>
      </c>
      <c r="R12" s="1301" t="e">
        <f>SUMIFS('[22]lương P1P3 T1.2024'!$AH$1:$AH$65536,'[22]lương P1P3 T1.2024'!$D$1:$D$65536,'[22]Tổng hợp'!$B12)</f>
        <v>#VALUE!</v>
      </c>
      <c r="S12" s="1301" t="e">
        <f>SUMIFS('[22]lương P1P3 T1.2024'!$AI$1:$AI$65536,'[22]lương P1P3 T1.2024'!$D$1:$D$65536,'[22]Tổng hợp'!$B12)</f>
        <v>#VALUE!</v>
      </c>
      <c r="T12" s="1301" t="e">
        <f>SUMIFS('[22]lương P1P3 T1.2024'!$AJ$1:$AJ$65536,'[22]lương P1P3 T1.2024'!$D$1:$D$65536,'[22]Tổng hợp'!$B12)</f>
        <v>#VALUE!</v>
      </c>
      <c r="U12" s="1301" t="e">
        <f>SUMIFS('[22]lương P1P3 T1.2024'!$AK$1:$AK$65536,'[22]lương P1P3 T1.2024'!$D$1:$D$65536,'[22]Tổng hợp'!$B12)</f>
        <v>#VALUE!</v>
      </c>
      <c r="V12" s="1301" t="e">
        <f>SUMIFS('[22]lương P1P3 T1.2024'!$AL$1:$AL$65536,'[22]lương P1P3 T1.2024'!$D$1:$D$65536,'[22]Tổng hợp'!$B12)</f>
        <v>#VALUE!</v>
      </c>
      <c r="W12" s="1301" t="e">
        <f>SUMIFS('[22]lương P1P3 T1.2024'!$AM$1:$AM$65536,'[22]lương P1P3 T1.2024'!$D$1:$D$65536,'[22]Tổng hợp'!$B12)</f>
        <v>#VALUE!</v>
      </c>
      <c r="X12" s="1301" t="e">
        <f>SUMIFS('[22]lương P1P3 T1.2024'!$AN$1:$AN$65536,'[22]lương P1P3 T1.2024'!$D$1:$D$65536,'[22]Tổng hợp'!$B12)</f>
        <v>#VALUE!</v>
      </c>
      <c r="Y12" s="1301" t="e">
        <f>SUMIFS('[22]lương P1P3 T1.2024'!$AO$1:$AO$65536,'[22]lương P1P3 T1.2024'!$D$1:$D$65536,'[22]Tổng hợp'!$B12)</f>
        <v>#VALUE!</v>
      </c>
      <c r="Z12" s="1301" t="e">
        <f>SUMIFS('[22]lương P1P3 T1.2024'!$AP$1:$AP$65536,'[22]lương P1P3 T1.2024'!$D$1:$D$65536,'[22]Tổng hợp'!$B12)</f>
        <v>#VALUE!</v>
      </c>
      <c r="AA12" s="1301" t="e">
        <f>SUMIFS('[22]lương P1P3 T1.2024'!$AQ$1:$AQ$65536,'[22]lương P1P3 T1.2024'!$D$1:$D$65536,'[22]Tổng hợp'!$B12)</f>
        <v>#VALUE!</v>
      </c>
      <c r="AB12" s="1301" t="e">
        <f>SUMIFS('[22]lương P1P3 T1.2024'!$AR$1:$AR$65536,'[22]lương P1P3 T1.2024'!$D$1:$D$65536,'[22]Tổng hợp'!$B12)</f>
        <v>#VALUE!</v>
      </c>
      <c r="AC12" s="1301" t="e">
        <f>SUMIFS('[22]lương P1P3 T1.2024'!$AS$1:$AS$65536,'[22]lương P1P3 T1.2024'!$D$1:$D$65536,'[22]Tổng hợp'!$B12)</f>
        <v>#VALUE!</v>
      </c>
      <c r="AD12" s="1301" t="e">
        <f>SUMIFS('[22]lương P1P3 T1.2024'!$AT$1:$AT$65536,'[22]lương P1P3 T1.2024'!$D$1:$D$65536,'[22]Tổng hợp'!$B12)</f>
        <v>#VALUE!</v>
      </c>
      <c r="AE12" s="1301" t="e">
        <f>SUMIFS('[22]lương P1P3 T1.2024'!$AU$1:$AU$65536,'[22]lương P1P3 T1.2024'!$D$1:$D$65536,'[22]Tổng hợp'!$B12)</f>
        <v>#VALUE!</v>
      </c>
      <c r="AF12" s="1301" t="e">
        <f>SUMIFS('[22]lương P1P3 T1.2024'!$AV$1:$AV$65536,'[22]lương P1P3 T1.2024'!$D$1:$D$65536,'[22]Tổng hợp'!$B12)</f>
        <v>#VALUE!</v>
      </c>
      <c r="AG12" s="1301" t="e">
        <f>SUMIFS('[22]lương P1P3 T1.2024'!$AW$1:$AW$65536,'[22]lương P1P3 T1.2024'!$D$1:$D$65536,'[22]Tổng hợp'!$B12)</f>
        <v>#VALUE!</v>
      </c>
      <c r="AH12" s="1302" t="e">
        <f t="shared" si="0"/>
        <v>#VALUE!</v>
      </c>
    </row>
    <row r="13" spans="1:34" ht="16.5">
      <c r="A13" s="1299">
        <v>7</v>
      </c>
      <c r="B13" s="1300" t="s">
        <v>87</v>
      </c>
      <c r="C13" s="1301" t="e">
        <f>SUMIFS('[22]lương P1P3 T1.2024'!$S$1:$S$65536,'[22]lương P1P3 T1.2024'!$D$1:$D$65536,'[22]Tổng hợp'!$B13)</f>
        <v>#VALUE!</v>
      </c>
      <c r="D13" s="1301" t="e">
        <f>SUMIFS('[22]lương P1P3 T1.2024'!$T$1:$T$65536,'[22]lương P1P3 T1.2024'!$D$1:$D$65536,'[22]Tổng hợp'!B13)</f>
        <v>#VALUE!</v>
      </c>
      <c r="E13" s="1301" t="e">
        <f>SUMIFS('[22]lương P1P3 T1.2024'!$U$1:$U$65536,'[22]lương P1P3 T1.2024'!$D$1:$D$65536,'[22]Tổng hợp'!B13)</f>
        <v>#VALUE!</v>
      </c>
      <c r="F13" s="1301" t="e">
        <f>SUMIFS('[22]lương P1P3 T1.2024'!$V$1:$V$65536,'[22]lương P1P3 T1.2024'!$D$1:$D$65536,'[22]Tổng hợp'!B13)</f>
        <v>#VALUE!</v>
      </c>
      <c r="G13" s="1301" t="e">
        <f>SUMIFS('[22]lương P1P3 T1.2024'!$W$1:$W$65536,'[22]lương P1P3 T1.2024'!$D$1:$D$65536,'[22]Tổng hợp'!B13)</f>
        <v>#VALUE!</v>
      </c>
      <c r="H13" s="1301" t="e">
        <f>SUMIFS('[22]lương P1P3 T1.2024'!$X$1:$X$65536,'[22]lương P1P3 T1.2024'!$D$1:$D$65536,'[22]Tổng hợp'!B13)</f>
        <v>#VALUE!</v>
      </c>
      <c r="I13" s="1301" t="e">
        <f>SUMIFS('[22]lương P1P3 T1.2024'!$Y$1:$Y$65536,'[22]lương P1P3 T1.2024'!$D$1:$D$65536,'[22]Tổng hợp'!B13)</f>
        <v>#VALUE!</v>
      </c>
      <c r="J13" s="1301" t="e">
        <f>SUMIFS('[22]lương P1P3 T1.2024'!$Z$1:$Z$65536,'[22]lương P1P3 T1.2024'!$D$1:$D$65536,'[22]Tổng hợp'!B13)</f>
        <v>#VALUE!</v>
      </c>
      <c r="K13" s="1301" t="e">
        <f>SUMIFS('[22]lương P1P3 T1.2024'!$AA$1:$AA$65536,'[22]lương P1P3 T1.2024'!$D$1:$D$65536,'[22]Tổng hợp'!B13)</f>
        <v>#VALUE!</v>
      </c>
      <c r="L13" s="1301" t="e">
        <f>SUMIFS('[22]lương P1P3 T1.2024'!$AB$1:$AB$65536,'[22]lương P1P3 T1.2024'!$D$1:$D$65536,'[22]Tổng hợp'!B13)</f>
        <v>#VALUE!</v>
      </c>
      <c r="M13" s="1301" t="e">
        <f>SUMIFS('[22]lương P1P3 T1.2024'!$AC$1:$AC$65536,'[22]lương P1P3 T1.2024'!$D$1:$D$65536,'[22]Tổng hợp'!B13)</f>
        <v>#VALUE!</v>
      </c>
      <c r="N13" s="1301" t="e">
        <f>SUMIFS('[22]lương P1P3 T1.2024'!$AD$1:$AD$65536,'[22]lương P1P3 T1.2024'!$D$1:$D$65536,'[22]Tổng hợp'!B13)</f>
        <v>#VALUE!</v>
      </c>
      <c r="O13" s="1301" t="e">
        <f>SUMIFS('[22]lương P1P3 T1.2024'!$AE$1:$AE$65536,'[22]lương P1P3 T1.2024'!$D$1:$D$65536,'[22]Tổng hợp'!B13)</f>
        <v>#VALUE!</v>
      </c>
      <c r="P13" s="1301" t="e">
        <f>SUMIFS('[22]lương P1P3 T1.2024'!$AF$1:$AF$65536,'[22]lương P1P3 T1.2024'!$D$1:$D$65536,'[22]Tổng hợp'!B13)</f>
        <v>#VALUE!</v>
      </c>
      <c r="Q13" s="1301" t="e">
        <f>SUMIFS('[22]lương P1P3 T1.2024'!$AG$1:$AG$65536,'[22]lương P1P3 T1.2024'!$D$1:$D$65536,'[22]Tổng hợp'!$B13)</f>
        <v>#VALUE!</v>
      </c>
      <c r="R13" s="1301" t="e">
        <f>SUMIFS('[22]lương P1P3 T1.2024'!$AH$1:$AH$65536,'[22]lương P1P3 T1.2024'!$D$1:$D$65536,'[22]Tổng hợp'!$B13)</f>
        <v>#VALUE!</v>
      </c>
      <c r="S13" s="1301" t="e">
        <f>SUMIFS('[22]lương P1P3 T1.2024'!$AI$1:$AI$65536,'[22]lương P1P3 T1.2024'!$D$1:$D$65536,'[22]Tổng hợp'!$B13)</f>
        <v>#VALUE!</v>
      </c>
      <c r="T13" s="1301" t="e">
        <f>SUMIFS('[22]lương P1P3 T1.2024'!$AJ$1:$AJ$65536,'[22]lương P1P3 T1.2024'!$D$1:$D$65536,'[22]Tổng hợp'!$B13)</f>
        <v>#VALUE!</v>
      </c>
      <c r="U13" s="1301" t="e">
        <f>SUMIFS('[22]lương P1P3 T1.2024'!$AK$1:$AK$65536,'[22]lương P1P3 T1.2024'!$D$1:$D$65536,'[22]Tổng hợp'!$B13)</f>
        <v>#VALUE!</v>
      </c>
      <c r="V13" s="1301" t="e">
        <f>SUMIFS('[22]lương P1P3 T1.2024'!$AL$1:$AL$65536,'[22]lương P1P3 T1.2024'!$D$1:$D$65536,'[22]Tổng hợp'!$B13)</f>
        <v>#VALUE!</v>
      </c>
      <c r="W13" s="1301" t="e">
        <f>SUMIFS('[22]lương P1P3 T1.2024'!$AM$1:$AM$65536,'[22]lương P1P3 T1.2024'!$D$1:$D$65536,'[22]Tổng hợp'!$B13)</f>
        <v>#VALUE!</v>
      </c>
      <c r="X13" s="1301" t="e">
        <f>SUMIFS('[22]lương P1P3 T1.2024'!$AN$1:$AN$65536,'[22]lương P1P3 T1.2024'!$D$1:$D$65536,'[22]Tổng hợp'!$B13)</f>
        <v>#VALUE!</v>
      </c>
      <c r="Y13" s="1301" t="e">
        <f>SUMIFS('[22]lương P1P3 T1.2024'!$AO$1:$AO$65536,'[22]lương P1P3 T1.2024'!$D$1:$D$65536,'[22]Tổng hợp'!$B13)</f>
        <v>#VALUE!</v>
      </c>
      <c r="Z13" s="1301" t="e">
        <f>SUMIFS('[22]lương P1P3 T1.2024'!$AP$1:$AP$65536,'[22]lương P1P3 T1.2024'!$D$1:$D$65536,'[22]Tổng hợp'!$B13)</f>
        <v>#VALUE!</v>
      </c>
      <c r="AA13" s="1301" t="e">
        <f>SUMIFS('[22]lương P1P3 T1.2024'!$AQ$1:$AQ$65536,'[22]lương P1P3 T1.2024'!$D$1:$D$65536,'[22]Tổng hợp'!$B13)</f>
        <v>#VALUE!</v>
      </c>
      <c r="AB13" s="1301" t="e">
        <f>SUMIFS('[22]lương P1P3 T1.2024'!$AR$1:$AR$65536,'[22]lương P1P3 T1.2024'!$D$1:$D$65536,'[22]Tổng hợp'!$B13)</f>
        <v>#VALUE!</v>
      </c>
      <c r="AC13" s="1301" t="e">
        <f>SUMIFS('[22]lương P1P3 T1.2024'!$AS$1:$AS$65536,'[22]lương P1P3 T1.2024'!$D$1:$D$65536,'[22]Tổng hợp'!$B13)</f>
        <v>#VALUE!</v>
      </c>
      <c r="AD13" s="1301" t="e">
        <f>SUMIFS('[22]lương P1P3 T1.2024'!$AT$1:$AT$65536,'[22]lương P1P3 T1.2024'!$D$1:$D$65536,'[22]Tổng hợp'!$B13)</f>
        <v>#VALUE!</v>
      </c>
      <c r="AE13" s="1301" t="e">
        <f>SUMIFS('[22]lương P1P3 T1.2024'!$AU$1:$AU$65536,'[22]lương P1P3 T1.2024'!$D$1:$D$65536,'[22]Tổng hợp'!$B13)</f>
        <v>#VALUE!</v>
      </c>
      <c r="AF13" s="1301" t="e">
        <f>SUMIFS('[22]lương P1P3 T1.2024'!$AV$1:$AV$65536,'[22]lương P1P3 T1.2024'!$D$1:$D$65536,'[22]Tổng hợp'!$B13)</f>
        <v>#VALUE!</v>
      </c>
      <c r="AG13" s="1301" t="e">
        <f>SUMIFS('[22]lương P1P3 T1.2024'!$AW$1:$AW$65536,'[22]lương P1P3 T1.2024'!$D$1:$D$65536,'[22]Tổng hợp'!$B13)</f>
        <v>#VALUE!</v>
      </c>
      <c r="AH13" s="1302" t="e">
        <f t="shared" si="0"/>
        <v>#VALUE!</v>
      </c>
    </row>
    <row r="14" spans="1:34" ht="16.5">
      <c r="A14" s="1299">
        <v>8</v>
      </c>
      <c r="B14" s="1300" t="s">
        <v>92</v>
      </c>
      <c r="C14" s="1301" t="e">
        <f>SUMIFS('[22]lương P1P3 T1.2024'!$S$1:$S$65536,'[22]lương P1P3 T1.2024'!$D$1:$D$65536,'[22]Tổng hợp'!$B14)</f>
        <v>#VALUE!</v>
      </c>
      <c r="D14" s="1301" t="e">
        <f>SUMIFS('[22]lương P1P3 T1.2024'!$T$1:$T$65536,'[22]lương P1P3 T1.2024'!$D$1:$D$65536,'[22]Tổng hợp'!B14)</f>
        <v>#VALUE!</v>
      </c>
      <c r="E14" s="1301" t="e">
        <f>SUMIFS('[22]lương P1P3 T1.2024'!$U$1:$U$65536,'[22]lương P1P3 T1.2024'!$D$1:$D$65536,'[22]Tổng hợp'!B14)</f>
        <v>#VALUE!</v>
      </c>
      <c r="F14" s="1301" t="e">
        <f>SUMIFS('[22]lương P1P3 T1.2024'!$V$1:$V$65536,'[22]lương P1P3 T1.2024'!$D$1:$D$65536,'[22]Tổng hợp'!B14)</f>
        <v>#VALUE!</v>
      </c>
      <c r="G14" s="1301" t="e">
        <f>SUMIFS('[22]lương P1P3 T1.2024'!$W$1:$W$65536,'[22]lương P1P3 T1.2024'!$D$1:$D$65536,'[22]Tổng hợp'!B14)</f>
        <v>#VALUE!</v>
      </c>
      <c r="H14" s="1301" t="e">
        <f>SUMIFS('[22]lương P1P3 T1.2024'!$X$1:$X$65536,'[22]lương P1P3 T1.2024'!$D$1:$D$65536,'[22]Tổng hợp'!B14)</f>
        <v>#VALUE!</v>
      </c>
      <c r="I14" s="1301" t="e">
        <f>SUMIFS('[22]lương P1P3 T1.2024'!$Y$1:$Y$65536,'[22]lương P1P3 T1.2024'!$D$1:$D$65536,'[22]Tổng hợp'!B14)</f>
        <v>#VALUE!</v>
      </c>
      <c r="J14" s="1301" t="e">
        <f>SUMIFS('[22]lương P1P3 T1.2024'!$Z$1:$Z$65536,'[22]lương P1P3 T1.2024'!$D$1:$D$65536,'[22]Tổng hợp'!B14)</f>
        <v>#VALUE!</v>
      </c>
      <c r="K14" s="1301" t="e">
        <f>SUMIFS('[22]lương P1P3 T1.2024'!$AA$1:$AA$65536,'[22]lương P1P3 T1.2024'!$D$1:$D$65536,'[22]Tổng hợp'!B14)</f>
        <v>#VALUE!</v>
      </c>
      <c r="L14" s="1301" t="e">
        <f>SUMIFS('[22]lương P1P3 T1.2024'!$AB$1:$AB$65536,'[22]lương P1P3 T1.2024'!$D$1:$D$65536,'[22]Tổng hợp'!B14)</f>
        <v>#VALUE!</v>
      </c>
      <c r="M14" s="1301" t="e">
        <f>SUMIFS('[22]lương P1P3 T1.2024'!$AC$1:$AC$65536,'[22]lương P1P3 T1.2024'!$D$1:$D$65536,'[22]Tổng hợp'!B14)</f>
        <v>#VALUE!</v>
      </c>
      <c r="N14" s="1301" t="e">
        <f>SUMIFS('[22]lương P1P3 T1.2024'!$AD$1:$AD$65536,'[22]lương P1P3 T1.2024'!$D$1:$D$65536,'[22]Tổng hợp'!B14)</f>
        <v>#VALUE!</v>
      </c>
      <c r="O14" s="1301" t="e">
        <f>SUMIFS('[22]lương P1P3 T1.2024'!$AE$1:$AE$65536,'[22]lương P1P3 T1.2024'!$D$1:$D$65536,'[22]Tổng hợp'!B14)</f>
        <v>#VALUE!</v>
      </c>
      <c r="P14" s="1301" t="e">
        <f>SUMIFS('[22]lương P1P3 T1.2024'!$AF$1:$AF$65536,'[22]lương P1P3 T1.2024'!$D$1:$D$65536,'[22]Tổng hợp'!B14)</f>
        <v>#VALUE!</v>
      </c>
      <c r="Q14" s="1301" t="e">
        <f>SUMIFS('[22]lương P1P3 T1.2024'!$AG$1:$AG$65536,'[22]lương P1P3 T1.2024'!$D$1:$D$65536,'[22]Tổng hợp'!$B14)</f>
        <v>#VALUE!</v>
      </c>
      <c r="R14" s="1301" t="e">
        <f>SUMIFS('[22]lương P1P3 T1.2024'!$AH$1:$AH$65536,'[22]lương P1P3 T1.2024'!$D$1:$D$65536,'[22]Tổng hợp'!$B14)</f>
        <v>#VALUE!</v>
      </c>
      <c r="S14" s="1301" t="e">
        <f>SUMIFS('[22]lương P1P3 T1.2024'!$AI$1:$AI$65536,'[22]lương P1P3 T1.2024'!$D$1:$D$65536,'[22]Tổng hợp'!$B14)</f>
        <v>#VALUE!</v>
      </c>
      <c r="T14" s="1301" t="e">
        <f>SUMIFS('[22]lương P1P3 T1.2024'!$AJ$1:$AJ$65536,'[22]lương P1P3 T1.2024'!$D$1:$D$65536,'[22]Tổng hợp'!$B14)</f>
        <v>#VALUE!</v>
      </c>
      <c r="U14" s="1301" t="e">
        <f>SUMIFS('[22]lương P1P3 T1.2024'!$AK$1:$AK$65536,'[22]lương P1P3 T1.2024'!$D$1:$D$65536,'[22]Tổng hợp'!$B14)</f>
        <v>#VALUE!</v>
      </c>
      <c r="V14" s="1301" t="e">
        <f>SUMIFS('[22]lương P1P3 T1.2024'!$AL$1:$AL$65536,'[22]lương P1P3 T1.2024'!$D$1:$D$65536,'[22]Tổng hợp'!$B14)</f>
        <v>#VALUE!</v>
      </c>
      <c r="W14" s="1301" t="e">
        <f>SUMIFS('[22]lương P1P3 T1.2024'!$AM$1:$AM$65536,'[22]lương P1P3 T1.2024'!$D$1:$D$65536,'[22]Tổng hợp'!$B14)</f>
        <v>#VALUE!</v>
      </c>
      <c r="X14" s="1301" t="e">
        <f>SUMIFS('[22]lương P1P3 T1.2024'!$AN$1:$AN$65536,'[22]lương P1P3 T1.2024'!$D$1:$D$65536,'[22]Tổng hợp'!$B14)</f>
        <v>#VALUE!</v>
      </c>
      <c r="Y14" s="1301" t="e">
        <f>SUMIFS('[22]lương P1P3 T1.2024'!$AO$1:$AO$65536,'[22]lương P1P3 T1.2024'!$D$1:$D$65536,'[22]Tổng hợp'!$B14)</f>
        <v>#VALUE!</v>
      </c>
      <c r="Z14" s="1301" t="e">
        <f>SUMIFS('[22]lương P1P3 T1.2024'!$AP$1:$AP$65536,'[22]lương P1P3 T1.2024'!$D$1:$D$65536,'[22]Tổng hợp'!$B14)</f>
        <v>#VALUE!</v>
      </c>
      <c r="AA14" s="1301" t="e">
        <f>SUMIFS('[22]lương P1P3 T1.2024'!$AQ$1:$AQ$65536,'[22]lương P1P3 T1.2024'!$D$1:$D$65536,'[22]Tổng hợp'!$B14)</f>
        <v>#VALUE!</v>
      </c>
      <c r="AB14" s="1301" t="e">
        <f>SUMIFS('[22]lương P1P3 T1.2024'!$AR$1:$AR$65536,'[22]lương P1P3 T1.2024'!$D$1:$D$65536,'[22]Tổng hợp'!$B14)</f>
        <v>#VALUE!</v>
      </c>
      <c r="AC14" s="1301" t="e">
        <f>SUMIFS('[22]lương P1P3 T1.2024'!$AS$1:$AS$65536,'[22]lương P1P3 T1.2024'!$D$1:$D$65536,'[22]Tổng hợp'!$B14)</f>
        <v>#VALUE!</v>
      </c>
      <c r="AD14" s="1301" t="e">
        <f>SUMIFS('[22]lương P1P3 T1.2024'!$AT$1:$AT$65536,'[22]lương P1P3 T1.2024'!$D$1:$D$65536,'[22]Tổng hợp'!$B14)</f>
        <v>#VALUE!</v>
      </c>
      <c r="AE14" s="1301" t="e">
        <f>SUMIFS('[22]lương P1P3 T1.2024'!$AU$1:$AU$65536,'[22]lương P1P3 T1.2024'!$D$1:$D$65536,'[22]Tổng hợp'!$B14)</f>
        <v>#VALUE!</v>
      </c>
      <c r="AF14" s="1301" t="e">
        <f>SUMIFS('[22]lương P1P3 T1.2024'!$AV$1:$AV$65536,'[22]lương P1P3 T1.2024'!$D$1:$D$65536,'[22]Tổng hợp'!$B14)</f>
        <v>#VALUE!</v>
      </c>
      <c r="AG14" s="1301" t="e">
        <f>SUMIFS('[22]lương P1P3 T1.2024'!$AW$1:$AW$65536,'[22]lương P1P3 T1.2024'!$D$1:$D$65536,'[22]Tổng hợp'!$B14)</f>
        <v>#VALUE!</v>
      </c>
      <c r="AH14" s="1302" t="e">
        <f t="shared" si="0"/>
        <v>#VALUE!</v>
      </c>
    </row>
    <row r="15" spans="1:34" ht="16.5">
      <c r="A15" s="1299">
        <v>9</v>
      </c>
      <c r="B15" s="1300" t="s">
        <v>20</v>
      </c>
      <c r="C15" s="1301" t="e">
        <f>SUMIFS('[22]lương P1P3 T1.2024'!$S$1:$S$65536,'[22]lương P1P3 T1.2024'!$D$1:$D$65536,'[22]Tổng hợp'!$B15)</f>
        <v>#VALUE!</v>
      </c>
      <c r="D15" s="1301" t="e">
        <f>SUMIFS('[22]lương P1P3 T1.2024'!$T$1:$T$65536,'[22]lương P1P3 T1.2024'!$D$1:$D$65536,'[22]Tổng hợp'!B15)</f>
        <v>#VALUE!</v>
      </c>
      <c r="E15" s="1301" t="e">
        <f>SUMIFS('[22]lương P1P3 T1.2024'!$U$1:$U$65536,'[22]lương P1P3 T1.2024'!$D$1:$D$65536,'[22]Tổng hợp'!B15)</f>
        <v>#VALUE!</v>
      </c>
      <c r="F15" s="1301" t="e">
        <f>SUMIFS('[22]lương P1P3 T1.2024'!$V$1:$V$65536,'[22]lương P1P3 T1.2024'!$D$1:$D$65536,'[22]Tổng hợp'!B15)</f>
        <v>#VALUE!</v>
      </c>
      <c r="G15" s="1301" t="e">
        <f>SUMIFS('[22]lương P1P3 T1.2024'!$W$1:$W$65536,'[22]lương P1P3 T1.2024'!$D$1:$D$65536,'[22]Tổng hợp'!B15)</f>
        <v>#VALUE!</v>
      </c>
      <c r="H15" s="1301" t="e">
        <f>SUMIFS('[22]lương P1P3 T1.2024'!$X$1:$X$65536,'[22]lương P1P3 T1.2024'!$D$1:$D$65536,'[22]Tổng hợp'!B15)</f>
        <v>#VALUE!</v>
      </c>
      <c r="I15" s="1301" t="e">
        <f>SUMIFS('[22]lương P1P3 T1.2024'!$Y$1:$Y$65536,'[22]lương P1P3 T1.2024'!$D$1:$D$65536,'[22]Tổng hợp'!B15)</f>
        <v>#VALUE!</v>
      </c>
      <c r="J15" s="1301" t="e">
        <f>SUMIFS('[22]lương P1P3 T1.2024'!$Z$1:$Z$65536,'[22]lương P1P3 T1.2024'!$D$1:$D$65536,'[22]Tổng hợp'!B15)</f>
        <v>#VALUE!</v>
      </c>
      <c r="K15" s="1301" t="e">
        <f>SUMIFS('[22]lương P1P3 T1.2024'!$AA$1:$AA$65536,'[22]lương P1P3 T1.2024'!$D$1:$D$65536,'[22]Tổng hợp'!B15)</f>
        <v>#VALUE!</v>
      </c>
      <c r="L15" s="1301" t="e">
        <f>SUMIFS('[22]lương P1P3 T1.2024'!$AB$1:$AB$65536,'[22]lương P1P3 T1.2024'!$D$1:$D$65536,'[22]Tổng hợp'!B15)</f>
        <v>#VALUE!</v>
      </c>
      <c r="M15" s="1301" t="e">
        <f>SUMIFS('[22]lương P1P3 T1.2024'!$AC$1:$AC$65536,'[22]lương P1P3 T1.2024'!$D$1:$D$65536,'[22]Tổng hợp'!B15)</f>
        <v>#VALUE!</v>
      </c>
      <c r="N15" s="1301" t="e">
        <f>SUMIFS('[22]lương P1P3 T1.2024'!$AD$1:$AD$65536,'[22]lương P1P3 T1.2024'!$D$1:$D$65536,'[22]Tổng hợp'!B15)</f>
        <v>#VALUE!</v>
      </c>
      <c r="O15" s="1301" t="e">
        <f>SUMIFS('[22]lương P1P3 T1.2024'!$AE$1:$AE$65536,'[22]lương P1P3 T1.2024'!$D$1:$D$65536,'[22]Tổng hợp'!B15)</f>
        <v>#VALUE!</v>
      </c>
      <c r="P15" s="1301" t="e">
        <f>SUMIFS('[22]lương P1P3 T1.2024'!$AF$1:$AF$65536,'[22]lương P1P3 T1.2024'!$D$1:$D$65536,'[22]Tổng hợp'!B15)</f>
        <v>#VALUE!</v>
      </c>
      <c r="Q15" s="1301" t="e">
        <f>SUMIFS('[22]lương P1P3 T1.2024'!$AG$1:$AG$65536,'[22]lương P1P3 T1.2024'!$D$1:$D$65536,'[22]Tổng hợp'!$B15)</f>
        <v>#VALUE!</v>
      </c>
      <c r="R15" s="1301" t="e">
        <f>SUMIFS('[22]lương P1P3 T1.2024'!$AH$1:$AH$65536,'[22]lương P1P3 T1.2024'!$D$1:$D$65536,'[22]Tổng hợp'!$B15)</f>
        <v>#VALUE!</v>
      </c>
      <c r="S15" s="1301" t="e">
        <f>SUMIFS('[22]lương P1P3 T1.2024'!$AI$1:$AI$65536,'[22]lương P1P3 T1.2024'!$D$1:$D$65536,'[22]Tổng hợp'!$B15)</f>
        <v>#VALUE!</v>
      </c>
      <c r="T15" s="1301" t="e">
        <f>SUMIFS('[22]lương P1P3 T1.2024'!$AJ$1:$AJ$65536,'[22]lương P1P3 T1.2024'!$D$1:$D$65536,'[22]Tổng hợp'!$B15)</f>
        <v>#VALUE!</v>
      </c>
      <c r="U15" s="1301" t="e">
        <f>SUMIFS('[22]lương P1P3 T1.2024'!$AK$1:$AK$65536,'[22]lương P1P3 T1.2024'!$D$1:$D$65536,'[22]Tổng hợp'!$B15)</f>
        <v>#VALUE!</v>
      </c>
      <c r="V15" s="1301" t="e">
        <f>SUMIFS('[22]lương P1P3 T1.2024'!$AL$1:$AL$65536,'[22]lương P1P3 T1.2024'!$D$1:$D$65536,'[22]Tổng hợp'!$B15)</f>
        <v>#VALUE!</v>
      </c>
      <c r="W15" s="1301" t="e">
        <f>SUMIFS('[22]lương P1P3 T1.2024'!$AM$1:$AM$65536,'[22]lương P1P3 T1.2024'!$D$1:$D$65536,'[22]Tổng hợp'!$B15)</f>
        <v>#VALUE!</v>
      </c>
      <c r="X15" s="1301" t="e">
        <f>SUMIFS('[22]lương P1P3 T1.2024'!$AN$1:$AN$65536,'[22]lương P1P3 T1.2024'!$D$1:$D$65536,'[22]Tổng hợp'!$B15)</f>
        <v>#VALUE!</v>
      </c>
      <c r="Y15" s="1301" t="e">
        <f>SUMIFS('[22]lương P1P3 T1.2024'!$AO$1:$AO$65536,'[22]lương P1P3 T1.2024'!$D$1:$D$65536,'[22]Tổng hợp'!$B15)</f>
        <v>#VALUE!</v>
      </c>
      <c r="Z15" s="1301" t="e">
        <f>SUMIFS('[22]lương P1P3 T1.2024'!$AP$1:$AP$65536,'[22]lương P1P3 T1.2024'!$D$1:$D$65536,'[22]Tổng hợp'!$B15)</f>
        <v>#VALUE!</v>
      </c>
      <c r="AA15" s="1301" t="e">
        <f>SUMIFS('[22]lương P1P3 T1.2024'!$AQ$1:$AQ$65536,'[22]lương P1P3 T1.2024'!$D$1:$D$65536,'[22]Tổng hợp'!$B15)</f>
        <v>#VALUE!</v>
      </c>
      <c r="AB15" s="1301" t="e">
        <f>SUMIFS('[22]lương P1P3 T1.2024'!$AR$1:$AR$65536,'[22]lương P1P3 T1.2024'!$D$1:$D$65536,'[22]Tổng hợp'!$B15)</f>
        <v>#VALUE!</v>
      </c>
      <c r="AC15" s="1301" t="e">
        <f>SUMIFS('[22]lương P1P3 T1.2024'!$AS$1:$AS$65536,'[22]lương P1P3 T1.2024'!$D$1:$D$65536,'[22]Tổng hợp'!$B15)</f>
        <v>#VALUE!</v>
      </c>
      <c r="AD15" s="1301" t="e">
        <f>SUMIFS('[22]lương P1P3 T1.2024'!$AT$1:$AT$65536,'[22]lương P1P3 T1.2024'!$D$1:$D$65536,'[22]Tổng hợp'!$B15)</f>
        <v>#VALUE!</v>
      </c>
      <c r="AE15" s="1301" t="e">
        <f>SUMIFS('[22]lương P1P3 T1.2024'!$AU$1:$AU$65536,'[22]lương P1P3 T1.2024'!$D$1:$D$65536,'[22]Tổng hợp'!$B15)</f>
        <v>#VALUE!</v>
      </c>
      <c r="AF15" s="1301" t="e">
        <f>SUMIFS('[22]lương P1P3 T1.2024'!$AV$1:$AV$65536,'[22]lương P1P3 T1.2024'!$D$1:$D$65536,'[22]Tổng hợp'!$B15)</f>
        <v>#VALUE!</v>
      </c>
      <c r="AG15" s="1301" t="e">
        <f>SUMIFS('[22]lương P1P3 T1.2024'!$AW$1:$AW$65536,'[22]lương P1P3 T1.2024'!$D$1:$D$65536,'[22]Tổng hợp'!$B15)</f>
        <v>#VALUE!</v>
      </c>
      <c r="AH15" s="1302" t="e">
        <f t="shared" si="0"/>
        <v>#VALUE!</v>
      </c>
    </row>
    <row r="16" spans="1:34" ht="16.5">
      <c r="A16" s="1299">
        <v>10</v>
      </c>
      <c r="B16" s="1300" t="s">
        <v>109</v>
      </c>
      <c r="C16" s="1301" t="e">
        <f>SUMIFS('[22]lương P1P3 T1.2024'!$S$1:$S$65536,'[22]lương P1P3 T1.2024'!$D$1:$D$65536,'[22]Tổng hợp'!$B16)</f>
        <v>#VALUE!</v>
      </c>
      <c r="D16" s="1301" t="e">
        <f>SUMIFS('[22]lương P1P3 T1.2024'!$T$1:$T$65536,'[22]lương P1P3 T1.2024'!$D$1:$D$65536,'[22]Tổng hợp'!B16)</f>
        <v>#VALUE!</v>
      </c>
      <c r="E16" s="1301" t="e">
        <f>SUMIFS('[22]lương P1P3 T1.2024'!$U$1:$U$65536,'[22]lương P1P3 T1.2024'!$D$1:$D$65536,'[22]Tổng hợp'!B16)</f>
        <v>#VALUE!</v>
      </c>
      <c r="F16" s="1301" t="e">
        <f>SUMIFS('[22]lương P1P3 T1.2024'!$V$1:$V$65536,'[22]lương P1P3 T1.2024'!$D$1:$D$65536,'[22]Tổng hợp'!B16)</f>
        <v>#VALUE!</v>
      </c>
      <c r="G16" s="1301" t="e">
        <f>SUMIFS('[22]lương P1P3 T1.2024'!$W$1:$W$65536,'[22]lương P1P3 T1.2024'!$D$1:$D$65536,'[22]Tổng hợp'!B16)</f>
        <v>#VALUE!</v>
      </c>
      <c r="H16" s="1301" t="e">
        <f>SUMIFS('[22]lương P1P3 T1.2024'!$X$1:$X$65536,'[22]lương P1P3 T1.2024'!$D$1:$D$65536,'[22]Tổng hợp'!B16)</f>
        <v>#VALUE!</v>
      </c>
      <c r="I16" s="1301" t="e">
        <f>SUMIFS('[22]lương P1P3 T1.2024'!$Y$1:$Y$65536,'[22]lương P1P3 T1.2024'!$D$1:$D$65536,'[22]Tổng hợp'!B16)</f>
        <v>#VALUE!</v>
      </c>
      <c r="J16" s="1301" t="e">
        <f>SUMIFS('[22]lương P1P3 T1.2024'!$Z$1:$Z$65536,'[22]lương P1P3 T1.2024'!$D$1:$D$65536,'[22]Tổng hợp'!B16)</f>
        <v>#VALUE!</v>
      </c>
      <c r="K16" s="1301" t="e">
        <f>SUMIFS('[22]lương P1P3 T1.2024'!$AA$1:$AA$65536,'[22]lương P1P3 T1.2024'!$D$1:$D$65536,'[22]Tổng hợp'!B16)</f>
        <v>#VALUE!</v>
      </c>
      <c r="L16" s="1301" t="e">
        <f>SUMIFS('[22]lương P1P3 T1.2024'!$AB$1:$AB$65536,'[22]lương P1P3 T1.2024'!$D$1:$D$65536,'[22]Tổng hợp'!B16)</f>
        <v>#VALUE!</v>
      </c>
      <c r="M16" s="1301" t="e">
        <f>SUMIFS('[22]lương P1P3 T1.2024'!$AC$1:$AC$65536,'[22]lương P1P3 T1.2024'!$D$1:$D$65536,'[22]Tổng hợp'!B16)</f>
        <v>#VALUE!</v>
      </c>
      <c r="N16" s="1301" t="e">
        <f>SUMIFS('[22]lương P1P3 T1.2024'!$AD$1:$AD$65536,'[22]lương P1P3 T1.2024'!$D$1:$D$65536,'[22]Tổng hợp'!B16)</f>
        <v>#VALUE!</v>
      </c>
      <c r="O16" s="1301" t="e">
        <f>SUMIFS('[22]lương P1P3 T1.2024'!$AE$1:$AE$65536,'[22]lương P1P3 T1.2024'!$D$1:$D$65536,'[22]Tổng hợp'!B16)</f>
        <v>#VALUE!</v>
      </c>
      <c r="P16" s="1301" t="e">
        <f>SUMIFS('[22]lương P1P3 T1.2024'!$AF$1:$AF$65536,'[22]lương P1P3 T1.2024'!$D$1:$D$65536,'[22]Tổng hợp'!B16)</f>
        <v>#VALUE!</v>
      </c>
      <c r="Q16" s="1301" t="e">
        <f>SUMIFS('[22]lương P1P3 T1.2024'!$AG$1:$AG$65536,'[22]lương P1P3 T1.2024'!$D$1:$D$65536,'[22]Tổng hợp'!$B16)</f>
        <v>#VALUE!</v>
      </c>
      <c r="R16" s="1301" t="e">
        <f>SUMIFS('[22]lương P1P3 T1.2024'!$AH$1:$AH$65536,'[22]lương P1P3 T1.2024'!$D$1:$D$65536,'[22]Tổng hợp'!$B16)</f>
        <v>#VALUE!</v>
      </c>
      <c r="S16" s="1301" t="e">
        <f>SUMIFS('[22]lương P1P3 T1.2024'!$AI$1:$AI$65536,'[22]lương P1P3 T1.2024'!$D$1:$D$65536,'[22]Tổng hợp'!$B16)</f>
        <v>#VALUE!</v>
      </c>
      <c r="T16" s="1301" t="e">
        <f>SUMIFS('[22]lương P1P3 T1.2024'!$AJ$1:$AJ$65536,'[22]lương P1P3 T1.2024'!$D$1:$D$65536,'[22]Tổng hợp'!$B16)</f>
        <v>#VALUE!</v>
      </c>
      <c r="U16" s="1301" t="e">
        <f>SUMIFS('[22]lương P1P3 T1.2024'!$AK$1:$AK$65536,'[22]lương P1P3 T1.2024'!$D$1:$D$65536,'[22]Tổng hợp'!$B16)</f>
        <v>#VALUE!</v>
      </c>
      <c r="V16" s="1301" t="e">
        <f>SUMIFS('[22]lương P1P3 T1.2024'!$AL$1:$AL$65536,'[22]lương P1P3 T1.2024'!$D$1:$D$65536,'[22]Tổng hợp'!$B16)</f>
        <v>#VALUE!</v>
      </c>
      <c r="W16" s="1301" t="e">
        <f>SUMIFS('[22]lương P1P3 T1.2024'!$AM$1:$AM$65536,'[22]lương P1P3 T1.2024'!$D$1:$D$65536,'[22]Tổng hợp'!$B16)</f>
        <v>#VALUE!</v>
      </c>
      <c r="X16" s="1301" t="e">
        <f>SUMIFS('[22]lương P1P3 T1.2024'!$AN$1:$AN$65536,'[22]lương P1P3 T1.2024'!$D$1:$D$65536,'[22]Tổng hợp'!$B16)</f>
        <v>#VALUE!</v>
      </c>
      <c r="Y16" s="1301" t="e">
        <f>SUMIFS('[22]lương P1P3 T1.2024'!$AO$1:$AO$65536,'[22]lương P1P3 T1.2024'!$D$1:$D$65536,'[22]Tổng hợp'!$B16)</f>
        <v>#VALUE!</v>
      </c>
      <c r="Z16" s="1301" t="e">
        <f>SUMIFS('[22]lương P1P3 T1.2024'!$AP$1:$AP$65536,'[22]lương P1P3 T1.2024'!$D$1:$D$65536,'[22]Tổng hợp'!$B16)</f>
        <v>#VALUE!</v>
      </c>
      <c r="AA16" s="1301" t="e">
        <f>SUMIFS('[22]lương P1P3 T1.2024'!$AQ$1:$AQ$65536,'[22]lương P1P3 T1.2024'!$D$1:$D$65536,'[22]Tổng hợp'!$B16)</f>
        <v>#VALUE!</v>
      </c>
      <c r="AB16" s="1301" t="e">
        <f>SUMIFS('[22]lương P1P3 T1.2024'!$AR$1:$AR$65536,'[22]lương P1P3 T1.2024'!$D$1:$D$65536,'[22]Tổng hợp'!$B16)</f>
        <v>#VALUE!</v>
      </c>
      <c r="AC16" s="1301" t="e">
        <f>SUMIFS('[22]lương P1P3 T1.2024'!$AS$1:$AS$65536,'[22]lương P1P3 T1.2024'!$D$1:$D$65536,'[22]Tổng hợp'!$B16)</f>
        <v>#VALUE!</v>
      </c>
      <c r="AD16" s="1301" t="e">
        <f>SUMIFS('[22]lương P1P3 T1.2024'!$AT$1:$AT$65536,'[22]lương P1P3 T1.2024'!$D$1:$D$65536,'[22]Tổng hợp'!$B16)</f>
        <v>#VALUE!</v>
      </c>
      <c r="AE16" s="1301" t="e">
        <f>SUMIFS('[22]lương P1P3 T1.2024'!$AU$1:$AU$65536,'[22]lương P1P3 T1.2024'!$D$1:$D$65536,'[22]Tổng hợp'!$B16)</f>
        <v>#VALUE!</v>
      </c>
      <c r="AF16" s="1301" t="e">
        <f>SUMIFS('[22]lương P1P3 T1.2024'!$AV$1:$AV$65536,'[22]lương P1P3 T1.2024'!$D$1:$D$65536,'[22]Tổng hợp'!$B16)</f>
        <v>#VALUE!</v>
      </c>
      <c r="AG16" s="1301" t="e">
        <f>SUMIFS('[22]lương P1P3 T1.2024'!$AW$1:$AW$65536,'[22]lương P1P3 T1.2024'!$D$1:$D$65536,'[22]Tổng hợp'!$B16)</f>
        <v>#VALUE!</v>
      </c>
      <c r="AH16" s="1302" t="e">
        <f t="shared" si="0"/>
        <v>#VALUE!</v>
      </c>
    </row>
    <row r="17" spans="1:34" ht="16.5">
      <c r="A17" s="1299">
        <v>11</v>
      </c>
      <c r="B17" s="1300" t="s">
        <v>194</v>
      </c>
      <c r="C17" s="1301" t="e">
        <f>SUMIFS('[22]lương P1P3 T1.2024'!$S$1:$S$65536,'[22]lương P1P3 T1.2024'!$D$1:$D$65536,'[22]Tổng hợp'!$B17)</f>
        <v>#VALUE!</v>
      </c>
      <c r="D17" s="1301" t="e">
        <f>SUMIFS('[22]lương P1P3 T1.2024'!$T$1:$T$65536,'[22]lương P1P3 T1.2024'!$D$1:$D$65536,'[22]Tổng hợp'!B17)</f>
        <v>#VALUE!</v>
      </c>
      <c r="E17" s="1301" t="e">
        <f>SUMIFS('[22]lương P1P3 T1.2024'!$U$1:$U$65536,'[22]lương P1P3 T1.2024'!$D$1:$D$65536,'[22]Tổng hợp'!B17)</f>
        <v>#VALUE!</v>
      </c>
      <c r="F17" s="1301" t="e">
        <f>SUMIFS('[22]lương P1P3 T1.2024'!$V$1:$V$65536,'[22]lương P1P3 T1.2024'!$D$1:$D$65536,'[22]Tổng hợp'!B17)</f>
        <v>#VALUE!</v>
      </c>
      <c r="G17" s="1301" t="e">
        <f>SUMIFS('[22]lương P1P3 T1.2024'!$W$1:$W$65536,'[22]lương P1P3 T1.2024'!$D$1:$D$65536,'[22]Tổng hợp'!B17)</f>
        <v>#VALUE!</v>
      </c>
      <c r="H17" s="1301" t="e">
        <f>SUMIFS('[22]lương P1P3 T1.2024'!$X$1:$X$65536,'[22]lương P1P3 T1.2024'!$D$1:$D$65536,'[22]Tổng hợp'!B17)</f>
        <v>#VALUE!</v>
      </c>
      <c r="I17" s="1301" t="e">
        <f>SUMIFS('[22]lương P1P3 T1.2024'!$Y$1:$Y$65536,'[22]lương P1P3 T1.2024'!$D$1:$D$65536,'[22]Tổng hợp'!B17)</f>
        <v>#VALUE!</v>
      </c>
      <c r="J17" s="1301" t="e">
        <f>SUMIFS('[22]lương P1P3 T1.2024'!$Z$1:$Z$65536,'[22]lương P1P3 T1.2024'!$D$1:$D$65536,'[22]Tổng hợp'!B17)</f>
        <v>#VALUE!</v>
      </c>
      <c r="K17" s="1301" t="e">
        <f>SUMIFS('[22]lương P1P3 T1.2024'!$AA$1:$AA$65536,'[22]lương P1P3 T1.2024'!$D$1:$D$65536,'[22]Tổng hợp'!B17)</f>
        <v>#VALUE!</v>
      </c>
      <c r="L17" s="1301" t="e">
        <f>SUMIFS('[22]lương P1P3 T1.2024'!$AB$1:$AB$65536,'[22]lương P1P3 T1.2024'!$D$1:$D$65536,'[22]Tổng hợp'!B17)</f>
        <v>#VALUE!</v>
      </c>
      <c r="M17" s="1301" t="e">
        <f>SUMIFS('[22]lương P1P3 T1.2024'!$AC$1:$AC$65536,'[22]lương P1P3 T1.2024'!$D$1:$D$65536,'[22]Tổng hợp'!B17)</f>
        <v>#VALUE!</v>
      </c>
      <c r="N17" s="1301" t="e">
        <f>SUMIFS('[22]lương P1P3 T1.2024'!$AD$1:$AD$65536,'[22]lương P1P3 T1.2024'!$D$1:$D$65536,'[22]Tổng hợp'!B17)</f>
        <v>#VALUE!</v>
      </c>
      <c r="O17" s="1301" t="e">
        <f>SUMIFS('[22]lương P1P3 T1.2024'!$AE$1:$AE$65536,'[22]lương P1P3 T1.2024'!$D$1:$D$65536,'[22]Tổng hợp'!B17)</f>
        <v>#VALUE!</v>
      </c>
      <c r="P17" s="1301" t="e">
        <f>SUMIFS('[22]lương P1P3 T1.2024'!$AF$1:$AF$65536,'[22]lương P1P3 T1.2024'!$D$1:$D$65536,'[22]Tổng hợp'!B17)</f>
        <v>#VALUE!</v>
      </c>
      <c r="Q17" s="1301" t="e">
        <f>SUMIFS('[22]lương P1P3 T1.2024'!$AG$1:$AG$65536,'[22]lương P1P3 T1.2024'!$D$1:$D$65536,'[22]Tổng hợp'!$B17)</f>
        <v>#VALUE!</v>
      </c>
      <c r="R17" s="1301" t="e">
        <f>SUMIFS('[22]lương P1P3 T1.2024'!$AH$1:$AH$65536,'[22]lương P1P3 T1.2024'!$D$1:$D$65536,'[22]Tổng hợp'!$B17)</f>
        <v>#VALUE!</v>
      </c>
      <c r="S17" s="1301" t="e">
        <f>SUMIFS('[22]lương P1P3 T1.2024'!$AI$1:$AI$65536,'[22]lương P1P3 T1.2024'!$D$1:$D$65536,'[22]Tổng hợp'!$B17)</f>
        <v>#VALUE!</v>
      </c>
      <c r="T17" s="1301" t="e">
        <f>SUMIFS('[22]lương P1P3 T1.2024'!$AJ$1:$AJ$65536,'[22]lương P1P3 T1.2024'!$D$1:$D$65536,'[22]Tổng hợp'!$B17)</f>
        <v>#VALUE!</v>
      </c>
      <c r="U17" s="1301" t="e">
        <f>SUMIFS('[22]lương P1P3 T1.2024'!$AK$1:$AK$65536,'[22]lương P1P3 T1.2024'!$D$1:$D$65536,'[22]Tổng hợp'!$B17)</f>
        <v>#VALUE!</v>
      </c>
      <c r="V17" s="1301" t="e">
        <f>SUMIFS('[22]lương P1P3 T1.2024'!$AL$1:$AL$65536,'[22]lương P1P3 T1.2024'!$D$1:$D$65536,'[22]Tổng hợp'!$B17)</f>
        <v>#VALUE!</v>
      </c>
      <c r="W17" s="1301" t="e">
        <f>SUMIFS('[22]lương P1P3 T1.2024'!$AM$1:$AM$65536,'[22]lương P1P3 T1.2024'!$D$1:$D$65536,'[22]Tổng hợp'!$B17)</f>
        <v>#VALUE!</v>
      </c>
      <c r="X17" s="1301" t="e">
        <f>SUMIFS('[22]lương P1P3 T1.2024'!$AN$1:$AN$65536,'[22]lương P1P3 T1.2024'!$D$1:$D$65536,'[22]Tổng hợp'!$B17)</f>
        <v>#VALUE!</v>
      </c>
      <c r="Y17" s="1301" t="e">
        <f>SUMIFS('[22]lương P1P3 T1.2024'!$AO$1:$AO$65536,'[22]lương P1P3 T1.2024'!$D$1:$D$65536,'[22]Tổng hợp'!$B17)</f>
        <v>#VALUE!</v>
      </c>
      <c r="Z17" s="1301" t="e">
        <f>SUMIFS('[22]lương P1P3 T1.2024'!$AP$1:$AP$65536,'[22]lương P1P3 T1.2024'!$D$1:$D$65536,'[22]Tổng hợp'!$B17)</f>
        <v>#VALUE!</v>
      </c>
      <c r="AA17" s="1301" t="e">
        <f>SUMIFS('[22]lương P1P3 T1.2024'!$AQ$1:$AQ$65536,'[22]lương P1P3 T1.2024'!$D$1:$D$65536,'[22]Tổng hợp'!$B17)</f>
        <v>#VALUE!</v>
      </c>
      <c r="AB17" s="1301" t="e">
        <f>SUMIFS('[22]lương P1P3 T1.2024'!$AR$1:$AR$65536,'[22]lương P1P3 T1.2024'!$D$1:$D$65536,'[22]Tổng hợp'!$B17)</f>
        <v>#VALUE!</v>
      </c>
      <c r="AC17" s="1301" t="e">
        <f>SUMIFS('[22]lương P1P3 T1.2024'!$AS$1:$AS$65536,'[22]lương P1P3 T1.2024'!$D$1:$D$65536,'[22]Tổng hợp'!$B17)</f>
        <v>#VALUE!</v>
      </c>
      <c r="AD17" s="1301" t="e">
        <f>SUMIFS('[22]lương P1P3 T1.2024'!$AT$1:$AT$65536,'[22]lương P1P3 T1.2024'!$D$1:$D$65536,'[22]Tổng hợp'!$B17)</f>
        <v>#VALUE!</v>
      </c>
      <c r="AE17" s="1301" t="e">
        <f>SUMIFS('[22]lương P1P3 T1.2024'!$AU$1:$AU$65536,'[22]lương P1P3 T1.2024'!$D$1:$D$65536,'[22]Tổng hợp'!$B17)</f>
        <v>#VALUE!</v>
      </c>
      <c r="AF17" s="1301" t="e">
        <f>SUMIFS('[22]lương P1P3 T1.2024'!$AV$1:$AV$65536,'[22]lương P1P3 T1.2024'!$D$1:$D$65536,'[22]Tổng hợp'!$B17)</f>
        <v>#VALUE!</v>
      </c>
      <c r="AG17" s="1301" t="e">
        <f>SUMIFS('[22]lương P1P3 T1.2024'!$AW$1:$AW$65536,'[22]lương P1P3 T1.2024'!$D$1:$D$65536,'[22]Tổng hợp'!$B17)</f>
        <v>#VALUE!</v>
      </c>
      <c r="AH17" s="1302" t="e">
        <f t="shared" si="0"/>
        <v>#VALUE!</v>
      </c>
    </row>
    <row r="18" spans="1:34" ht="16.5">
      <c r="A18" s="631" t="s">
        <v>132</v>
      </c>
      <c r="B18" s="631"/>
      <c r="C18" s="1303" t="e">
        <f>SUM(C7:C17)</f>
        <v>#VALUE!</v>
      </c>
      <c r="D18" s="1303" t="e">
        <f t="shared" ref="D18:AH18" si="1">SUM(D7:D17)</f>
        <v>#VALUE!</v>
      </c>
      <c r="E18" s="1303" t="e">
        <f t="shared" si="1"/>
        <v>#VALUE!</v>
      </c>
      <c r="F18" s="1303" t="e">
        <f t="shared" si="1"/>
        <v>#VALUE!</v>
      </c>
      <c r="G18" s="1303" t="e">
        <f t="shared" si="1"/>
        <v>#VALUE!</v>
      </c>
      <c r="H18" s="1303" t="e">
        <f t="shared" si="1"/>
        <v>#VALUE!</v>
      </c>
      <c r="I18" s="1303" t="e">
        <f t="shared" si="1"/>
        <v>#VALUE!</v>
      </c>
      <c r="J18" s="1303" t="e">
        <f t="shared" si="1"/>
        <v>#VALUE!</v>
      </c>
      <c r="K18" s="1303" t="e">
        <f t="shared" si="1"/>
        <v>#VALUE!</v>
      </c>
      <c r="L18" s="1303" t="e">
        <f t="shared" si="1"/>
        <v>#VALUE!</v>
      </c>
      <c r="M18" s="1303" t="e">
        <f t="shared" si="1"/>
        <v>#VALUE!</v>
      </c>
      <c r="N18" s="1303" t="e">
        <f t="shared" si="1"/>
        <v>#VALUE!</v>
      </c>
      <c r="O18" s="1303" t="e">
        <f t="shared" si="1"/>
        <v>#VALUE!</v>
      </c>
      <c r="P18" s="1303" t="e">
        <f t="shared" si="1"/>
        <v>#VALUE!</v>
      </c>
      <c r="Q18" s="1303" t="e">
        <f t="shared" si="1"/>
        <v>#VALUE!</v>
      </c>
      <c r="R18" s="1303" t="e">
        <f t="shared" si="1"/>
        <v>#VALUE!</v>
      </c>
      <c r="S18" s="1303" t="e">
        <f t="shared" si="1"/>
        <v>#VALUE!</v>
      </c>
      <c r="T18" s="1303" t="e">
        <f t="shared" si="1"/>
        <v>#VALUE!</v>
      </c>
      <c r="U18" s="1303" t="e">
        <f t="shared" si="1"/>
        <v>#VALUE!</v>
      </c>
      <c r="V18" s="1303" t="e">
        <f t="shared" si="1"/>
        <v>#VALUE!</v>
      </c>
      <c r="W18" s="1303" t="e">
        <f t="shared" si="1"/>
        <v>#VALUE!</v>
      </c>
      <c r="X18" s="1303" t="e">
        <f t="shared" si="1"/>
        <v>#VALUE!</v>
      </c>
      <c r="Y18" s="1303" t="e">
        <f t="shared" si="1"/>
        <v>#VALUE!</v>
      </c>
      <c r="Z18" s="1303" t="e">
        <f t="shared" si="1"/>
        <v>#VALUE!</v>
      </c>
      <c r="AA18" s="1303" t="e">
        <f t="shared" si="1"/>
        <v>#VALUE!</v>
      </c>
      <c r="AB18" s="1303" t="e">
        <f t="shared" si="1"/>
        <v>#VALUE!</v>
      </c>
      <c r="AC18" s="1303" t="e">
        <f t="shared" si="1"/>
        <v>#VALUE!</v>
      </c>
      <c r="AD18" s="1303" t="e">
        <f t="shared" si="1"/>
        <v>#VALUE!</v>
      </c>
      <c r="AE18" s="1303" t="e">
        <f t="shared" si="1"/>
        <v>#VALUE!</v>
      </c>
      <c r="AF18" s="1303" t="e">
        <f t="shared" si="1"/>
        <v>#VALUE!</v>
      </c>
      <c r="AG18" s="1303" t="e">
        <f t="shared" si="1"/>
        <v>#VALUE!</v>
      </c>
      <c r="AH18" s="1304" t="e">
        <f t="shared" si="1"/>
        <v>#VALUE!</v>
      </c>
    </row>
    <row r="19" spans="1:34" ht="16.5">
      <c r="C19" s="1305">
        <f>'[22]lương P1P3 T1.2024'!S8</f>
        <v>29617206.213129833</v>
      </c>
      <c r="D19" s="1305">
        <f>'[22]lương P1P3 T1.2024'!T8</f>
        <v>113166057.6750211</v>
      </c>
      <c r="E19" s="1305">
        <f>'[22]lương P1P3 T1.2024'!U8</f>
        <v>4788025.8343899157</v>
      </c>
      <c r="F19" s="1305">
        <f>'[22]lương P1P3 T1.2024'!V8</f>
        <v>0</v>
      </c>
      <c r="G19" s="1305">
        <f>'[22]lương P1P3 T1.2024'!W8</f>
        <v>125115309.47787039</v>
      </c>
      <c r="H19" s="1305">
        <f>'[22]lương P1P3 T1.2024'!X8</f>
        <v>311240.07894079917</v>
      </c>
      <c r="I19" s="1305">
        <f>'[22]lương P1P3 T1.2024'!Y8</f>
        <v>29901221.824307017</v>
      </c>
      <c r="J19" s="1305">
        <f>'[22]lương P1P3 T1.2024'!Z8</f>
        <v>1803334.8748621638</v>
      </c>
      <c r="K19" s="1305">
        <f>'[22]lương P1P3 T1.2024'!AA8</f>
        <v>4127428.5919572911</v>
      </c>
      <c r="L19" s="1305">
        <f>'[22]lương P1P3 T1.2024'!AB8</f>
        <v>1845955.2514145486</v>
      </c>
      <c r="M19" s="1305">
        <f>'[22]lương P1P3 T1.2024'!AC8</f>
        <v>314322.30652963376</v>
      </c>
      <c r="N19" s="1305">
        <f>'[22]lương P1P3 T1.2024'!AD8</f>
        <v>42144.510588105921</v>
      </c>
      <c r="O19" s="1305">
        <f>'[22]lương P1P3 T1.2024'!AE8</f>
        <v>106631.79637001931</v>
      </c>
      <c r="P19" s="1305">
        <f>'[22]lương P1P3 T1.2024'!AF8</f>
        <v>0</v>
      </c>
      <c r="Q19" s="1305">
        <f>'[22]lương P1P3 T1.2024'!AG8</f>
        <v>10443.902389886276</v>
      </c>
      <c r="R19" s="1305">
        <f>'[22]lương P1P3 T1.2024'!AH8</f>
        <v>1304532.7458967555</v>
      </c>
      <c r="S19" s="1305">
        <f>'[22]lương P1P3 T1.2024'!AI8</f>
        <v>0</v>
      </c>
      <c r="T19" s="1305">
        <f>'[22]lương P1P3 T1.2024'!AJ8</f>
        <v>0</v>
      </c>
      <c r="U19" s="1305">
        <f>'[22]lương P1P3 T1.2024'!AK8</f>
        <v>4944573.5187799903</v>
      </c>
      <c r="V19" s="1305">
        <f>'[22]lương P1P3 T1.2024'!AL8</f>
        <v>1540623.1404594455</v>
      </c>
      <c r="W19" s="1305">
        <f>'[22]lương P1P3 T1.2024'!AM8</f>
        <v>976578.50432830921</v>
      </c>
      <c r="X19" s="1305">
        <f>'[22]lương P1P3 T1.2024'!AN8</f>
        <v>2148031.7467576051</v>
      </c>
      <c r="Y19" s="1305">
        <f>'[22]lương P1P3 T1.2024'!AO8</f>
        <v>0</v>
      </c>
      <c r="Z19" s="1305">
        <f>'[22]lương P1P3 T1.2024'!AP8</f>
        <v>120589.65512761111</v>
      </c>
      <c r="AA19" s="1305">
        <f>'[22]lương P1P3 T1.2024'!AQ8</f>
        <v>356358.07190065755</v>
      </c>
      <c r="AB19" s="1305">
        <f>'[22]lương P1P3 T1.2024'!AR8</f>
        <v>0</v>
      </c>
      <c r="AC19" s="1305">
        <f>'[22]lương P1P3 T1.2024'!AS8</f>
        <v>0</v>
      </c>
      <c r="AD19" s="1305">
        <f>'[22]lương P1P3 T1.2024'!AT8</f>
        <v>0</v>
      </c>
      <c r="AE19" s="1305">
        <f>'[22]lương P1P3 T1.2024'!AU8</f>
        <v>36984.571333723186</v>
      </c>
      <c r="AF19" s="1305">
        <f>'[22]lương P1P3 T1.2024'!AV8</f>
        <v>0</v>
      </c>
      <c r="AG19" t="s">
        <v>2226</v>
      </c>
      <c r="AH19" s="1306">
        <v>323845361</v>
      </c>
    </row>
    <row r="20" spans="1:34">
      <c r="C20" s="1305" t="e">
        <f>C18-C19</f>
        <v>#VALUE!</v>
      </c>
      <c r="D20" s="1305" t="e">
        <f t="shared" ref="D20:AF20" si="2">D18-D19</f>
        <v>#VALUE!</v>
      </c>
      <c r="E20" s="1305" t="e">
        <f t="shared" si="2"/>
        <v>#VALUE!</v>
      </c>
      <c r="F20" s="1305" t="e">
        <f t="shared" si="2"/>
        <v>#VALUE!</v>
      </c>
      <c r="G20" s="1305" t="e">
        <f t="shared" si="2"/>
        <v>#VALUE!</v>
      </c>
      <c r="H20" s="1305" t="e">
        <f t="shared" si="2"/>
        <v>#VALUE!</v>
      </c>
      <c r="I20" s="1305" t="e">
        <f t="shared" si="2"/>
        <v>#VALUE!</v>
      </c>
      <c r="J20" s="1305" t="e">
        <f t="shared" si="2"/>
        <v>#VALUE!</v>
      </c>
      <c r="K20" s="1305" t="e">
        <f t="shared" si="2"/>
        <v>#VALUE!</v>
      </c>
      <c r="L20" s="1305" t="e">
        <f t="shared" si="2"/>
        <v>#VALUE!</v>
      </c>
      <c r="M20" s="1305" t="e">
        <f t="shared" si="2"/>
        <v>#VALUE!</v>
      </c>
      <c r="N20" s="1305" t="e">
        <f t="shared" si="2"/>
        <v>#VALUE!</v>
      </c>
      <c r="O20" s="1305" t="e">
        <f t="shared" si="2"/>
        <v>#VALUE!</v>
      </c>
      <c r="P20" s="1305" t="e">
        <f t="shared" si="2"/>
        <v>#VALUE!</v>
      </c>
      <c r="Q20" s="1305" t="e">
        <f t="shared" si="2"/>
        <v>#VALUE!</v>
      </c>
      <c r="R20" s="1305" t="e">
        <f t="shared" si="2"/>
        <v>#VALUE!</v>
      </c>
      <c r="S20" s="1305" t="e">
        <f t="shared" si="2"/>
        <v>#VALUE!</v>
      </c>
      <c r="T20" s="1305" t="e">
        <f t="shared" si="2"/>
        <v>#VALUE!</v>
      </c>
      <c r="U20" s="1305" t="e">
        <f t="shared" si="2"/>
        <v>#VALUE!</v>
      </c>
      <c r="V20" s="1305" t="e">
        <f t="shared" si="2"/>
        <v>#VALUE!</v>
      </c>
      <c r="W20" s="1305" t="e">
        <f t="shared" si="2"/>
        <v>#VALUE!</v>
      </c>
      <c r="X20" s="1305" t="e">
        <f t="shared" si="2"/>
        <v>#VALUE!</v>
      </c>
      <c r="Y20" s="1305" t="e">
        <f t="shared" si="2"/>
        <v>#VALUE!</v>
      </c>
      <c r="Z20" s="1305" t="e">
        <f t="shared" si="2"/>
        <v>#VALUE!</v>
      </c>
      <c r="AA20" s="1305" t="e">
        <f t="shared" si="2"/>
        <v>#VALUE!</v>
      </c>
      <c r="AB20" s="1305" t="e">
        <f t="shared" si="2"/>
        <v>#VALUE!</v>
      </c>
      <c r="AC20" s="1305" t="e">
        <f t="shared" si="2"/>
        <v>#VALUE!</v>
      </c>
      <c r="AD20" s="1305" t="e">
        <f t="shared" si="2"/>
        <v>#VALUE!</v>
      </c>
      <c r="AE20" s="1305" t="e">
        <f t="shared" si="2"/>
        <v>#VALUE!</v>
      </c>
      <c r="AF20" s="1305" t="e">
        <f t="shared" si="2"/>
        <v>#VALUE!</v>
      </c>
      <c r="AH20" s="66" t="e">
        <f>AH18-AH19</f>
        <v>#VALUE!</v>
      </c>
    </row>
    <row r="23" spans="1:34">
      <c r="C23" s="66" t="e">
        <f>C7+D7+E7</f>
        <v>#VALUE!</v>
      </c>
      <c r="G23" s="66"/>
    </row>
    <row r="24" spans="1:34">
      <c r="C24" s="66" t="e">
        <f t="shared" ref="C24:C35" si="3">C8+D8+E8</f>
        <v>#VALUE!</v>
      </c>
      <c r="G24" s="66" t="e">
        <f t="shared" ref="G24:G33" si="4">G8+H8</f>
        <v>#VALUE!</v>
      </c>
    </row>
    <row r="25" spans="1:34">
      <c r="C25" s="66" t="e">
        <f t="shared" si="3"/>
        <v>#VALUE!</v>
      </c>
      <c r="G25" s="66" t="e">
        <f t="shared" si="4"/>
        <v>#VALUE!</v>
      </c>
    </row>
    <row r="26" spans="1:34">
      <c r="C26" s="66" t="e">
        <f t="shared" si="3"/>
        <v>#VALUE!</v>
      </c>
      <c r="G26" s="66" t="e">
        <f t="shared" si="4"/>
        <v>#VALUE!</v>
      </c>
    </row>
    <row r="27" spans="1:34">
      <c r="C27" s="66" t="e">
        <f t="shared" si="3"/>
        <v>#VALUE!</v>
      </c>
      <c r="G27" s="66" t="e">
        <f t="shared" si="4"/>
        <v>#VALUE!</v>
      </c>
    </row>
    <row r="28" spans="1:34">
      <c r="C28" s="66" t="e">
        <f t="shared" si="3"/>
        <v>#VALUE!</v>
      </c>
      <c r="G28" s="66" t="e">
        <f t="shared" si="4"/>
        <v>#VALUE!</v>
      </c>
    </row>
    <row r="29" spans="1:34">
      <c r="C29" s="66" t="e">
        <f t="shared" si="3"/>
        <v>#VALUE!</v>
      </c>
      <c r="G29" s="66" t="e">
        <f t="shared" si="4"/>
        <v>#VALUE!</v>
      </c>
    </row>
    <row r="30" spans="1:34">
      <c r="C30" s="66" t="e">
        <f t="shared" si="3"/>
        <v>#VALUE!</v>
      </c>
      <c r="G30" s="66" t="e">
        <f t="shared" si="4"/>
        <v>#VALUE!</v>
      </c>
    </row>
    <row r="31" spans="1:34">
      <c r="C31" s="66" t="e">
        <f t="shared" si="3"/>
        <v>#VALUE!</v>
      </c>
      <c r="G31" s="66" t="e">
        <f t="shared" si="4"/>
        <v>#VALUE!</v>
      </c>
    </row>
    <row r="32" spans="1:34">
      <c r="C32" s="66" t="e">
        <f t="shared" si="3"/>
        <v>#VALUE!</v>
      </c>
      <c r="G32" s="66" t="e">
        <f t="shared" si="4"/>
        <v>#VALUE!</v>
      </c>
    </row>
    <row r="33" spans="3:7">
      <c r="C33" s="66" t="e">
        <f t="shared" si="3"/>
        <v>#VALUE!</v>
      </c>
      <c r="G33" s="66" t="e">
        <f t="shared" si="4"/>
        <v>#VALUE!</v>
      </c>
    </row>
    <row r="34" spans="3:7">
      <c r="C34" s="66" t="e">
        <f t="shared" si="3"/>
        <v>#VALUE!</v>
      </c>
    </row>
    <row r="35" spans="3:7">
      <c r="C35" s="66">
        <f t="shared" si="3"/>
        <v>147571289.72254086</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S35"/>
  <sheetViews>
    <sheetView workbookViewId="0">
      <pane xSplit="2" topLeftCell="AC1" activePane="topRight" state="frozen"/>
      <selection activeCell="A2" sqref="A2"/>
      <selection pane="topRight" activeCell="B19" sqref="B19"/>
    </sheetView>
  </sheetViews>
  <sheetFormatPr defaultRowHeight="15"/>
  <cols>
    <col min="1" max="1" width="11.42578125" customWidth="1"/>
    <col min="3" max="3" width="15.85546875" customWidth="1"/>
    <col min="4" max="4" width="17.85546875" customWidth="1"/>
    <col min="5" max="5" width="18" customWidth="1"/>
    <col min="6" max="6" width="15.42578125" customWidth="1"/>
    <col min="7" max="7" width="14.28515625" customWidth="1"/>
    <col min="8" max="8" width="15.42578125" customWidth="1"/>
    <col min="9" max="9" width="14.42578125" customWidth="1"/>
    <col min="10" max="10" width="17.5703125" customWidth="1"/>
    <col min="11" max="11" width="11.7109375" customWidth="1"/>
    <col min="12" max="12" width="13.42578125" customWidth="1"/>
    <col min="13" max="13" width="13" customWidth="1"/>
    <col min="14" max="14" width="15.140625" customWidth="1"/>
    <col min="15" max="15" width="14.28515625" customWidth="1"/>
    <col min="16" max="16" width="24.7109375" customWidth="1"/>
    <col min="17" max="17" width="24.85546875" customWidth="1"/>
    <col min="18" max="18" width="15.5703125" customWidth="1"/>
    <col min="19" max="19" width="14.85546875" customWidth="1"/>
    <col min="22" max="22" width="15" customWidth="1"/>
    <col min="23" max="23" width="16.140625" customWidth="1"/>
    <col min="24" max="24" width="14.85546875" customWidth="1"/>
    <col min="25" max="25" width="14.5703125" customWidth="1"/>
    <col min="26" max="26" width="16.140625" customWidth="1"/>
    <col min="27" max="27" width="14.5703125" customWidth="1"/>
    <col min="28" max="28" width="14.85546875" customWidth="1"/>
    <col min="29" max="29" width="14.42578125" customWidth="1"/>
    <col min="39" max="39" width="16.42578125" customWidth="1"/>
    <col min="40" max="41" width="13" customWidth="1"/>
    <col min="42" max="42" width="15.140625" customWidth="1"/>
    <col min="43" max="43" width="16" customWidth="1"/>
    <col min="45" max="45" width="12.140625" customWidth="1"/>
  </cols>
  <sheetData>
    <row r="3" spans="1:45" ht="16.5">
      <c r="A3" s="623" t="s">
        <v>2222</v>
      </c>
    </row>
    <row r="4" spans="1:45">
      <c r="B4" s="867">
        <v>0.42773001704874297</v>
      </c>
      <c r="C4" s="867">
        <v>0.38395324773591288</v>
      </c>
      <c r="D4" s="867">
        <v>0.81168326478465591</v>
      </c>
      <c r="U4" t="s">
        <v>1099</v>
      </c>
      <c r="V4" t="s">
        <v>1099</v>
      </c>
      <c r="W4" t="s">
        <v>1099</v>
      </c>
    </row>
    <row r="5" spans="1:45" ht="16.5">
      <c r="A5" s="564" t="s">
        <v>1100</v>
      </c>
      <c r="B5" s="564"/>
      <c r="C5" s="564"/>
      <c r="D5" s="564" t="s">
        <v>976</v>
      </c>
      <c r="E5" s="564" t="s">
        <v>976</v>
      </c>
      <c r="F5" s="564" t="s">
        <v>976</v>
      </c>
      <c r="G5" s="564"/>
      <c r="H5" s="564" t="s">
        <v>977</v>
      </c>
      <c r="I5" s="564"/>
      <c r="J5" s="564" t="s">
        <v>981</v>
      </c>
      <c r="K5" s="564"/>
      <c r="L5" s="564" t="s">
        <v>993</v>
      </c>
      <c r="M5" s="564"/>
      <c r="N5" s="564" t="s">
        <v>991</v>
      </c>
      <c r="O5" s="564" t="s">
        <v>506</v>
      </c>
      <c r="P5" s="564" t="s">
        <v>990</v>
      </c>
      <c r="Q5" s="564" t="s">
        <v>989</v>
      </c>
      <c r="R5" s="564" t="s">
        <v>507</v>
      </c>
      <c r="S5" s="564" t="s">
        <v>995</v>
      </c>
      <c r="T5" s="564"/>
      <c r="U5" s="564"/>
      <c r="V5" s="564"/>
      <c r="W5" s="564" t="s">
        <v>1362</v>
      </c>
      <c r="X5" s="564"/>
      <c r="Y5" s="564" t="s">
        <v>996</v>
      </c>
      <c r="Z5" s="868" t="s">
        <v>977</v>
      </c>
      <c r="AA5" s="869" t="s">
        <v>977</v>
      </c>
      <c r="AB5" s="869" t="s">
        <v>977</v>
      </c>
      <c r="AC5" s="564"/>
      <c r="AD5" s="564"/>
      <c r="AE5" s="564"/>
      <c r="AF5" s="564"/>
      <c r="AG5" s="564"/>
      <c r="AH5" s="564"/>
      <c r="AI5" s="564"/>
      <c r="AJ5" s="564"/>
      <c r="AK5" s="564"/>
      <c r="AL5" s="564"/>
      <c r="AM5" s="564"/>
      <c r="AN5" s="1569" t="s">
        <v>1363</v>
      </c>
      <c r="AO5" s="1569"/>
      <c r="AP5" s="1285"/>
    </row>
    <row r="6" spans="1:45" ht="63.75">
      <c r="A6" s="624" t="s">
        <v>0</v>
      </c>
      <c r="B6" s="624" t="s">
        <v>632</v>
      </c>
      <c r="C6" s="870" t="s">
        <v>1364</v>
      </c>
      <c r="D6" s="871" t="s">
        <v>1365</v>
      </c>
      <c r="E6" s="872"/>
      <c r="F6" s="871" t="s">
        <v>1366</v>
      </c>
      <c r="G6" s="872"/>
      <c r="H6" s="871" t="s">
        <v>1367</v>
      </c>
      <c r="I6" s="872"/>
      <c r="J6" s="873" t="s">
        <v>1368</v>
      </c>
      <c r="K6" s="874"/>
      <c r="L6" s="875" t="s">
        <v>1369</v>
      </c>
      <c r="M6" s="876"/>
      <c r="N6" s="877" t="s">
        <v>1036</v>
      </c>
      <c r="O6" s="877" t="s">
        <v>1037</v>
      </c>
      <c r="P6" s="878" t="s">
        <v>1021</v>
      </c>
      <c r="Q6" s="878" t="s">
        <v>1020</v>
      </c>
      <c r="R6" s="877" t="s">
        <v>1038</v>
      </c>
      <c r="S6" s="878" t="s">
        <v>1370</v>
      </c>
      <c r="T6" s="878" t="s">
        <v>1012</v>
      </c>
      <c r="U6" s="878" t="s">
        <v>1008</v>
      </c>
      <c r="V6" s="878" t="s">
        <v>1014</v>
      </c>
      <c r="W6" s="878" t="s">
        <v>1371</v>
      </c>
      <c r="X6" s="878" t="s">
        <v>1372</v>
      </c>
      <c r="Y6" s="878" t="s">
        <v>1373</v>
      </c>
      <c r="Z6" s="879" t="s">
        <v>1374</v>
      </c>
      <c r="AA6" s="879" t="s">
        <v>1375</v>
      </c>
      <c r="AB6" s="880" t="s">
        <v>1376</v>
      </c>
      <c r="AC6" s="881" t="s">
        <v>1377</v>
      </c>
      <c r="AD6" s="626"/>
      <c r="AE6" s="626"/>
      <c r="AF6" s="626"/>
      <c r="AG6" s="626"/>
      <c r="AH6" s="626"/>
      <c r="AI6" s="626"/>
      <c r="AJ6" s="626"/>
      <c r="AK6" s="626"/>
      <c r="AL6" s="626"/>
      <c r="AM6" s="627" t="s">
        <v>676</v>
      </c>
      <c r="AN6" s="1291" t="s">
        <v>1009</v>
      </c>
      <c r="AO6" s="1291" t="s">
        <v>1378</v>
      </c>
      <c r="AP6" s="1291" t="s">
        <v>2223</v>
      </c>
      <c r="AQ6" s="1292"/>
      <c r="AR6" s="1292"/>
    </row>
    <row r="7" spans="1:45" ht="16.5">
      <c r="A7" s="628">
        <v>1</v>
      </c>
      <c r="B7" s="629" t="s">
        <v>15</v>
      </c>
      <c r="C7" s="619" t="e">
        <f>SUMIFS('[23]báo cáo'!K:K,'[23]báo cáo'!$F:$F,[23]TK!$B7)</f>
        <v>#VALUE!</v>
      </c>
      <c r="D7" s="619" t="e">
        <f>SUMIFS('[23]báo cáo'!L:L,'[23]báo cáo'!$F:$F,[23]TK!$B7)</f>
        <v>#VALUE!</v>
      </c>
      <c r="E7" s="619" t="e">
        <f>SUMIFS('[23]báo cáo'!M:M,'[23]báo cáo'!$F:$F,[23]TK!$B7)</f>
        <v>#VALUE!</v>
      </c>
      <c r="F7" s="619" t="e">
        <f>SUMIFS('[23]báo cáo'!N:N,'[23]báo cáo'!$F:$F,[23]TK!$B7)</f>
        <v>#VALUE!</v>
      </c>
      <c r="G7" s="619" t="e">
        <f>SUMIFS('[23]báo cáo'!O:O,'[23]báo cáo'!$F:$F,[23]TK!$B7)</f>
        <v>#VALUE!</v>
      </c>
      <c r="H7" s="619" t="e">
        <f>SUMIFS('[23]báo cáo'!P:P,'[23]báo cáo'!$F:$F,[23]TK!$B7)</f>
        <v>#VALUE!</v>
      </c>
      <c r="I7" s="619" t="e">
        <f>SUMIFS('[23]báo cáo'!Q:Q,'[23]báo cáo'!$F:$F,[23]TK!$B7)</f>
        <v>#VALUE!</v>
      </c>
      <c r="J7" s="619" t="e">
        <f>SUMIFS('[23]báo cáo'!R:R,'[23]báo cáo'!$F:$F,[23]TK!$B7)</f>
        <v>#VALUE!</v>
      </c>
      <c r="K7" s="619" t="e">
        <f>SUMIFS('[23]báo cáo'!S:S,'[23]báo cáo'!$F:$F,[23]TK!$B7)</f>
        <v>#VALUE!</v>
      </c>
      <c r="L7" s="619" t="e">
        <f>SUMIFS('[23]báo cáo'!T:T,'[23]báo cáo'!$F:$F,[23]TK!$B7)</f>
        <v>#VALUE!</v>
      </c>
      <c r="M7" s="619" t="e">
        <f>SUMIFS('[23]báo cáo'!U:U,'[23]báo cáo'!$F:$F,[23]TK!$B7)</f>
        <v>#VALUE!</v>
      </c>
      <c r="N7" s="619" t="e">
        <f>SUMIFS('[23]báo cáo'!V:V,'[23]báo cáo'!$F:$F,[23]TK!$B7)</f>
        <v>#VALUE!</v>
      </c>
      <c r="O7" s="619" t="e">
        <f>SUMIFS('[23]báo cáo'!W:W,'[23]báo cáo'!$F:$F,[23]TK!$B7)</f>
        <v>#VALUE!</v>
      </c>
      <c r="P7" s="619" t="e">
        <f>SUMIFS('[23]báo cáo'!X:X,'[23]báo cáo'!$F:$F,[23]TK!$B7)</f>
        <v>#VALUE!</v>
      </c>
      <c r="Q7" s="619" t="e">
        <f>SUMIFS('[23]báo cáo'!Y:Y,'[23]báo cáo'!$F:$F,[23]TK!$B7)</f>
        <v>#VALUE!</v>
      </c>
      <c r="R7" s="619" t="e">
        <f>SUMIFS('[23]báo cáo'!Z:Z,'[23]báo cáo'!$F:$F,[23]TK!$B7)</f>
        <v>#VALUE!</v>
      </c>
      <c r="S7" s="619" t="e">
        <f>SUMIFS('[23]báo cáo'!AA:AA,'[23]báo cáo'!$F:$F,[23]TK!$B7)</f>
        <v>#VALUE!</v>
      </c>
      <c r="T7" s="619" t="e">
        <f>SUMIFS('[23]báo cáo'!AB:AB,'[23]báo cáo'!$F:$F,[23]TK!$B7)</f>
        <v>#VALUE!</v>
      </c>
      <c r="U7" s="619" t="e">
        <f>SUMIFS('[23]báo cáo'!AC:AC,'[23]báo cáo'!$F:$F,[23]TK!$B7)</f>
        <v>#VALUE!</v>
      </c>
      <c r="V7" s="619" t="e">
        <f>SUMIFS('[23]báo cáo'!AD:AD,'[23]báo cáo'!$F:$F,[23]TK!$B7)</f>
        <v>#VALUE!</v>
      </c>
      <c r="W7" s="619" t="e">
        <f>SUMIFS('[23]báo cáo'!AE:AE,'[23]báo cáo'!$F:$F,[23]TK!$B7)</f>
        <v>#VALUE!</v>
      </c>
      <c r="X7" s="619" t="e">
        <f>SUMIFS('[23]báo cáo'!AF:AF,'[23]báo cáo'!$F:$F,[23]TK!$B7)</f>
        <v>#VALUE!</v>
      </c>
      <c r="Y7" s="619" t="e">
        <f>SUMIFS('[23]báo cáo'!AG:AG,'[23]báo cáo'!$F:$F,[23]TK!$B7)</f>
        <v>#VALUE!</v>
      </c>
      <c r="Z7" s="619" t="e">
        <f>SUMIFS('[23]báo cáo'!AH:AH,'[23]báo cáo'!$F:$F,[23]TK!$B7)</f>
        <v>#VALUE!</v>
      </c>
      <c r="AA7" s="619" t="e">
        <f>SUMIFS('[23]báo cáo'!AI:AI,'[23]báo cáo'!$F:$F,[23]TK!$B7)</f>
        <v>#VALUE!</v>
      </c>
      <c r="AB7" s="619" t="e">
        <f>SUMIFS('[23]báo cáo'!AJ:AJ,'[23]báo cáo'!$F:$F,[23]TK!$B7)</f>
        <v>#VALUE!</v>
      </c>
      <c r="AC7" s="619" t="e">
        <f>SUMIFS('[23]báo cáo'!AK:AK,'[23]báo cáo'!$F:$F,[23]TK!$B7)</f>
        <v>#VALUE!</v>
      </c>
      <c r="AD7" s="619"/>
      <c r="AE7" s="619"/>
      <c r="AF7" s="619"/>
      <c r="AG7" s="619"/>
      <c r="AH7" s="619"/>
      <c r="AI7" s="619"/>
      <c r="AJ7" s="619"/>
      <c r="AK7" s="619"/>
      <c r="AL7" s="619"/>
      <c r="AM7" s="630" t="e">
        <f>SUM(C7:AC7)</f>
        <v>#VALUE!</v>
      </c>
      <c r="AN7" s="619" t="e">
        <f>SUMIFS('[23]báo cáo'!$AY:$AY,'[23]báo cáo'!$F:$F,[23]TK!B7)</f>
        <v>#VALUE!</v>
      </c>
      <c r="AO7" s="619" t="e">
        <f>SUMIFS('[23]báo cáo'!$BL:$BL,'[23]báo cáo'!$F:$F,[23]TK!B7)</f>
        <v>#VALUE!</v>
      </c>
      <c r="AP7" s="619">
        <v>0</v>
      </c>
      <c r="AQ7" s="1293" t="e">
        <f>AM7-AN7-AO7-AP7</f>
        <v>#VALUE!</v>
      </c>
      <c r="AR7" s="1293"/>
      <c r="AS7">
        <f>SUMIFS('DSOAT-T1.2025'!$BA:$BA,'DSOAT-T1.2025'!$BH:$BH,'DON GIA'!B7)</f>
        <v>10030265</v>
      </c>
    </row>
    <row r="8" spans="1:45" ht="16.5">
      <c r="A8" s="628">
        <v>2</v>
      </c>
      <c r="B8" s="629" t="s">
        <v>23</v>
      </c>
      <c r="C8" s="619" t="e">
        <f>SUMIFS('[23]báo cáo'!K:K,'[23]báo cáo'!$F:$F,[23]TK!$B8)</f>
        <v>#VALUE!</v>
      </c>
      <c r="D8" s="619" t="e">
        <f>SUMIFS('[23]báo cáo'!L:L,'[23]báo cáo'!$F:$F,[23]TK!$B8)</f>
        <v>#VALUE!</v>
      </c>
      <c r="E8" s="619" t="e">
        <f>SUMIFS('[23]báo cáo'!M:M,'[23]báo cáo'!$F:$F,[23]TK!$B8)</f>
        <v>#VALUE!</v>
      </c>
      <c r="F8" s="619" t="e">
        <f>SUMIFS('[23]báo cáo'!N:N,'[23]báo cáo'!$F:$F,[23]TK!$B8)</f>
        <v>#VALUE!</v>
      </c>
      <c r="G8" s="619" t="e">
        <f>SUMIFS('[23]báo cáo'!O:O,'[23]báo cáo'!$F:$F,[23]TK!$B8)</f>
        <v>#VALUE!</v>
      </c>
      <c r="H8" s="619" t="e">
        <f>SUMIFS('[23]báo cáo'!P:P,'[23]báo cáo'!$F:$F,[23]TK!$B8)</f>
        <v>#VALUE!</v>
      </c>
      <c r="I8" s="619" t="e">
        <f>SUMIFS('[23]báo cáo'!Q:Q,'[23]báo cáo'!$F:$F,[23]TK!$B8)</f>
        <v>#VALUE!</v>
      </c>
      <c r="J8" s="619" t="e">
        <f>SUMIFS('[23]báo cáo'!R:R,'[23]báo cáo'!$F:$F,[23]TK!$B8)</f>
        <v>#VALUE!</v>
      </c>
      <c r="K8" s="619" t="e">
        <f>SUMIFS('[23]báo cáo'!S:S,'[23]báo cáo'!$F:$F,[23]TK!$B8)</f>
        <v>#VALUE!</v>
      </c>
      <c r="L8" s="619" t="e">
        <f>SUMIFS('[23]báo cáo'!T:T,'[23]báo cáo'!$F:$F,[23]TK!$B8)</f>
        <v>#VALUE!</v>
      </c>
      <c r="M8" s="619" t="e">
        <f>SUMIFS('[23]báo cáo'!U:U,'[23]báo cáo'!$F:$F,[23]TK!$B8)</f>
        <v>#VALUE!</v>
      </c>
      <c r="N8" s="619" t="e">
        <f>SUMIFS('[23]báo cáo'!V:V,'[23]báo cáo'!$F:$F,[23]TK!$B8)</f>
        <v>#VALUE!</v>
      </c>
      <c r="O8" s="619" t="e">
        <f>SUMIFS('[23]báo cáo'!W:W,'[23]báo cáo'!$F:$F,[23]TK!$B8)</f>
        <v>#VALUE!</v>
      </c>
      <c r="P8" s="619" t="e">
        <f>SUMIFS('[23]báo cáo'!X:X,'[23]báo cáo'!$F:$F,[23]TK!$B8)</f>
        <v>#VALUE!</v>
      </c>
      <c r="Q8" s="619" t="e">
        <f>SUMIFS('[23]báo cáo'!Y:Y,'[23]báo cáo'!$F:$F,[23]TK!$B8)</f>
        <v>#VALUE!</v>
      </c>
      <c r="R8" s="619" t="e">
        <f>SUMIFS('[23]báo cáo'!Z:Z,'[23]báo cáo'!$F:$F,[23]TK!$B8)</f>
        <v>#VALUE!</v>
      </c>
      <c r="S8" s="619" t="e">
        <f>SUMIFS('[23]báo cáo'!AA:AA,'[23]báo cáo'!$F:$F,[23]TK!$B8)</f>
        <v>#VALUE!</v>
      </c>
      <c r="T8" s="619" t="e">
        <f>SUMIFS('[23]báo cáo'!AB:AB,'[23]báo cáo'!$F:$F,[23]TK!$B8)</f>
        <v>#VALUE!</v>
      </c>
      <c r="U8" s="619" t="e">
        <f>SUMIFS('[23]báo cáo'!AC:AC,'[23]báo cáo'!$F:$F,[23]TK!$B8)</f>
        <v>#VALUE!</v>
      </c>
      <c r="V8" s="619" t="e">
        <f>SUMIFS('[23]báo cáo'!AD:AD,'[23]báo cáo'!$F:$F,[23]TK!$B8)</f>
        <v>#VALUE!</v>
      </c>
      <c r="W8" s="619" t="e">
        <f>SUMIFS('[23]báo cáo'!AE:AE,'[23]báo cáo'!$F:$F,[23]TK!$B8)</f>
        <v>#VALUE!</v>
      </c>
      <c r="X8" s="619" t="e">
        <f>SUMIFS('[23]báo cáo'!AF:AF,'[23]báo cáo'!$F:$F,[23]TK!$B8)</f>
        <v>#VALUE!</v>
      </c>
      <c r="Y8" s="619" t="e">
        <f>SUMIFS('[23]báo cáo'!AG:AG,'[23]báo cáo'!$F:$F,[23]TK!$B8)</f>
        <v>#VALUE!</v>
      </c>
      <c r="Z8" s="619" t="e">
        <f>SUMIFS('[23]báo cáo'!AH:AH,'[23]báo cáo'!$F:$F,[23]TK!$B8)</f>
        <v>#VALUE!</v>
      </c>
      <c r="AA8" s="619" t="e">
        <f>SUMIFS('[23]báo cáo'!AI:AI,'[23]báo cáo'!$F:$F,[23]TK!$B8)</f>
        <v>#VALUE!</v>
      </c>
      <c r="AB8" s="619" t="e">
        <f>SUMIFS('[23]báo cáo'!AJ:AJ,'[23]báo cáo'!$F:$F,[23]TK!$B8)</f>
        <v>#VALUE!</v>
      </c>
      <c r="AC8" s="619" t="e">
        <f>SUMIFS('[23]báo cáo'!AK:AK,'[23]báo cáo'!$F:$F,[23]TK!$B8)</f>
        <v>#VALUE!</v>
      </c>
      <c r="AD8" s="619"/>
      <c r="AE8" s="619"/>
      <c r="AF8" s="619"/>
      <c r="AG8" s="619"/>
      <c r="AH8" s="619"/>
      <c r="AI8" s="619"/>
      <c r="AJ8" s="619"/>
      <c r="AK8" s="619"/>
      <c r="AL8" s="619"/>
      <c r="AM8" s="630" t="e">
        <f t="shared" ref="AM8:AM17" si="0">SUM(C8:AC8)</f>
        <v>#VALUE!</v>
      </c>
      <c r="AN8" s="619" t="e">
        <f>SUMIFS('[23]báo cáo'!$AY:$AY,'[23]báo cáo'!$F:$F,[23]TK!B8)</f>
        <v>#VALUE!</v>
      </c>
      <c r="AO8" s="619" t="e">
        <f>SUMIFS('[23]báo cáo'!$BL:$BL,'[23]báo cáo'!$F:$F,[23]TK!B8)</f>
        <v>#VALUE!</v>
      </c>
      <c r="AP8" s="619"/>
      <c r="AQ8" s="1293" t="e">
        <f t="shared" ref="AQ8:AQ17" si="1">AM8-AN8-AO8-AP8</f>
        <v>#VALUE!</v>
      </c>
      <c r="AR8" s="1293"/>
      <c r="AS8">
        <f>SUMIFS('DSOAT-T1.2025'!$BA:$BA,'DSOAT-T1.2025'!$BH:$BH,'DON GIA'!B8)</f>
        <v>20519138</v>
      </c>
    </row>
    <row r="9" spans="1:45" ht="16.5">
      <c r="A9" s="628">
        <v>3</v>
      </c>
      <c r="B9" s="629" t="s">
        <v>42</v>
      </c>
      <c r="C9" s="619" t="e">
        <f>SUMIFS('[23]báo cáo'!K:K,'[23]báo cáo'!$F:$F,[23]TK!$B9)</f>
        <v>#VALUE!</v>
      </c>
      <c r="D9" s="619" t="e">
        <f>SUMIFS('[23]báo cáo'!L:L,'[23]báo cáo'!$F:$F,[23]TK!$B9)</f>
        <v>#VALUE!</v>
      </c>
      <c r="E9" s="619" t="e">
        <f>SUMIFS('[23]báo cáo'!M:M,'[23]báo cáo'!$F:$F,[23]TK!$B9)</f>
        <v>#VALUE!</v>
      </c>
      <c r="F9" s="619" t="e">
        <f>SUMIFS('[23]báo cáo'!N:N,'[23]báo cáo'!$F:$F,[23]TK!$B9)</f>
        <v>#VALUE!</v>
      </c>
      <c r="G9" s="619" t="e">
        <f>SUMIFS('[23]báo cáo'!O:O,'[23]báo cáo'!$F:$F,[23]TK!$B9)</f>
        <v>#VALUE!</v>
      </c>
      <c r="H9" s="619" t="e">
        <f>SUMIFS('[23]báo cáo'!P:P,'[23]báo cáo'!$F:$F,[23]TK!$B9)</f>
        <v>#VALUE!</v>
      </c>
      <c r="I9" s="619" t="e">
        <f>SUMIFS('[23]báo cáo'!Q:Q,'[23]báo cáo'!$F:$F,[23]TK!$B9)</f>
        <v>#VALUE!</v>
      </c>
      <c r="J9" s="619" t="e">
        <f>SUMIFS('[23]báo cáo'!R:R,'[23]báo cáo'!$F:$F,[23]TK!$B9)</f>
        <v>#VALUE!</v>
      </c>
      <c r="K9" s="619" t="e">
        <f>SUMIFS('[23]báo cáo'!S:S,'[23]báo cáo'!$F:$F,[23]TK!$B9)</f>
        <v>#VALUE!</v>
      </c>
      <c r="L9" s="619" t="e">
        <f>SUMIFS('[23]báo cáo'!T:T,'[23]báo cáo'!$F:$F,[23]TK!$B9)</f>
        <v>#VALUE!</v>
      </c>
      <c r="M9" s="619" t="e">
        <f>SUMIFS('[23]báo cáo'!U:U,'[23]báo cáo'!$F:$F,[23]TK!$B9)</f>
        <v>#VALUE!</v>
      </c>
      <c r="N9" s="619" t="e">
        <f>SUMIFS('[23]báo cáo'!V:V,'[23]báo cáo'!$F:$F,[23]TK!$B9)</f>
        <v>#VALUE!</v>
      </c>
      <c r="O9" s="619" t="e">
        <f>SUMIFS('[23]báo cáo'!W:W,'[23]báo cáo'!$F:$F,[23]TK!$B9)</f>
        <v>#VALUE!</v>
      </c>
      <c r="P9" s="619" t="e">
        <f>SUMIFS('[23]báo cáo'!X:X,'[23]báo cáo'!$F:$F,[23]TK!$B9)</f>
        <v>#VALUE!</v>
      </c>
      <c r="Q9" s="619" t="e">
        <f>SUMIFS('[23]báo cáo'!Y:Y,'[23]báo cáo'!$F:$F,[23]TK!$B9)</f>
        <v>#VALUE!</v>
      </c>
      <c r="R9" s="619" t="e">
        <f>SUMIFS('[23]báo cáo'!Z:Z,'[23]báo cáo'!$F:$F,[23]TK!$B9)</f>
        <v>#VALUE!</v>
      </c>
      <c r="S9" s="619" t="e">
        <f>SUMIFS('[23]báo cáo'!AA:AA,'[23]báo cáo'!$F:$F,[23]TK!$B9)</f>
        <v>#VALUE!</v>
      </c>
      <c r="T9" s="619" t="e">
        <f>SUMIFS('[23]báo cáo'!AB:AB,'[23]báo cáo'!$F:$F,[23]TK!$B9)</f>
        <v>#VALUE!</v>
      </c>
      <c r="U9" s="619" t="e">
        <f>SUMIFS('[23]báo cáo'!AC:AC,'[23]báo cáo'!$F:$F,[23]TK!$B9)</f>
        <v>#VALUE!</v>
      </c>
      <c r="V9" s="619" t="e">
        <f>SUMIFS('[23]báo cáo'!AD:AD,'[23]báo cáo'!$F:$F,[23]TK!$B9)</f>
        <v>#VALUE!</v>
      </c>
      <c r="W9" s="619" t="e">
        <f>SUMIFS('[23]báo cáo'!AE:AE,'[23]báo cáo'!$F:$F,[23]TK!$B9)</f>
        <v>#VALUE!</v>
      </c>
      <c r="X9" s="619" t="e">
        <f>SUMIFS('[23]báo cáo'!AF:AF,'[23]báo cáo'!$F:$F,[23]TK!$B9)</f>
        <v>#VALUE!</v>
      </c>
      <c r="Y9" s="619" t="e">
        <f>SUMIFS('[23]báo cáo'!AG:AG,'[23]báo cáo'!$F:$F,[23]TK!$B9)</f>
        <v>#VALUE!</v>
      </c>
      <c r="Z9" s="619" t="e">
        <f>SUMIFS('[23]báo cáo'!AH:AH,'[23]báo cáo'!$F:$F,[23]TK!$B9)</f>
        <v>#VALUE!</v>
      </c>
      <c r="AA9" s="619" t="e">
        <f>SUMIFS('[23]báo cáo'!AI:AI,'[23]báo cáo'!$F:$F,[23]TK!$B9)</f>
        <v>#VALUE!</v>
      </c>
      <c r="AB9" s="619" t="e">
        <f>SUMIFS('[23]báo cáo'!AJ:AJ,'[23]báo cáo'!$F:$F,[23]TK!$B9)</f>
        <v>#VALUE!</v>
      </c>
      <c r="AC9" s="619" t="e">
        <f>SUMIFS('[23]báo cáo'!AK:AK,'[23]báo cáo'!$F:$F,[23]TK!$B9)</f>
        <v>#VALUE!</v>
      </c>
      <c r="AD9" s="619"/>
      <c r="AE9" s="619"/>
      <c r="AF9" s="619"/>
      <c r="AG9" s="619"/>
      <c r="AH9" s="619"/>
      <c r="AI9" s="619"/>
      <c r="AJ9" s="619"/>
      <c r="AK9" s="619"/>
      <c r="AL9" s="619"/>
      <c r="AM9" s="630" t="e">
        <f t="shared" si="0"/>
        <v>#VALUE!</v>
      </c>
      <c r="AN9" s="619" t="e">
        <f>SUMIFS('[23]báo cáo'!$AY:$AY,'[23]báo cáo'!$F:$F,[23]TK!B9)</f>
        <v>#VALUE!</v>
      </c>
      <c r="AO9" s="619" t="e">
        <f>SUMIFS('[23]báo cáo'!$BL:$BL,'[23]báo cáo'!$F:$F,[23]TK!B9)</f>
        <v>#VALUE!</v>
      </c>
      <c r="AP9" s="619"/>
      <c r="AQ9" s="1293" t="e">
        <f t="shared" si="1"/>
        <v>#VALUE!</v>
      </c>
      <c r="AR9" s="1293"/>
      <c r="AS9">
        <f>SUMIFS('DSOAT-T1.2025'!$BA:$BA,'DSOAT-T1.2025'!$BH:$BH,'DON GIA'!B9)</f>
        <v>33950698</v>
      </c>
    </row>
    <row r="10" spans="1:45" ht="16.5">
      <c r="A10" s="628">
        <v>4</v>
      </c>
      <c r="B10" s="629" t="s">
        <v>63</v>
      </c>
      <c r="C10" s="619" t="e">
        <f>SUMIFS('[23]báo cáo'!K:K,'[23]báo cáo'!$F:$F,[23]TK!$B10)</f>
        <v>#VALUE!</v>
      </c>
      <c r="D10" s="619" t="e">
        <f>SUMIFS('[23]báo cáo'!L:L,'[23]báo cáo'!$F:$F,[23]TK!$B10)</f>
        <v>#VALUE!</v>
      </c>
      <c r="E10" s="619" t="e">
        <f>SUMIFS('[23]báo cáo'!M:M,'[23]báo cáo'!$F:$F,[23]TK!$B10)</f>
        <v>#VALUE!</v>
      </c>
      <c r="F10" s="619" t="e">
        <f>SUMIFS('[23]báo cáo'!N:N,'[23]báo cáo'!$F:$F,[23]TK!$B10)</f>
        <v>#VALUE!</v>
      </c>
      <c r="G10" s="619" t="e">
        <f>SUMIFS('[23]báo cáo'!O:O,'[23]báo cáo'!$F:$F,[23]TK!$B10)</f>
        <v>#VALUE!</v>
      </c>
      <c r="H10" s="619" t="e">
        <f>SUMIFS('[23]báo cáo'!P:P,'[23]báo cáo'!$F:$F,[23]TK!$B10)</f>
        <v>#VALUE!</v>
      </c>
      <c r="I10" s="619" t="e">
        <f>SUMIFS('[23]báo cáo'!Q:Q,'[23]báo cáo'!$F:$F,[23]TK!$B10)</f>
        <v>#VALUE!</v>
      </c>
      <c r="J10" s="619" t="e">
        <f>SUMIFS('[23]báo cáo'!R:R,'[23]báo cáo'!$F:$F,[23]TK!$B10)</f>
        <v>#VALUE!</v>
      </c>
      <c r="K10" s="619" t="e">
        <f>SUMIFS('[23]báo cáo'!S:S,'[23]báo cáo'!$F:$F,[23]TK!$B10)</f>
        <v>#VALUE!</v>
      </c>
      <c r="L10" s="619" t="e">
        <f>SUMIFS('[23]báo cáo'!T:T,'[23]báo cáo'!$F:$F,[23]TK!$B10)</f>
        <v>#VALUE!</v>
      </c>
      <c r="M10" s="619" t="e">
        <f>SUMIFS('[23]báo cáo'!U:U,'[23]báo cáo'!$F:$F,[23]TK!$B10)</f>
        <v>#VALUE!</v>
      </c>
      <c r="N10" s="619" t="e">
        <f>SUMIFS('[23]báo cáo'!V:V,'[23]báo cáo'!$F:$F,[23]TK!$B10)</f>
        <v>#VALUE!</v>
      </c>
      <c r="O10" s="619" t="e">
        <f>SUMIFS('[23]báo cáo'!W:W,'[23]báo cáo'!$F:$F,[23]TK!$B10)</f>
        <v>#VALUE!</v>
      </c>
      <c r="P10" s="619" t="e">
        <f>SUMIFS('[23]báo cáo'!X:X,'[23]báo cáo'!$F:$F,[23]TK!$B10)</f>
        <v>#VALUE!</v>
      </c>
      <c r="Q10" s="619" t="e">
        <f>SUMIFS('[23]báo cáo'!Y:Y,'[23]báo cáo'!$F:$F,[23]TK!$B10)</f>
        <v>#VALUE!</v>
      </c>
      <c r="R10" s="619" t="e">
        <f>SUMIFS('[23]báo cáo'!Z:Z,'[23]báo cáo'!$F:$F,[23]TK!$B10)</f>
        <v>#VALUE!</v>
      </c>
      <c r="S10" s="619" t="e">
        <f>SUMIFS('[23]báo cáo'!AA:AA,'[23]báo cáo'!$F:$F,[23]TK!$B10)</f>
        <v>#VALUE!</v>
      </c>
      <c r="T10" s="619" t="e">
        <f>SUMIFS('[23]báo cáo'!AB:AB,'[23]báo cáo'!$F:$F,[23]TK!$B10)</f>
        <v>#VALUE!</v>
      </c>
      <c r="U10" s="619" t="e">
        <f>SUMIFS('[23]báo cáo'!AC:AC,'[23]báo cáo'!$F:$F,[23]TK!$B10)</f>
        <v>#VALUE!</v>
      </c>
      <c r="V10" s="619" t="e">
        <f>SUMIFS('[23]báo cáo'!AD:AD,'[23]báo cáo'!$F:$F,[23]TK!$B10)</f>
        <v>#VALUE!</v>
      </c>
      <c r="W10" s="619" t="e">
        <f>SUMIFS('[23]báo cáo'!AE:AE,'[23]báo cáo'!$F:$F,[23]TK!$B10)</f>
        <v>#VALUE!</v>
      </c>
      <c r="X10" s="619" t="e">
        <f>SUMIFS('[23]báo cáo'!AF:AF,'[23]báo cáo'!$F:$F,[23]TK!$B10)</f>
        <v>#VALUE!</v>
      </c>
      <c r="Y10" s="619" t="e">
        <f>SUMIFS('[23]báo cáo'!AG:AG,'[23]báo cáo'!$F:$F,[23]TK!$B10)</f>
        <v>#VALUE!</v>
      </c>
      <c r="Z10" s="619" t="e">
        <f>SUMIFS('[23]báo cáo'!AH:AH,'[23]báo cáo'!$F:$F,[23]TK!$B10)</f>
        <v>#VALUE!</v>
      </c>
      <c r="AA10" s="619" t="e">
        <f>SUMIFS('[23]báo cáo'!AI:AI,'[23]báo cáo'!$F:$F,[23]TK!$B10)</f>
        <v>#VALUE!</v>
      </c>
      <c r="AB10" s="619" t="e">
        <f>SUMIFS('[23]báo cáo'!AJ:AJ,'[23]báo cáo'!$F:$F,[23]TK!$B10)</f>
        <v>#VALUE!</v>
      </c>
      <c r="AC10" s="619" t="e">
        <f>SUMIFS('[23]báo cáo'!AK:AK,'[23]báo cáo'!$F:$F,[23]TK!$B10)</f>
        <v>#VALUE!</v>
      </c>
      <c r="AD10" s="619"/>
      <c r="AE10" s="619"/>
      <c r="AF10" s="619"/>
      <c r="AG10" s="619"/>
      <c r="AH10" s="619"/>
      <c r="AI10" s="619"/>
      <c r="AJ10" s="619"/>
      <c r="AK10" s="619"/>
      <c r="AL10" s="619"/>
      <c r="AM10" s="630" t="e">
        <f t="shared" si="0"/>
        <v>#VALUE!</v>
      </c>
      <c r="AN10" s="619" t="e">
        <f>SUMIFS('[23]báo cáo'!$AY:$AY,'[23]báo cáo'!$F:$F,[23]TK!B10)</f>
        <v>#VALUE!</v>
      </c>
      <c r="AO10" s="619" t="e">
        <f>SUMIFS('[23]báo cáo'!$BL:$BL,'[23]báo cáo'!$F:$F,[23]TK!B10)</f>
        <v>#VALUE!</v>
      </c>
      <c r="AP10" s="619"/>
      <c r="AQ10" s="1293" t="e">
        <f t="shared" si="1"/>
        <v>#VALUE!</v>
      </c>
      <c r="AR10" s="1293"/>
      <c r="AS10">
        <f>SUMIFS('DSOAT-T1.2025'!$BA:$BA,'DSOAT-T1.2025'!$BH:$BH,'DON GIA'!B10)</f>
        <v>9614524</v>
      </c>
    </row>
    <row r="11" spans="1:45" ht="16.5">
      <c r="A11" s="628">
        <v>5</v>
      </c>
      <c r="B11" s="629" t="s">
        <v>70</v>
      </c>
      <c r="C11" s="619" t="e">
        <f>SUMIFS('[23]báo cáo'!K:K,'[23]báo cáo'!$F:$F,[23]TK!$B11)</f>
        <v>#VALUE!</v>
      </c>
      <c r="D11" s="619" t="e">
        <f>SUMIFS('[23]báo cáo'!L:L,'[23]báo cáo'!$F:$F,[23]TK!$B11)</f>
        <v>#VALUE!</v>
      </c>
      <c r="E11" s="619" t="e">
        <f>SUMIFS('[23]báo cáo'!M:M,'[23]báo cáo'!$F:$F,[23]TK!$B11)</f>
        <v>#VALUE!</v>
      </c>
      <c r="F11" s="619" t="e">
        <f>SUMIFS('[23]báo cáo'!N:N,'[23]báo cáo'!$F:$F,[23]TK!$B11)</f>
        <v>#VALUE!</v>
      </c>
      <c r="G11" s="619" t="e">
        <f>SUMIFS('[23]báo cáo'!O:O,'[23]báo cáo'!$F:$F,[23]TK!$B11)</f>
        <v>#VALUE!</v>
      </c>
      <c r="H11" s="619" t="e">
        <f>SUMIFS('[23]báo cáo'!P:P,'[23]báo cáo'!$F:$F,[23]TK!$B11)</f>
        <v>#VALUE!</v>
      </c>
      <c r="I11" s="619" t="e">
        <f>SUMIFS('[23]báo cáo'!Q:Q,'[23]báo cáo'!$F:$F,[23]TK!$B11)</f>
        <v>#VALUE!</v>
      </c>
      <c r="J11" s="619" t="e">
        <f>SUMIFS('[23]báo cáo'!R:R,'[23]báo cáo'!$F:$F,[23]TK!$B11)</f>
        <v>#VALUE!</v>
      </c>
      <c r="K11" s="619" t="e">
        <f>SUMIFS('[23]báo cáo'!S:S,'[23]báo cáo'!$F:$F,[23]TK!$B11)</f>
        <v>#VALUE!</v>
      </c>
      <c r="L11" s="619" t="e">
        <f>SUMIFS('[23]báo cáo'!T:T,'[23]báo cáo'!$F:$F,[23]TK!$B11)</f>
        <v>#VALUE!</v>
      </c>
      <c r="M11" s="619" t="e">
        <f>SUMIFS('[23]báo cáo'!U:U,'[23]báo cáo'!$F:$F,[23]TK!$B11)</f>
        <v>#VALUE!</v>
      </c>
      <c r="N11" s="619" t="e">
        <f>SUMIFS('[23]báo cáo'!V:V,'[23]báo cáo'!$F:$F,[23]TK!$B11)</f>
        <v>#VALUE!</v>
      </c>
      <c r="O11" s="619" t="e">
        <f>SUMIFS('[23]báo cáo'!W:W,'[23]báo cáo'!$F:$F,[23]TK!$B11)</f>
        <v>#VALUE!</v>
      </c>
      <c r="P11" s="619" t="e">
        <f>SUMIFS('[23]báo cáo'!X:X,'[23]báo cáo'!$F:$F,[23]TK!$B11)</f>
        <v>#VALUE!</v>
      </c>
      <c r="Q11" s="619" t="e">
        <f>SUMIFS('[23]báo cáo'!Y:Y,'[23]báo cáo'!$F:$F,[23]TK!$B11)</f>
        <v>#VALUE!</v>
      </c>
      <c r="R11" s="619" t="e">
        <f>SUMIFS('[23]báo cáo'!Z:Z,'[23]báo cáo'!$F:$F,[23]TK!$B11)</f>
        <v>#VALUE!</v>
      </c>
      <c r="S11" s="619" t="e">
        <f>SUMIFS('[23]báo cáo'!AA:AA,'[23]báo cáo'!$F:$F,[23]TK!$B11)</f>
        <v>#VALUE!</v>
      </c>
      <c r="T11" s="619" t="e">
        <f>SUMIFS('[23]báo cáo'!AB:AB,'[23]báo cáo'!$F:$F,[23]TK!$B11)</f>
        <v>#VALUE!</v>
      </c>
      <c r="U11" s="619" t="e">
        <f>SUMIFS('[23]báo cáo'!AC:AC,'[23]báo cáo'!$F:$F,[23]TK!$B11)</f>
        <v>#VALUE!</v>
      </c>
      <c r="V11" s="619" t="e">
        <f>SUMIFS('[23]báo cáo'!AD:AD,'[23]báo cáo'!$F:$F,[23]TK!$B11)</f>
        <v>#VALUE!</v>
      </c>
      <c r="W11" s="619" t="e">
        <f>SUMIFS('[23]báo cáo'!AE:AE,'[23]báo cáo'!$F:$F,[23]TK!$B11)</f>
        <v>#VALUE!</v>
      </c>
      <c r="X11" s="619" t="e">
        <f>SUMIFS('[23]báo cáo'!AF:AF,'[23]báo cáo'!$F:$F,[23]TK!$B11)</f>
        <v>#VALUE!</v>
      </c>
      <c r="Y11" s="619" t="e">
        <f>SUMIFS('[23]báo cáo'!AG:AG,'[23]báo cáo'!$F:$F,[23]TK!$B11)</f>
        <v>#VALUE!</v>
      </c>
      <c r="Z11" s="619" t="e">
        <f>SUMIFS('[23]báo cáo'!AH:AH,'[23]báo cáo'!$F:$F,[23]TK!$B11)</f>
        <v>#VALUE!</v>
      </c>
      <c r="AA11" s="619" t="e">
        <f>SUMIFS('[23]báo cáo'!AI:AI,'[23]báo cáo'!$F:$F,[23]TK!$B11)</f>
        <v>#VALUE!</v>
      </c>
      <c r="AB11" s="619" t="e">
        <f>SUMIFS('[23]báo cáo'!AJ:AJ,'[23]báo cáo'!$F:$F,[23]TK!$B11)</f>
        <v>#VALUE!</v>
      </c>
      <c r="AC11" s="619" t="e">
        <f>SUMIFS('[23]báo cáo'!AK:AK,'[23]báo cáo'!$F:$F,[23]TK!$B11)</f>
        <v>#VALUE!</v>
      </c>
      <c r="AD11" s="619"/>
      <c r="AE11" s="619"/>
      <c r="AF11" s="619"/>
      <c r="AG11" s="619"/>
      <c r="AH11" s="619"/>
      <c r="AI11" s="619"/>
      <c r="AJ11" s="619"/>
      <c r="AK11" s="619"/>
      <c r="AL11" s="619"/>
      <c r="AM11" s="630" t="e">
        <f t="shared" si="0"/>
        <v>#VALUE!</v>
      </c>
      <c r="AN11" s="619" t="e">
        <f>SUMIFS('[23]báo cáo'!$AY:$AY,'[23]báo cáo'!$F:$F,[23]TK!B11)</f>
        <v>#VALUE!</v>
      </c>
      <c r="AO11" s="619" t="e">
        <f>SUMIFS('[23]báo cáo'!$BL:$BL,'[23]báo cáo'!$F:$F,[23]TK!B11)</f>
        <v>#VALUE!</v>
      </c>
      <c r="AP11" s="619"/>
      <c r="AQ11" s="1293" t="e">
        <f t="shared" si="1"/>
        <v>#VALUE!</v>
      </c>
      <c r="AR11" s="1293"/>
      <c r="AS11">
        <f>SUMIFS('DSOAT-T1.2025'!$BA:$BA,'DSOAT-T1.2025'!$BH:$BH,'DON GIA'!B11)</f>
        <v>7749018</v>
      </c>
    </row>
    <row r="12" spans="1:45" ht="16.5">
      <c r="A12" s="628">
        <v>6</v>
      </c>
      <c r="B12" s="629" t="s">
        <v>79</v>
      </c>
      <c r="C12" s="619" t="e">
        <f>SUMIFS('[23]báo cáo'!K:K,'[23]báo cáo'!$F:$F,[23]TK!$B12)</f>
        <v>#VALUE!</v>
      </c>
      <c r="D12" s="619" t="e">
        <f>SUMIFS('[23]báo cáo'!L:L,'[23]báo cáo'!$F:$F,[23]TK!$B12)</f>
        <v>#VALUE!</v>
      </c>
      <c r="E12" s="619" t="e">
        <f>SUMIFS('[23]báo cáo'!M:M,'[23]báo cáo'!$F:$F,[23]TK!$B12)</f>
        <v>#VALUE!</v>
      </c>
      <c r="F12" s="619" t="e">
        <f>SUMIFS('[23]báo cáo'!N:N,'[23]báo cáo'!$F:$F,[23]TK!$B12)</f>
        <v>#VALUE!</v>
      </c>
      <c r="G12" s="619" t="e">
        <f>SUMIFS('[23]báo cáo'!O:O,'[23]báo cáo'!$F:$F,[23]TK!$B12)</f>
        <v>#VALUE!</v>
      </c>
      <c r="H12" s="619" t="e">
        <f>SUMIFS('[23]báo cáo'!P:P,'[23]báo cáo'!$F:$F,[23]TK!$B12)</f>
        <v>#VALUE!</v>
      </c>
      <c r="I12" s="619" t="e">
        <f>SUMIFS('[23]báo cáo'!Q:Q,'[23]báo cáo'!$F:$F,[23]TK!$B12)</f>
        <v>#VALUE!</v>
      </c>
      <c r="J12" s="619" t="e">
        <f>SUMIFS('[23]báo cáo'!R:R,'[23]báo cáo'!$F:$F,[23]TK!$B12)</f>
        <v>#VALUE!</v>
      </c>
      <c r="K12" s="619" t="e">
        <f>SUMIFS('[23]báo cáo'!S:S,'[23]báo cáo'!$F:$F,[23]TK!$B12)</f>
        <v>#VALUE!</v>
      </c>
      <c r="L12" s="619" t="e">
        <f>SUMIFS('[23]báo cáo'!T:T,'[23]báo cáo'!$F:$F,[23]TK!$B12)</f>
        <v>#VALUE!</v>
      </c>
      <c r="M12" s="619" t="e">
        <f>SUMIFS('[23]báo cáo'!U:U,'[23]báo cáo'!$F:$F,[23]TK!$B12)</f>
        <v>#VALUE!</v>
      </c>
      <c r="N12" s="619" t="e">
        <f>SUMIFS('[23]báo cáo'!V:V,'[23]báo cáo'!$F:$F,[23]TK!$B12)</f>
        <v>#VALUE!</v>
      </c>
      <c r="O12" s="619" t="e">
        <f>SUMIFS('[23]báo cáo'!W:W,'[23]báo cáo'!$F:$F,[23]TK!$B12)</f>
        <v>#VALUE!</v>
      </c>
      <c r="P12" s="619" t="e">
        <f>SUMIFS('[23]báo cáo'!X:X,'[23]báo cáo'!$F:$F,[23]TK!$B12)</f>
        <v>#VALUE!</v>
      </c>
      <c r="Q12" s="619" t="e">
        <f>SUMIFS('[23]báo cáo'!Y:Y,'[23]báo cáo'!$F:$F,[23]TK!$B12)</f>
        <v>#VALUE!</v>
      </c>
      <c r="R12" s="619" t="e">
        <f>SUMIFS('[23]báo cáo'!Z:Z,'[23]báo cáo'!$F:$F,[23]TK!$B12)</f>
        <v>#VALUE!</v>
      </c>
      <c r="S12" s="619" t="e">
        <f>SUMIFS('[23]báo cáo'!AA:AA,'[23]báo cáo'!$F:$F,[23]TK!$B12)</f>
        <v>#VALUE!</v>
      </c>
      <c r="T12" s="619" t="e">
        <f>SUMIFS('[23]báo cáo'!AB:AB,'[23]báo cáo'!$F:$F,[23]TK!$B12)</f>
        <v>#VALUE!</v>
      </c>
      <c r="U12" s="619" t="e">
        <f>SUMIFS('[23]báo cáo'!AC:AC,'[23]báo cáo'!$F:$F,[23]TK!$B12)</f>
        <v>#VALUE!</v>
      </c>
      <c r="V12" s="619" t="e">
        <f>SUMIFS('[23]báo cáo'!AD:AD,'[23]báo cáo'!$F:$F,[23]TK!$B12)</f>
        <v>#VALUE!</v>
      </c>
      <c r="W12" s="619" t="e">
        <f>SUMIFS('[23]báo cáo'!AE:AE,'[23]báo cáo'!$F:$F,[23]TK!$B12)</f>
        <v>#VALUE!</v>
      </c>
      <c r="X12" s="619" t="e">
        <f>SUMIFS('[23]báo cáo'!AF:AF,'[23]báo cáo'!$F:$F,[23]TK!$B12)</f>
        <v>#VALUE!</v>
      </c>
      <c r="Y12" s="619" t="e">
        <f>SUMIFS('[23]báo cáo'!AG:AG,'[23]báo cáo'!$F:$F,[23]TK!$B12)</f>
        <v>#VALUE!</v>
      </c>
      <c r="Z12" s="619" t="e">
        <f>SUMIFS('[23]báo cáo'!AH:AH,'[23]báo cáo'!$F:$F,[23]TK!$B12)</f>
        <v>#VALUE!</v>
      </c>
      <c r="AA12" s="619" t="e">
        <f>SUMIFS('[23]báo cáo'!AI:AI,'[23]báo cáo'!$F:$F,[23]TK!$B12)</f>
        <v>#VALUE!</v>
      </c>
      <c r="AB12" s="619" t="e">
        <f>SUMIFS('[23]báo cáo'!AJ:AJ,'[23]báo cáo'!$F:$F,[23]TK!$B12)</f>
        <v>#VALUE!</v>
      </c>
      <c r="AC12" s="619" t="e">
        <f>SUMIFS('[23]báo cáo'!AK:AK,'[23]báo cáo'!$F:$F,[23]TK!$B12)</f>
        <v>#VALUE!</v>
      </c>
      <c r="AD12" s="619"/>
      <c r="AE12" s="619"/>
      <c r="AF12" s="619"/>
      <c r="AG12" s="619"/>
      <c r="AH12" s="619"/>
      <c r="AI12" s="619"/>
      <c r="AJ12" s="619"/>
      <c r="AK12" s="619"/>
      <c r="AL12" s="619"/>
      <c r="AM12" s="630" t="e">
        <f t="shared" si="0"/>
        <v>#VALUE!</v>
      </c>
      <c r="AN12" s="619" t="e">
        <f>SUMIFS('[23]báo cáo'!$AY:$AY,'[23]báo cáo'!$F:$F,[23]TK!B12)</f>
        <v>#VALUE!</v>
      </c>
      <c r="AO12" s="619" t="e">
        <f>SUMIFS('[23]báo cáo'!$BL:$BL,'[23]báo cáo'!$F:$F,[23]TK!B12)</f>
        <v>#VALUE!</v>
      </c>
      <c r="AP12" s="619"/>
      <c r="AQ12" s="1293" t="e">
        <f t="shared" si="1"/>
        <v>#VALUE!</v>
      </c>
      <c r="AR12" s="1293"/>
      <c r="AS12">
        <f>SUMIFS('DSOAT-T1.2025'!$BA:$BA,'DSOAT-T1.2025'!$BH:$BH,'DON GIA'!B12)</f>
        <v>51774369</v>
      </c>
    </row>
    <row r="13" spans="1:45" ht="16.5">
      <c r="A13" s="628">
        <v>7</v>
      </c>
      <c r="B13" s="629" t="s">
        <v>87</v>
      </c>
      <c r="C13" s="619" t="e">
        <f>SUMIFS('[23]báo cáo'!K:K,'[23]báo cáo'!$F:$F,[23]TK!$B13)</f>
        <v>#VALUE!</v>
      </c>
      <c r="D13" s="619" t="e">
        <f>SUMIFS('[23]báo cáo'!L:L,'[23]báo cáo'!$F:$F,[23]TK!$B13)</f>
        <v>#VALUE!</v>
      </c>
      <c r="E13" s="619" t="e">
        <f>SUMIFS('[23]báo cáo'!M:M,'[23]báo cáo'!$F:$F,[23]TK!$B13)</f>
        <v>#VALUE!</v>
      </c>
      <c r="F13" s="619" t="e">
        <f>SUMIFS('[23]báo cáo'!N:N,'[23]báo cáo'!$F:$F,[23]TK!$B13)</f>
        <v>#VALUE!</v>
      </c>
      <c r="G13" s="619" t="e">
        <f>SUMIFS('[23]báo cáo'!O:O,'[23]báo cáo'!$F:$F,[23]TK!$B13)</f>
        <v>#VALUE!</v>
      </c>
      <c r="H13" s="619" t="e">
        <f>SUMIFS('[23]báo cáo'!P:P,'[23]báo cáo'!$F:$F,[23]TK!$B13)</f>
        <v>#VALUE!</v>
      </c>
      <c r="I13" s="619" t="e">
        <f>SUMIFS('[23]báo cáo'!Q:Q,'[23]báo cáo'!$F:$F,[23]TK!$B13)</f>
        <v>#VALUE!</v>
      </c>
      <c r="J13" s="619" t="e">
        <f>SUMIFS('[23]báo cáo'!R:R,'[23]báo cáo'!$F:$F,[23]TK!$B13)</f>
        <v>#VALUE!</v>
      </c>
      <c r="K13" s="619" t="e">
        <f>SUMIFS('[23]báo cáo'!S:S,'[23]báo cáo'!$F:$F,[23]TK!$B13)</f>
        <v>#VALUE!</v>
      </c>
      <c r="L13" s="619" t="e">
        <f>SUMIFS('[23]báo cáo'!T:T,'[23]báo cáo'!$F:$F,[23]TK!$B13)</f>
        <v>#VALUE!</v>
      </c>
      <c r="M13" s="619" t="e">
        <f>SUMIFS('[23]báo cáo'!U:U,'[23]báo cáo'!$F:$F,[23]TK!$B13)</f>
        <v>#VALUE!</v>
      </c>
      <c r="N13" s="619" t="e">
        <f>SUMIFS('[23]báo cáo'!V:V,'[23]báo cáo'!$F:$F,[23]TK!$B13)</f>
        <v>#VALUE!</v>
      </c>
      <c r="O13" s="619" t="e">
        <f>SUMIFS('[23]báo cáo'!W:W,'[23]báo cáo'!$F:$F,[23]TK!$B13)</f>
        <v>#VALUE!</v>
      </c>
      <c r="P13" s="619" t="e">
        <f>SUMIFS('[23]báo cáo'!X:X,'[23]báo cáo'!$F:$F,[23]TK!$B13)</f>
        <v>#VALUE!</v>
      </c>
      <c r="Q13" s="619" t="e">
        <f>SUMIFS('[23]báo cáo'!Y:Y,'[23]báo cáo'!$F:$F,[23]TK!$B13)</f>
        <v>#VALUE!</v>
      </c>
      <c r="R13" s="619" t="e">
        <f>SUMIFS('[23]báo cáo'!Z:Z,'[23]báo cáo'!$F:$F,[23]TK!$B13)</f>
        <v>#VALUE!</v>
      </c>
      <c r="S13" s="619" t="e">
        <f>SUMIFS('[23]báo cáo'!AA:AA,'[23]báo cáo'!$F:$F,[23]TK!$B13)</f>
        <v>#VALUE!</v>
      </c>
      <c r="T13" s="619" t="e">
        <f>SUMIFS('[23]báo cáo'!AB:AB,'[23]báo cáo'!$F:$F,[23]TK!$B13)</f>
        <v>#VALUE!</v>
      </c>
      <c r="U13" s="619" t="e">
        <f>SUMIFS('[23]báo cáo'!AC:AC,'[23]báo cáo'!$F:$F,[23]TK!$B13)</f>
        <v>#VALUE!</v>
      </c>
      <c r="V13" s="619" t="e">
        <f>SUMIFS('[23]báo cáo'!AD:AD,'[23]báo cáo'!$F:$F,[23]TK!$B13)</f>
        <v>#VALUE!</v>
      </c>
      <c r="W13" s="619" t="e">
        <f>SUMIFS('[23]báo cáo'!AE:AE,'[23]báo cáo'!$F:$F,[23]TK!$B13)</f>
        <v>#VALUE!</v>
      </c>
      <c r="X13" s="619" t="e">
        <f>SUMIFS('[23]báo cáo'!AF:AF,'[23]báo cáo'!$F:$F,[23]TK!$B13)</f>
        <v>#VALUE!</v>
      </c>
      <c r="Y13" s="619" t="e">
        <f>SUMIFS('[23]báo cáo'!AG:AG,'[23]báo cáo'!$F:$F,[23]TK!$B13)</f>
        <v>#VALUE!</v>
      </c>
      <c r="Z13" s="619" t="e">
        <f>SUMIFS('[23]báo cáo'!AH:AH,'[23]báo cáo'!$F:$F,[23]TK!$B13)</f>
        <v>#VALUE!</v>
      </c>
      <c r="AA13" s="619" t="e">
        <f>SUMIFS('[23]báo cáo'!AI:AI,'[23]báo cáo'!$F:$F,[23]TK!$B13)</f>
        <v>#VALUE!</v>
      </c>
      <c r="AB13" s="619" t="e">
        <f>SUMIFS('[23]báo cáo'!AJ:AJ,'[23]báo cáo'!$F:$F,[23]TK!$B13)</f>
        <v>#VALUE!</v>
      </c>
      <c r="AC13" s="619" t="e">
        <f>SUMIFS('[23]báo cáo'!AK:AK,'[23]báo cáo'!$F:$F,[23]TK!$B13)</f>
        <v>#VALUE!</v>
      </c>
      <c r="AD13" s="619"/>
      <c r="AE13" s="619"/>
      <c r="AF13" s="619"/>
      <c r="AG13" s="619"/>
      <c r="AH13" s="619"/>
      <c r="AI13" s="619"/>
      <c r="AJ13" s="619"/>
      <c r="AK13" s="619"/>
      <c r="AL13" s="619"/>
      <c r="AM13" s="630" t="e">
        <f t="shared" si="0"/>
        <v>#VALUE!</v>
      </c>
      <c r="AN13" s="619" t="e">
        <f>SUMIFS('[23]báo cáo'!$AY:$AY,'[23]báo cáo'!$F:$F,[23]TK!B13)</f>
        <v>#VALUE!</v>
      </c>
      <c r="AO13" s="619" t="e">
        <f>SUMIFS('[23]báo cáo'!$BL:$BL,'[23]báo cáo'!$F:$F,[23]TK!B13)</f>
        <v>#VALUE!</v>
      </c>
      <c r="AP13" s="619"/>
      <c r="AQ13" s="1293" t="e">
        <f t="shared" si="1"/>
        <v>#VALUE!</v>
      </c>
      <c r="AR13" s="1293"/>
      <c r="AS13">
        <f>SUMIFS('DSOAT-T1.2025'!$BA:$BA,'DSOAT-T1.2025'!$BH:$BH,'DON GIA'!B13)</f>
        <v>18807575</v>
      </c>
    </row>
    <row r="14" spans="1:45" ht="16.5">
      <c r="A14" s="628">
        <v>8</v>
      </c>
      <c r="B14" s="629" t="s">
        <v>92</v>
      </c>
      <c r="C14" s="619" t="e">
        <f>SUMIFS('[23]báo cáo'!K:K,'[23]báo cáo'!$F:$F,[23]TK!$B14)</f>
        <v>#VALUE!</v>
      </c>
      <c r="D14" s="619" t="e">
        <f>SUMIFS('[23]báo cáo'!L:L,'[23]báo cáo'!$F:$F,[23]TK!$B14)</f>
        <v>#VALUE!</v>
      </c>
      <c r="E14" s="619" t="e">
        <f>SUMIFS('[23]báo cáo'!M:M,'[23]báo cáo'!$F:$F,[23]TK!$B14)</f>
        <v>#VALUE!</v>
      </c>
      <c r="F14" s="619" t="e">
        <f>SUMIFS('[23]báo cáo'!N:N,'[23]báo cáo'!$F:$F,[23]TK!$B14)</f>
        <v>#VALUE!</v>
      </c>
      <c r="G14" s="619" t="e">
        <f>SUMIFS('[23]báo cáo'!O:O,'[23]báo cáo'!$F:$F,[23]TK!$B14)</f>
        <v>#VALUE!</v>
      </c>
      <c r="H14" s="619" t="e">
        <f>SUMIFS('[23]báo cáo'!P:P,'[23]báo cáo'!$F:$F,[23]TK!$B14)</f>
        <v>#VALUE!</v>
      </c>
      <c r="I14" s="619" t="e">
        <f>SUMIFS('[23]báo cáo'!Q:Q,'[23]báo cáo'!$F:$F,[23]TK!$B14)</f>
        <v>#VALUE!</v>
      </c>
      <c r="J14" s="619" t="e">
        <f>SUMIFS('[23]báo cáo'!R:R,'[23]báo cáo'!$F:$F,[23]TK!$B14)</f>
        <v>#VALUE!</v>
      </c>
      <c r="K14" s="619" t="e">
        <f>SUMIFS('[23]báo cáo'!S:S,'[23]báo cáo'!$F:$F,[23]TK!$B14)</f>
        <v>#VALUE!</v>
      </c>
      <c r="L14" s="619" t="e">
        <f>SUMIFS('[23]báo cáo'!T:T,'[23]báo cáo'!$F:$F,[23]TK!$B14)</f>
        <v>#VALUE!</v>
      </c>
      <c r="M14" s="619" t="e">
        <f>SUMIFS('[23]báo cáo'!U:U,'[23]báo cáo'!$F:$F,[23]TK!$B14)</f>
        <v>#VALUE!</v>
      </c>
      <c r="N14" s="619" t="e">
        <f>SUMIFS('[23]báo cáo'!V:V,'[23]báo cáo'!$F:$F,[23]TK!$B14)</f>
        <v>#VALUE!</v>
      </c>
      <c r="O14" s="619" t="e">
        <f>SUMIFS('[23]báo cáo'!W:W,'[23]báo cáo'!$F:$F,[23]TK!$B14)</f>
        <v>#VALUE!</v>
      </c>
      <c r="P14" s="619" t="e">
        <f>SUMIFS('[23]báo cáo'!X:X,'[23]báo cáo'!$F:$F,[23]TK!$B14)</f>
        <v>#VALUE!</v>
      </c>
      <c r="Q14" s="619" t="e">
        <f>SUMIFS('[23]báo cáo'!Y:Y,'[23]báo cáo'!$F:$F,[23]TK!$B14)</f>
        <v>#VALUE!</v>
      </c>
      <c r="R14" s="619" t="e">
        <f>SUMIFS('[23]báo cáo'!Z:Z,'[23]báo cáo'!$F:$F,[23]TK!$B14)</f>
        <v>#VALUE!</v>
      </c>
      <c r="S14" s="619" t="e">
        <f>SUMIFS('[23]báo cáo'!AA:AA,'[23]báo cáo'!$F:$F,[23]TK!$B14)</f>
        <v>#VALUE!</v>
      </c>
      <c r="T14" s="619" t="e">
        <f>SUMIFS('[23]báo cáo'!AB:AB,'[23]báo cáo'!$F:$F,[23]TK!$B14)</f>
        <v>#VALUE!</v>
      </c>
      <c r="U14" s="619" t="e">
        <f>SUMIFS('[23]báo cáo'!AC:AC,'[23]báo cáo'!$F:$F,[23]TK!$B14)</f>
        <v>#VALUE!</v>
      </c>
      <c r="V14" s="619" t="e">
        <f>SUMIFS('[23]báo cáo'!AD:AD,'[23]báo cáo'!$F:$F,[23]TK!$B14)</f>
        <v>#VALUE!</v>
      </c>
      <c r="W14" s="619" t="e">
        <f>SUMIFS('[23]báo cáo'!AE:AE,'[23]báo cáo'!$F:$F,[23]TK!$B14)</f>
        <v>#VALUE!</v>
      </c>
      <c r="X14" s="619" t="e">
        <f>SUMIFS('[23]báo cáo'!AF:AF,'[23]báo cáo'!$F:$F,[23]TK!$B14)</f>
        <v>#VALUE!</v>
      </c>
      <c r="Y14" s="619" t="e">
        <f>SUMIFS('[23]báo cáo'!AG:AG,'[23]báo cáo'!$F:$F,[23]TK!$B14)</f>
        <v>#VALUE!</v>
      </c>
      <c r="Z14" s="619" t="e">
        <f>SUMIFS('[23]báo cáo'!AH:AH,'[23]báo cáo'!$F:$F,[23]TK!$B14)</f>
        <v>#VALUE!</v>
      </c>
      <c r="AA14" s="619" t="e">
        <f>SUMIFS('[23]báo cáo'!AI:AI,'[23]báo cáo'!$F:$F,[23]TK!$B14)</f>
        <v>#VALUE!</v>
      </c>
      <c r="AB14" s="619" t="e">
        <f>SUMIFS('[23]báo cáo'!AJ:AJ,'[23]báo cáo'!$F:$F,[23]TK!$B14)</f>
        <v>#VALUE!</v>
      </c>
      <c r="AC14" s="619" t="e">
        <f>SUMIFS('[23]báo cáo'!AK:AK,'[23]báo cáo'!$F:$F,[23]TK!$B14)</f>
        <v>#VALUE!</v>
      </c>
      <c r="AD14" s="619"/>
      <c r="AE14" s="619"/>
      <c r="AF14" s="619"/>
      <c r="AG14" s="619"/>
      <c r="AH14" s="619"/>
      <c r="AI14" s="619"/>
      <c r="AJ14" s="619"/>
      <c r="AK14" s="619"/>
      <c r="AL14" s="619"/>
      <c r="AM14" s="630" t="e">
        <f t="shared" si="0"/>
        <v>#VALUE!</v>
      </c>
      <c r="AN14" s="619" t="e">
        <f>SUMIFS('[23]báo cáo'!$AY:$AY,'[23]báo cáo'!$F:$F,[23]TK!B14)</f>
        <v>#VALUE!</v>
      </c>
      <c r="AO14" s="619" t="e">
        <f>SUMIFS('[23]báo cáo'!$BL:$BL,'[23]báo cáo'!$F:$F,[23]TK!B14)</f>
        <v>#VALUE!</v>
      </c>
      <c r="AP14" s="619"/>
      <c r="AQ14" s="1293" t="e">
        <f t="shared" si="1"/>
        <v>#VALUE!</v>
      </c>
      <c r="AR14" s="1293"/>
      <c r="AS14">
        <f>SUMIFS('DSOAT-T1.2025'!$BA:$BA,'DSOAT-T1.2025'!$BH:$BH,'DON GIA'!B14)</f>
        <v>43248824</v>
      </c>
    </row>
    <row r="15" spans="1:45" ht="16.5">
      <c r="A15" s="628">
        <v>9</v>
      </c>
      <c r="B15" s="629" t="s">
        <v>20</v>
      </c>
      <c r="C15" s="619" t="e">
        <f>SUMIFS('[23]báo cáo'!K:K,'[23]báo cáo'!$F:$F,[23]TK!$B15)</f>
        <v>#VALUE!</v>
      </c>
      <c r="D15" s="619" t="e">
        <f>SUMIFS('[23]báo cáo'!L:L,'[23]báo cáo'!$F:$F,[23]TK!$B15)</f>
        <v>#VALUE!</v>
      </c>
      <c r="E15" s="619" t="e">
        <f>SUMIFS('[23]báo cáo'!M:M,'[23]báo cáo'!$F:$F,[23]TK!$B15)</f>
        <v>#VALUE!</v>
      </c>
      <c r="F15" s="619" t="e">
        <f>SUMIFS('[23]báo cáo'!N:N,'[23]báo cáo'!$F:$F,[23]TK!$B15)</f>
        <v>#VALUE!</v>
      </c>
      <c r="G15" s="619" t="e">
        <f>SUMIFS('[23]báo cáo'!O:O,'[23]báo cáo'!$F:$F,[23]TK!$B15)</f>
        <v>#VALUE!</v>
      </c>
      <c r="H15" s="619" t="e">
        <f>SUMIFS('[23]báo cáo'!P:P,'[23]báo cáo'!$F:$F,[23]TK!$B15)</f>
        <v>#VALUE!</v>
      </c>
      <c r="I15" s="619" t="e">
        <f>SUMIFS('[23]báo cáo'!Q:Q,'[23]báo cáo'!$F:$F,[23]TK!$B15)</f>
        <v>#VALUE!</v>
      </c>
      <c r="J15" s="619" t="e">
        <f>SUMIFS('[23]báo cáo'!R:R,'[23]báo cáo'!$F:$F,[23]TK!$B15)</f>
        <v>#VALUE!</v>
      </c>
      <c r="K15" s="619" t="e">
        <f>SUMIFS('[23]báo cáo'!S:S,'[23]báo cáo'!$F:$F,[23]TK!$B15)</f>
        <v>#VALUE!</v>
      </c>
      <c r="L15" s="619" t="e">
        <f>SUMIFS('[23]báo cáo'!T:T,'[23]báo cáo'!$F:$F,[23]TK!$B15)</f>
        <v>#VALUE!</v>
      </c>
      <c r="M15" s="619" t="e">
        <f>SUMIFS('[23]báo cáo'!U:U,'[23]báo cáo'!$F:$F,[23]TK!$B15)</f>
        <v>#VALUE!</v>
      </c>
      <c r="N15" s="619" t="e">
        <f>SUMIFS('[23]báo cáo'!V:V,'[23]báo cáo'!$F:$F,[23]TK!$B15)</f>
        <v>#VALUE!</v>
      </c>
      <c r="O15" s="619" t="e">
        <f>SUMIFS('[23]báo cáo'!W:W,'[23]báo cáo'!$F:$F,[23]TK!$B15)</f>
        <v>#VALUE!</v>
      </c>
      <c r="P15" s="619" t="e">
        <f>SUMIFS('[23]báo cáo'!X:X,'[23]báo cáo'!$F:$F,[23]TK!$B15)</f>
        <v>#VALUE!</v>
      </c>
      <c r="Q15" s="619" t="e">
        <f>SUMIFS('[23]báo cáo'!Y:Y,'[23]báo cáo'!$F:$F,[23]TK!$B15)</f>
        <v>#VALUE!</v>
      </c>
      <c r="R15" s="619" t="e">
        <f>SUMIFS('[23]báo cáo'!Z:Z,'[23]báo cáo'!$F:$F,[23]TK!$B15)</f>
        <v>#VALUE!</v>
      </c>
      <c r="S15" s="619" t="e">
        <f>SUMIFS('[23]báo cáo'!AA:AA,'[23]báo cáo'!$F:$F,[23]TK!$B15)</f>
        <v>#VALUE!</v>
      </c>
      <c r="T15" s="619" t="e">
        <f>SUMIFS('[23]báo cáo'!AB:AB,'[23]báo cáo'!$F:$F,[23]TK!$B15)</f>
        <v>#VALUE!</v>
      </c>
      <c r="U15" s="619" t="e">
        <f>SUMIFS('[23]báo cáo'!AC:AC,'[23]báo cáo'!$F:$F,[23]TK!$B15)</f>
        <v>#VALUE!</v>
      </c>
      <c r="V15" s="619" t="e">
        <f>SUMIFS('[23]báo cáo'!AD:AD,'[23]báo cáo'!$F:$F,[23]TK!$B15)</f>
        <v>#VALUE!</v>
      </c>
      <c r="W15" s="619" t="e">
        <f>SUMIFS('[23]báo cáo'!AE:AE,'[23]báo cáo'!$F:$F,[23]TK!$B15)</f>
        <v>#VALUE!</v>
      </c>
      <c r="X15" s="619" t="e">
        <f>SUMIFS('[23]báo cáo'!AF:AF,'[23]báo cáo'!$F:$F,[23]TK!$B15)</f>
        <v>#VALUE!</v>
      </c>
      <c r="Y15" s="619" t="e">
        <f>SUMIFS('[23]báo cáo'!AG:AG,'[23]báo cáo'!$F:$F,[23]TK!$B15)</f>
        <v>#VALUE!</v>
      </c>
      <c r="Z15" s="619" t="e">
        <f>SUMIFS('[23]báo cáo'!AH:AH,'[23]báo cáo'!$F:$F,[23]TK!$B15)</f>
        <v>#VALUE!</v>
      </c>
      <c r="AA15" s="619" t="e">
        <f>SUMIFS('[23]báo cáo'!AI:AI,'[23]báo cáo'!$F:$F,[23]TK!$B15)</f>
        <v>#VALUE!</v>
      </c>
      <c r="AB15" s="619" t="e">
        <f>SUMIFS('[23]báo cáo'!AJ:AJ,'[23]báo cáo'!$F:$F,[23]TK!$B15)</f>
        <v>#VALUE!</v>
      </c>
      <c r="AC15" s="619" t="e">
        <f>SUMIFS('[23]báo cáo'!AK:AK,'[23]báo cáo'!$F:$F,[23]TK!$B15)</f>
        <v>#VALUE!</v>
      </c>
      <c r="AD15" s="619"/>
      <c r="AE15" s="619"/>
      <c r="AF15" s="619"/>
      <c r="AG15" s="619"/>
      <c r="AH15" s="619"/>
      <c r="AI15" s="619"/>
      <c r="AJ15" s="619"/>
      <c r="AK15" s="619"/>
      <c r="AL15" s="619"/>
      <c r="AM15" s="630" t="e">
        <f t="shared" si="0"/>
        <v>#VALUE!</v>
      </c>
      <c r="AN15" s="619" t="e">
        <f>SUMIFS('[23]báo cáo'!$AY:$AY,'[23]báo cáo'!$F:$F,[23]TK!B15)</f>
        <v>#VALUE!</v>
      </c>
      <c r="AO15" s="619" t="e">
        <f>SUMIFS('[23]báo cáo'!$BL:$BL,'[23]báo cáo'!$F:$F,[23]TK!B15)</f>
        <v>#VALUE!</v>
      </c>
      <c r="AP15" s="619"/>
      <c r="AQ15" s="1293" t="e">
        <f t="shared" si="1"/>
        <v>#VALUE!</v>
      </c>
      <c r="AR15" s="1293"/>
      <c r="AS15">
        <f>SUMIFS('DSOAT-T1.2025'!$BA:$BA,'DSOAT-T1.2025'!$BH:$BH,'DON GIA'!B15)</f>
        <v>9598307</v>
      </c>
    </row>
    <row r="16" spans="1:45" ht="16.5">
      <c r="A16" s="628">
        <v>10</v>
      </c>
      <c r="B16" s="629" t="s">
        <v>109</v>
      </c>
      <c r="C16" s="619" t="e">
        <f>SUMIFS('[23]báo cáo'!K:K,'[23]báo cáo'!$F:$F,[23]TK!$B16)</f>
        <v>#VALUE!</v>
      </c>
      <c r="D16" s="619" t="e">
        <f>SUMIFS('[23]báo cáo'!L:L,'[23]báo cáo'!$F:$F,[23]TK!$B16)</f>
        <v>#VALUE!</v>
      </c>
      <c r="E16" s="619" t="e">
        <f>SUMIFS('[23]báo cáo'!M:M,'[23]báo cáo'!$F:$F,[23]TK!$B16)</f>
        <v>#VALUE!</v>
      </c>
      <c r="F16" s="619" t="e">
        <f>SUMIFS('[23]báo cáo'!N:N,'[23]báo cáo'!$F:$F,[23]TK!$B16)</f>
        <v>#VALUE!</v>
      </c>
      <c r="G16" s="619" t="e">
        <f>SUMIFS('[23]báo cáo'!O:O,'[23]báo cáo'!$F:$F,[23]TK!$B16)</f>
        <v>#VALUE!</v>
      </c>
      <c r="H16" s="619" t="e">
        <f>SUMIFS('[23]báo cáo'!P:P,'[23]báo cáo'!$F:$F,[23]TK!$B16)</f>
        <v>#VALUE!</v>
      </c>
      <c r="I16" s="619" t="e">
        <f>SUMIFS('[23]báo cáo'!Q:Q,'[23]báo cáo'!$F:$F,[23]TK!$B16)</f>
        <v>#VALUE!</v>
      </c>
      <c r="J16" s="619" t="e">
        <f>SUMIFS('[23]báo cáo'!R:R,'[23]báo cáo'!$F:$F,[23]TK!$B16)</f>
        <v>#VALUE!</v>
      </c>
      <c r="K16" s="619" t="e">
        <f>SUMIFS('[23]báo cáo'!S:S,'[23]báo cáo'!$F:$F,[23]TK!$B16)</f>
        <v>#VALUE!</v>
      </c>
      <c r="L16" s="619" t="e">
        <f>SUMIFS('[23]báo cáo'!T:T,'[23]báo cáo'!$F:$F,[23]TK!$B16)</f>
        <v>#VALUE!</v>
      </c>
      <c r="M16" s="619" t="e">
        <f>SUMIFS('[23]báo cáo'!U:U,'[23]báo cáo'!$F:$F,[23]TK!$B16)</f>
        <v>#VALUE!</v>
      </c>
      <c r="N16" s="619" t="e">
        <f>SUMIFS('[23]báo cáo'!V:V,'[23]báo cáo'!$F:$F,[23]TK!$B16)</f>
        <v>#VALUE!</v>
      </c>
      <c r="O16" s="619" t="e">
        <f>SUMIFS('[23]báo cáo'!W:W,'[23]báo cáo'!$F:$F,[23]TK!$B16)</f>
        <v>#VALUE!</v>
      </c>
      <c r="P16" s="619" t="e">
        <f>SUMIFS('[23]báo cáo'!X:X,'[23]báo cáo'!$F:$F,[23]TK!$B16)</f>
        <v>#VALUE!</v>
      </c>
      <c r="Q16" s="619" t="e">
        <f>SUMIFS('[23]báo cáo'!Y:Y,'[23]báo cáo'!$F:$F,[23]TK!$B16)</f>
        <v>#VALUE!</v>
      </c>
      <c r="R16" s="619" t="e">
        <f>SUMIFS('[23]báo cáo'!Z:Z,'[23]báo cáo'!$F:$F,[23]TK!$B16)</f>
        <v>#VALUE!</v>
      </c>
      <c r="S16" s="619" t="e">
        <f>SUMIFS('[23]báo cáo'!AA:AA,'[23]báo cáo'!$F:$F,[23]TK!$B16)</f>
        <v>#VALUE!</v>
      </c>
      <c r="T16" s="619" t="e">
        <f>SUMIFS('[23]báo cáo'!AB:AB,'[23]báo cáo'!$F:$F,[23]TK!$B16)</f>
        <v>#VALUE!</v>
      </c>
      <c r="U16" s="619" t="e">
        <f>SUMIFS('[23]báo cáo'!AC:AC,'[23]báo cáo'!$F:$F,[23]TK!$B16)</f>
        <v>#VALUE!</v>
      </c>
      <c r="V16" s="619" t="e">
        <f>SUMIFS('[23]báo cáo'!AD:AD,'[23]báo cáo'!$F:$F,[23]TK!$B16)</f>
        <v>#VALUE!</v>
      </c>
      <c r="W16" s="619" t="e">
        <f>SUMIFS('[23]báo cáo'!AE:AE,'[23]báo cáo'!$F:$F,[23]TK!$B16)</f>
        <v>#VALUE!</v>
      </c>
      <c r="X16" s="619" t="e">
        <f>SUMIFS('[23]báo cáo'!AF:AF,'[23]báo cáo'!$F:$F,[23]TK!$B16)</f>
        <v>#VALUE!</v>
      </c>
      <c r="Y16" s="619" t="e">
        <f>SUMIFS('[23]báo cáo'!AG:AG,'[23]báo cáo'!$F:$F,[23]TK!$B16)</f>
        <v>#VALUE!</v>
      </c>
      <c r="Z16" s="619" t="e">
        <f>SUMIFS('[23]báo cáo'!AH:AH,'[23]báo cáo'!$F:$F,[23]TK!$B16)</f>
        <v>#VALUE!</v>
      </c>
      <c r="AA16" s="619" t="e">
        <f>SUMIFS('[23]báo cáo'!AI:AI,'[23]báo cáo'!$F:$F,[23]TK!$B16)</f>
        <v>#VALUE!</v>
      </c>
      <c r="AB16" s="619" t="e">
        <f>SUMIFS('[23]báo cáo'!AJ:AJ,'[23]báo cáo'!$F:$F,[23]TK!$B16)</f>
        <v>#VALUE!</v>
      </c>
      <c r="AC16" s="619" t="e">
        <f>SUMIFS('[23]báo cáo'!AK:AK,'[23]báo cáo'!$F:$F,[23]TK!$B16)</f>
        <v>#VALUE!</v>
      </c>
      <c r="AD16" s="619"/>
      <c r="AE16" s="619"/>
      <c r="AF16" s="619"/>
      <c r="AG16" s="619"/>
      <c r="AH16" s="619"/>
      <c r="AI16" s="619"/>
      <c r="AJ16" s="619"/>
      <c r="AK16" s="619"/>
      <c r="AL16" s="619"/>
      <c r="AM16" s="630" t="e">
        <f t="shared" si="0"/>
        <v>#VALUE!</v>
      </c>
      <c r="AN16" s="619" t="e">
        <f>SUMIFS('[23]báo cáo'!$AY:$AY,'[23]báo cáo'!$F:$F,[23]TK!B16)</f>
        <v>#VALUE!</v>
      </c>
      <c r="AO16" s="619" t="e">
        <f>SUMIFS('[23]báo cáo'!$BL:$BL,'[23]báo cáo'!$F:$F,[23]TK!B16)</f>
        <v>#VALUE!</v>
      </c>
      <c r="AP16" s="619"/>
      <c r="AQ16" s="1293" t="e">
        <f t="shared" si="1"/>
        <v>#VALUE!</v>
      </c>
      <c r="AR16" s="1293"/>
      <c r="AS16">
        <f>SUMIFS('DSOAT-T1.2025'!$BA:$BA,'DSOAT-T1.2025'!$BH:$BH,'DON GIA'!B16)</f>
        <v>0</v>
      </c>
    </row>
    <row r="17" spans="1:45" ht="16.5">
      <c r="A17" s="628">
        <v>11</v>
      </c>
      <c r="B17" s="629" t="s">
        <v>194</v>
      </c>
      <c r="C17" s="619" t="e">
        <f>SUMIFS('[23]báo cáo'!K:K,'[23]báo cáo'!$F:$F,[23]TK!$B17)</f>
        <v>#VALUE!</v>
      </c>
      <c r="D17" s="619" t="e">
        <f>SUMIFS('[23]báo cáo'!L:L,'[23]báo cáo'!$F:$F,[23]TK!$B17)</f>
        <v>#VALUE!</v>
      </c>
      <c r="E17" s="619" t="e">
        <f>SUMIFS('[23]báo cáo'!M:M,'[23]báo cáo'!$F:$F,[23]TK!$B17)</f>
        <v>#VALUE!</v>
      </c>
      <c r="F17" s="619" t="e">
        <f>SUMIFS('[23]báo cáo'!N:N,'[23]báo cáo'!$F:$F,[23]TK!$B17)</f>
        <v>#VALUE!</v>
      </c>
      <c r="G17" s="619" t="e">
        <f>SUMIFS('[23]báo cáo'!O:O,'[23]báo cáo'!$F:$F,[23]TK!$B17)</f>
        <v>#VALUE!</v>
      </c>
      <c r="H17" s="619" t="e">
        <f>SUMIFS('[23]báo cáo'!P:P,'[23]báo cáo'!$F:$F,[23]TK!$B17)</f>
        <v>#VALUE!</v>
      </c>
      <c r="I17" s="619" t="e">
        <f>SUMIFS('[23]báo cáo'!Q:Q,'[23]báo cáo'!$F:$F,[23]TK!$B17)</f>
        <v>#VALUE!</v>
      </c>
      <c r="J17" s="619" t="e">
        <f>SUMIFS('[23]báo cáo'!R:R,'[23]báo cáo'!$F:$F,[23]TK!$B17)</f>
        <v>#VALUE!</v>
      </c>
      <c r="K17" s="619" t="e">
        <f>SUMIFS('[23]báo cáo'!S:S,'[23]báo cáo'!$F:$F,[23]TK!$B17)</f>
        <v>#VALUE!</v>
      </c>
      <c r="L17" s="619" t="e">
        <f>SUMIFS('[23]báo cáo'!T:T,'[23]báo cáo'!$F:$F,[23]TK!$B17)</f>
        <v>#VALUE!</v>
      </c>
      <c r="M17" s="619" t="e">
        <f>SUMIFS('[23]báo cáo'!U:U,'[23]báo cáo'!$F:$F,[23]TK!$B17)</f>
        <v>#VALUE!</v>
      </c>
      <c r="N17" s="619" t="e">
        <f>SUMIFS('[23]báo cáo'!V:V,'[23]báo cáo'!$F:$F,[23]TK!$B17)</f>
        <v>#VALUE!</v>
      </c>
      <c r="O17" s="619" t="e">
        <f>SUMIFS('[23]báo cáo'!W:W,'[23]báo cáo'!$F:$F,[23]TK!$B17)</f>
        <v>#VALUE!</v>
      </c>
      <c r="P17" s="619" t="e">
        <f>SUMIFS('[23]báo cáo'!X:X,'[23]báo cáo'!$F:$F,[23]TK!$B17)</f>
        <v>#VALUE!</v>
      </c>
      <c r="Q17" s="619" t="e">
        <f>SUMIFS('[23]báo cáo'!Y:Y,'[23]báo cáo'!$F:$F,[23]TK!$B17)</f>
        <v>#VALUE!</v>
      </c>
      <c r="R17" s="619" t="e">
        <f>SUMIFS('[23]báo cáo'!Z:Z,'[23]báo cáo'!$F:$F,[23]TK!$B17)</f>
        <v>#VALUE!</v>
      </c>
      <c r="S17" s="619" t="e">
        <f>SUMIFS('[23]báo cáo'!AA:AA,'[23]báo cáo'!$F:$F,[23]TK!$B17)</f>
        <v>#VALUE!</v>
      </c>
      <c r="T17" s="619" t="e">
        <f>SUMIFS('[23]báo cáo'!AB:AB,'[23]báo cáo'!$F:$F,[23]TK!$B17)</f>
        <v>#VALUE!</v>
      </c>
      <c r="U17" s="619" t="e">
        <f>SUMIFS('[23]báo cáo'!AC:AC,'[23]báo cáo'!$F:$F,[23]TK!$B17)</f>
        <v>#VALUE!</v>
      </c>
      <c r="V17" s="619" t="e">
        <f>SUMIFS('[23]báo cáo'!AD:AD,'[23]báo cáo'!$F:$F,[23]TK!$B17)</f>
        <v>#VALUE!</v>
      </c>
      <c r="W17" s="619" t="e">
        <f>SUMIFS('[23]báo cáo'!AE:AE,'[23]báo cáo'!$F:$F,[23]TK!$B17)</f>
        <v>#VALUE!</v>
      </c>
      <c r="X17" s="619" t="e">
        <f>SUMIFS('[23]báo cáo'!AF:AF,'[23]báo cáo'!$F:$F,[23]TK!$B17)</f>
        <v>#VALUE!</v>
      </c>
      <c r="Y17" s="619" t="e">
        <f>SUMIFS('[23]báo cáo'!AG:AG,'[23]báo cáo'!$F:$F,[23]TK!$B17)</f>
        <v>#VALUE!</v>
      </c>
      <c r="Z17" s="619" t="e">
        <f>SUMIFS('[23]báo cáo'!AH:AH,'[23]báo cáo'!$F:$F,[23]TK!$B17)</f>
        <v>#VALUE!</v>
      </c>
      <c r="AA17" s="619" t="e">
        <f>SUMIFS('[23]báo cáo'!AI:AI,'[23]báo cáo'!$F:$F,[23]TK!$B17)</f>
        <v>#VALUE!</v>
      </c>
      <c r="AB17" s="619" t="e">
        <f>SUMIFS('[23]báo cáo'!AJ:AJ,'[23]báo cáo'!$F:$F,[23]TK!$B17)</f>
        <v>#VALUE!</v>
      </c>
      <c r="AC17" s="619" t="e">
        <f>SUMIFS('[23]báo cáo'!AK:AK,'[23]báo cáo'!$F:$F,[23]TK!$B17)</f>
        <v>#VALUE!</v>
      </c>
      <c r="AD17" s="619"/>
      <c r="AE17" s="619"/>
      <c r="AF17" s="619"/>
      <c r="AG17" s="619"/>
      <c r="AH17" s="619"/>
      <c r="AI17" s="619"/>
      <c r="AJ17" s="619"/>
      <c r="AK17" s="619"/>
      <c r="AL17" s="619"/>
      <c r="AM17" s="630" t="e">
        <f t="shared" si="0"/>
        <v>#VALUE!</v>
      </c>
      <c r="AN17" s="619" t="e">
        <f>SUMIFS('[23]báo cáo'!$AY:$AY,'[23]báo cáo'!$F:$F,[23]TK!B17)</f>
        <v>#VALUE!</v>
      </c>
      <c r="AO17" s="619" t="e">
        <f>SUMIFS('[23]báo cáo'!$BL:$BL,'[23]báo cáo'!$F:$F,[23]TK!B17)</f>
        <v>#VALUE!</v>
      </c>
      <c r="AP17" s="619"/>
      <c r="AQ17" s="1293" t="e">
        <f t="shared" si="1"/>
        <v>#VALUE!</v>
      </c>
      <c r="AR17" s="1293"/>
      <c r="AS17">
        <f>SUMIFS('DSOAT-T1.2025'!$BA:$BA,'DSOAT-T1.2025'!$BH:$BH,'DON GIA'!B17)</f>
        <v>2865790</v>
      </c>
    </row>
    <row r="18" spans="1:45" ht="16.5">
      <c r="A18" s="631" t="s">
        <v>132</v>
      </c>
      <c r="B18" s="631"/>
      <c r="C18" s="861" t="e">
        <f>SUM(C7:C17)</f>
        <v>#VALUE!</v>
      </c>
      <c r="D18" s="861" t="e">
        <f t="shared" ref="D18:AC18" si="2">SUM(D7:D17)</f>
        <v>#VALUE!</v>
      </c>
      <c r="E18" s="861" t="e">
        <f t="shared" si="2"/>
        <v>#VALUE!</v>
      </c>
      <c r="F18" s="861" t="e">
        <f t="shared" si="2"/>
        <v>#VALUE!</v>
      </c>
      <c r="G18" s="861" t="e">
        <f t="shared" si="2"/>
        <v>#VALUE!</v>
      </c>
      <c r="H18" s="861" t="e">
        <f t="shared" si="2"/>
        <v>#VALUE!</v>
      </c>
      <c r="I18" s="861" t="e">
        <f t="shared" si="2"/>
        <v>#VALUE!</v>
      </c>
      <c r="J18" s="861" t="e">
        <f t="shared" si="2"/>
        <v>#VALUE!</v>
      </c>
      <c r="K18" s="861" t="e">
        <f t="shared" si="2"/>
        <v>#VALUE!</v>
      </c>
      <c r="L18" s="861" t="e">
        <f t="shared" si="2"/>
        <v>#VALUE!</v>
      </c>
      <c r="M18" s="861" t="e">
        <f t="shared" si="2"/>
        <v>#VALUE!</v>
      </c>
      <c r="N18" s="861" t="e">
        <f t="shared" si="2"/>
        <v>#VALUE!</v>
      </c>
      <c r="O18" s="861" t="e">
        <f t="shared" si="2"/>
        <v>#VALUE!</v>
      </c>
      <c r="P18" s="861" t="e">
        <f t="shared" si="2"/>
        <v>#VALUE!</v>
      </c>
      <c r="Q18" s="861" t="e">
        <f t="shared" si="2"/>
        <v>#VALUE!</v>
      </c>
      <c r="R18" s="861" t="e">
        <f t="shared" si="2"/>
        <v>#VALUE!</v>
      </c>
      <c r="S18" s="861" t="e">
        <f t="shared" si="2"/>
        <v>#VALUE!</v>
      </c>
      <c r="T18" s="861" t="e">
        <f t="shared" si="2"/>
        <v>#VALUE!</v>
      </c>
      <c r="U18" s="861" t="e">
        <f t="shared" si="2"/>
        <v>#VALUE!</v>
      </c>
      <c r="V18" s="861" t="e">
        <f t="shared" si="2"/>
        <v>#VALUE!</v>
      </c>
      <c r="W18" s="861" t="e">
        <f t="shared" si="2"/>
        <v>#VALUE!</v>
      </c>
      <c r="X18" s="861" t="e">
        <f t="shared" si="2"/>
        <v>#VALUE!</v>
      </c>
      <c r="Y18" s="861" t="e">
        <f t="shared" si="2"/>
        <v>#VALUE!</v>
      </c>
      <c r="Z18" s="861" t="e">
        <f t="shared" si="2"/>
        <v>#VALUE!</v>
      </c>
      <c r="AA18" s="861" t="e">
        <f t="shared" si="2"/>
        <v>#VALUE!</v>
      </c>
      <c r="AB18" s="861" t="e">
        <f t="shared" si="2"/>
        <v>#VALUE!</v>
      </c>
      <c r="AC18" s="861" t="e">
        <f t="shared" si="2"/>
        <v>#VALUE!</v>
      </c>
      <c r="AD18" s="861">
        <v>0</v>
      </c>
      <c r="AE18" s="861">
        <v>0</v>
      </c>
      <c r="AF18" s="861">
        <v>0</v>
      </c>
      <c r="AG18" s="861"/>
      <c r="AH18" s="861"/>
      <c r="AI18" s="861"/>
      <c r="AJ18" s="861"/>
      <c r="AK18" s="861"/>
      <c r="AL18" s="861">
        <v>0</v>
      </c>
      <c r="AM18" s="632" t="e">
        <f>SUM(AM7:AM17)</f>
        <v>#VALUE!</v>
      </c>
      <c r="AN18" s="632" t="e">
        <f t="shared" ref="AN18:AQ18" si="3">SUM(AN7:AN17)</f>
        <v>#VALUE!</v>
      </c>
      <c r="AO18" s="632" t="e">
        <f t="shared" si="3"/>
        <v>#VALUE!</v>
      </c>
      <c r="AP18" s="632">
        <f t="shared" si="3"/>
        <v>0</v>
      </c>
      <c r="AQ18" s="632" t="e">
        <f t="shared" si="3"/>
        <v>#VALUE!</v>
      </c>
      <c r="AR18" s="632"/>
      <c r="AS18" s="632">
        <v>0</v>
      </c>
    </row>
    <row r="19" spans="1:45" ht="16.5">
      <c r="A19" s="633"/>
      <c r="B19" s="633"/>
      <c r="C19" s="634">
        <f>'[23]báo cáo'!K7</f>
        <v>69069366.0942754</v>
      </c>
      <c r="D19" s="634">
        <f>'[23]báo cáo'!L7</f>
        <v>104567849.13341469</v>
      </c>
      <c r="E19" s="634">
        <f>'[23]báo cáo'!M7</f>
        <v>14899031.066061243</v>
      </c>
      <c r="F19" s="634">
        <f>'[23]báo cáo'!N7</f>
        <v>9627050.6071739476</v>
      </c>
      <c r="G19" s="634">
        <f>'[23]báo cáo'!O7</f>
        <v>0</v>
      </c>
      <c r="H19" s="634">
        <f>'[23]báo cáo'!P7</f>
        <v>53757868.673435159</v>
      </c>
      <c r="I19" s="634">
        <f>'[23]báo cáo'!Q7</f>
        <v>0</v>
      </c>
      <c r="J19" s="634">
        <f>'[23]báo cáo'!R7</f>
        <v>25962.80479905006</v>
      </c>
      <c r="K19" s="634">
        <f>'[23]báo cáo'!S7</f>
        <v>0</v>
      </c>
      <c r="L19" s="634">
        <f>'[23]báo cáo'!T7</f>
        <v>3068691.2939300658</v>
      </c>
      <c r="M19" s="634">
        <f>'[23]báo cáo'!U7</f>
        <v>0</v>
      </c>
      <c r="N19" s="634">
        <f>'[23]báo cáo'!V7</f>
        <v>12319941.916059274</v>
      </c>
      <c r="O19" s="634">
        <f>'[23]báo cáo'!W7</f>
        <v>3431054.9806399997</v>
      </c>
      <c r="P19" s="634">
        <f>'[23]báo cáo'!X7</f>
        <v>7511023.33983</v>
      </c>
      <c r="Q19" s="634">
        <f>'[23]báo cáo'!Y7</f>
        <v>4892769.2454545451</v>
      </c>
      <c r="R19" s="634">
        <f>'[23]báo cáo'!Z7</f>
        <v>837499.75</v>
      </c>
      <c r="S19" s="634">
        <f>'[23]báo cáo'!AA7</f>
        <v>17030242.399999999</v>
      </c>
      <c r="T19" s="634">
        <f>'[23]báo cáo'!AB7</f>
        <v>0</v>
      </c>
      <c r="U19" s="634">
        <f>'[23]báo cáo'!AC7</f>
        <v>0</v>
      </c>
      <c r="V19" s="634">
        <f>'[23]báo cáo'!AD7</f>
        <v>0</v>
      </c>
      <c r="W19" s="634">
        <f>'[23]báo cáo'!AE7</f>
        <v>18058456.327637438</v>
      </c>
      <c r="X19" s="634">
        <f>'[23]báo cáo'!AF7</f>
        <v>0</v>
      </c>
      <c r="Y19" s="634">
        <f>'[23]báo cáo'!AG7</f>
        <v>9091427.9967123065</v>
      </c>
      <c r="Z19" s="634">
        <f>'[23]báo cáo'!AH7</f>
        <v>14510520.455077073</v>
      </c>
      <c r="AA19" s="634">
        <f>'[23]báo cáo'!AI7</f>
        <v>4625053.2297395458</v>
      </c>
      <c r="AB19" s="634">
        <f>'[23]báo cáo'!AJ7</f>
        <v>23156913.732049316</v>
      </c>
      <c r="AC19" s="634">
        <f>'[23]báo cáo'!AK7</f>
        <v>0</v>
      </c>
      <c r="AD19" s="634"/>
      <c r="AE19" s="634"/>
      <c r="AF19" s="634"/>
      <c r="AG19" s="634"/>
      <c r="AH19" s="634"/>
      <c r="AI19" s="634"/>
      <c r="AJ19" s="634"/>
      <c r="AK19" s="634"/>
      <c r="AL19" s="633"/>
      <c r="AM19" s="635"/>
      <c r="AQ19" s="884">
        <v>359868852</v>
      </c>
    </row>
    <row r="20" spans="1:45" ht="16.5">
      <c r="A20" s="633"/>
      <c r="B20" s="633"/>
      <c r="C20" s="634" t="e">
        <f>C18-C19</f>
        <v>#VALUE!</v>
      </c>
      <c r="D20" s="634" t="e">
        <f t="shared" ref="D20:AC20" si="4">D18-D19</f>
        <v>#VALUE!</v>
      </c>
      <c r="E20" s="634" t="e">
        <f t="shared" si="4"/>
        <v>#VALUE!</v>
      </c>
      <c r="F20" s="634" t="e">
        <f t="shared" si="4"/>
        <v>#VALUE!</v>
      </c>
      <c r="G20" s="634" t="e">
        <f t="shared" si="4"/>
        <v>#VALUE!</v>
      </c>
      <c r="H20" s="634" t="e">
        <f t="shared" si="4"/>
        <v>#VALUE!</v>
      </c>
      <c r="I20" s="634" t="e">
        <f t="shared" si="4"/>
        <v>#VALUE!</v>
      </c>
      <c r="J20" s="634" t="e">
        <f t="shared" si="4"/>
        <v>#VALUE!</v>
      </c>
      <c r="K20" s="634" t="e">
        <f t="shared" si="4"/>
        <v>#VALUE!</v>
      </c>
      <c r="L20" s="634" t="e">
        <f t="shared" si="4"/>
        <v>#VALUE!</v>
      </c>
      <c r="M20" s="634" t="e">
        <f t="shared" si="4"/>
        <v>#VALUE!</v>
      </c>
      <c r="N20" s="634" t="e">
        <f t="shared" si="4"/>
        <v>#VALUE!</v>
      </c>
      <c r="O20" s="634" t="e">
        <f t="shared" si="4"/>
        <v>#VALUE!</v>
      </c>
      <c r="P20" s="634" t="e">
        <f t="shared" si="4"/>
        <v>#VALUE!</v>
      </c>
      <c r="Q20" s="634" t="e">
        <f t="shared" si="4"/>
        <v>#VALUE!</v>
      </c>
      <c r="R20" s="634" t="e">
        <f t="shared" si="4"/>
        <v>#VALUE!</v>
      </c>
      <c r="S20" s="634" t="e">
        <f t="shared" si="4"/>
        <v>#VALUE!</v>
      </c>
      <c r="T20" s="634" t="e">
        <f t="shared" si="4"/>
        <v>#VALUE!</v>
      </c>
      <c r="U20" s="634" t="e">
        <f t="shared" si="4"/>
        <v>#VALUE!</v>
      </c>
      <c r="V20" s="634" t="e">
        <f t="shared" si="4"/>
        <v>#VALUE!</v>
      </c>
      <c r="W20" s="634" t="e">
        <f t="shared" si="4"/>
        <v>#VALUE!</v>
      </c>
      <c r="X20" s="634" t="e">
        <f t="shared" si="4"/>
        <v>#VALUE!</v>
      </c>
      <c r="Y20" s="634" t="e">
        <f t="shared" si="4"/>
        <v>#VALUE!</v>
      </c>
      <c r="Z20" s="634" t="e">
        <f t="shared" si="4"/>
        <v>#VALUE!</v>
      </c>
      <c r="AA20" s="634" t="e">
        <f t="shared" si="4"/>
        <v>#VALUE!</v>
      </c>
      <c r="AB20" s="634" t="e">
        <f t="shared" si="4"/>
        <v>#VALUE!</v>
      </c>
      <c r="AC20" s="634" t="e">
        <f t="shared" si="4"/>
        <v>#VALUE!</v>
      </c>
      <c r="AD20" s="634"/>
      <c r="AE20" s="634"/>
      <c r="AF20" s="634"/>
      <c r="AG20" s="634"/>
      <c r="AH20" s="634"/>
      <c r="AI20" s="634"/>
      <c r="AJ20" s="634"/>
      <c r="AK20" s="634"/>
      <c r="AL20" s="633"/>
      <c r="AM20" s="635" t="e">
        <f>AM18-AN18-AO18</f>
        <v>#VALUE!</v>
      </c>
      <c r="AQ20" s="884" t="e">
        <f>AQ19-AQ18</f>
        <v>#VALUE!</v>
      </c>
    </row>
    <row r="21" spans="1:45" ht="16.5">
      <c r="A21" s="633"/>
      <c r="B21" s="633"/>
      <c r="C21" s="636" t="s">
        <v>1380</v>
      </c>
      <c r="D21" s="636" t="s">
        <v>1381</v>
      </c>
      <c r="E21" s="636"/>
      <c r="F21" s="636"/>
      <c r="G21" s="636"/>
      <c r="H21" s="1294" t="s">
        <v>1380</v>
      </c>
      <c r="I21" s="636"/>
      <c r="J21" s="636"/>
      <c r="K21" s="636"/>
      <c r="L21" s="636"/>
      <c r="M21" s="636"/>
      <c r="N21" s="636"/>
      <c r="O21" s="636"/>
      <c r="P21" s="636"/>
      <c r="Q21" s="636"/>
      <c r="R21" s="636"/>
      <c r="S21" s="636"/>
      <c r="T21" s="636"/>
      <c r="U21" s="636"/>
      <c r="V21" s="636"/>
      <c r="W21" s="636"/>
      <c r="X21" s="636"/>
      <c r="Y21" s="636"/>
      <c r="Z21" s="636"/>
      <c r="AA21" s="636"/>
      <c r="AB21" s="636"/>
      <c r="AC21" s="636"/>
      <c r="AD21" s="636"/>
      <c r="AE21" s="636"/>
      <c r="AF21" s="636"/>
      <c r="AG21" s="636"/>
      <c r="AH21" s="633"/>
      <c r="AI21" s="633"/>
      <c r="AJ21" s="633"/>
      <c r="AK21" s="633"/>
      <c r="AM21" s="636"/>
      <c r="AQ21" s="66"/>
    </row>
    <row r="22" spans="1:45" ht="16.5">
      <c r="A22" s="633" t="s">
        <v>1364</v>
      </c>
      <c r="B22" s="633" t="s">
        <v>15</v>
      </c>
      <c r="C22" s="885">
        <v>1180389.6978700862</v>
      </c>
      <c r="D22" s="66">
        <v>1442698.5196189943</v>
      </c>
      <c r="E22" s="636"/>
      <c r="F22" s="886">
        <v>0.45</v>
      </c>
      <c r="G22" s="636"/>
      <c r="H22" s="636" t="e">
        <f>C7+D7+E7+F7-AO7</f>
        <v>#VALUE!</v>
      </c>
      <c r="I22" s="636" t="e">
        <f>H7+Z7+AA7+AB7</f>
        <v>#VALUE!</v>
      </c>
      <c r="J22" s="636"/>
      <c r="K22" s="636"/>
      <c r="L22" s="636"/>
      <c r="M22" s="636"/>
      <c r="N22" s="636"/>
      <c r="O22" s="636"/>
      <c r="P22" s="636"/>
      <c r="Q22" s="636"/>
      <c r="R22" s="636"/>
      <c r="S22" s="636"/>
      <c r="T22" s="636"/>
      <c r="U22" s="636"/>
      <c r="V22" s="636"/>
      <c r="W22" s="636"/>
      <c r="X22" s="636"/>
      <c r="Y22" s="636"/>
      <c r="Z22" s="636"/>
      <c r="AA22" s="636"/>
      <c r="AB22" s="636"/>
      <c r="AC22" s="636"/>
      <c r="AD22" s="636"/>
      <c r="AE22" s="636"/>
      <c r="AF22" s="636"/>
      <c r="AG22" s="636"/>
      <c r="AH22" s="636"/>
      <c r="AI22" s="636"/>
      <c r="AJ22" s="636"/>
      <c r="AK22" s="636"/>
      <c r="AL22" s="636"/>
      <c r="AM22" s="636"/>
    </row>
    <row r="23" spans="1:45" ht="16.5">
      <c r="B23" s="887" t="s">
        <v>23</v>
      </c>
      <c r="C23" s="885">
        <v>4349461.6676264834</v>
      </c>
      <c r="D23" s="66">
        <v>5316008.7048768122</v>
      </c>
      <c r="E23" s="680" t="s">
        <v>1383</v>
      </c>
      <c r="F23" s="886">
        <v>0.39212134230040874</v>
      </c>
      <c r="H23" s="636" t="e">
        <f t="shared" ref="H23:H32" si="5">C8+D8+E8+F8-AO8</f>
        <v>#VALUE!</v>
      </c>
      <c r="I23" s="636" t="e">
        <f t="shared" ref="I23:I32" si="6">H8+Z8+AA8+AB8</f>
        <v>#VALUE!</v>
      </c>
      <c r="AM23">
        <v>560428986</v>
      </c>
    </row>
    <row r="24" spans="1:45" ht="16.5">
      <c r="B24" s="887" t="s">
        <v>42</v>
      </c>
      <c r="C24" s="885">
        <v>8473497.8971959539</v>
      </c>
      <c r="D24" s="66">
        <v>10356497.429906163</v>
      </c>
      <c r="F24" s="888">
        <v>0.37</v>
      </c>
      <c r="H24" s="636" t="e">
        <f t="shared" si="5"/>
        <v>#VALUE!</v>
      </c>
      <c r="I24" s="636" t="e">
        <f t="shared" si="6"/>
        <v>#VALUE!</v>
      </c>
    </row>
    <row r="25" spans="1:45" ht="16.5">
      <c r="B25" s="887" t="s">
        <v>63</v>
      </c>
      <c r="C25" s="885">
        <v>3167421.1274699997</v>
      </c>
      <c r="D25" s="66">
        <v>3871292.4891299997</v>
      </c>
      <c r="H25" s="636" t="e">
        <f t="shared" si="5"/>
        <v>#VALUE!</v>
      </c>
      <c r="I25" s="636" t="e">
        <f t="shared" si="6"/>
        <v>#VALUE!</v>
      </c>
      <c r="AB25" s="66">
        <v>159828386.13769212</v>
      </c>
    </row>
    <row r="26" spans="1:45" ht="16.5">
      <c r="B26" s="887" t="s">
        <v>70</v>
      </c>
      <c r="C26" s="885">
        <v>2855805.0966000003</v>
      </c>
      <c r="D26" s="66">
        <v>3490428.4514000001</v>
      </c>
      <c r="H26" s="636" t="e">
        <f t="shared" si="5"/>
        <v>#VALUE!</v>
      </c>
      <c r="I26" s="636" t="e">
        <f t="shared" si="6"/>
        <v>#VALUE!</v>
      </c>
    </row>
    <row r="27" spans="1:45" ht="16.5">
      <c r="B27" s="887" t="s">
        <v>79</v>
      </c>
      <c r="C27" s="885">
        <v>4434706.0264463695</v>
      </c>
      <c r="D27" s="66">
        <v>5420196.2545455629</v>
      </c>
      <c r="H27" s="636" t="e">
        <f t="shared" si="5"/>
        <v>#VALUE!</v>
      </c>
      <c r="I27" s="636" t="e">
        <f t="shared" si="6"/>
        <v>#VALUE!</v>
      </c>
    </row>
    <row r="28" spans="1:45" ht="16.5">
      <c r="B28" s="887" t="s">
        <v>87</v>
      </c>
      <c r="C28" s="885">
        <v>0</v>
      </c>
      <c r="D28" s="66">
        <v>0</v>
      </c>
      <c r="H28" s="636" t="e">
        <f t="shared" si="5"/>
        <v>#VALUE!</v>
      </c>
      <c r="I28" s="636" t="e">
        <f t="shared" si="6"/>
        <v>#VALUE!</v>
      </c>
    </row>
    <row r="29" spans="1:45" ht="16.5">
      <c r="B29" s="887" t="s">
        <v>92</v>
      </c>
      <c r="C29" s="885">
        <v>1613813.9546699999</v>
      </c>
      <c r="D29" s="66">
        <v>1972439.2779299999</v>
      </c>
      <c r="H29" s="636" t="e">
        <f t="shared" si="5"/>
        <v>#VALUE!</v>
      </c>
      <c r="I29" s="636" t="e">
        <f t="shared" si="6"/>
        <v>#VALUE!</v>
      </c>
    </row>
    <row r="30" spans="1:45" ht="16.5">
      <c r="B30" s="887" t="s">
        <v>20</v>
      </c>
      <c r="C30" s="885">
        <v>5358549.2263199994</v>
      </c>
      <c r="D30" s="66">
        <v>6549337.9432799993</v>
      </c>
      <c r="H30" s="636" t="e">
        <f t="shared" si="5"/>
        <v>#VALUE!</v>
      </c>
      <c r="I30" s="636" t="e">
        <f t="shared" si="6"/>
        <v>#VALUE!</v>
      </c>
    </row>
    <row r="31" spans="1:45" ht="16.5">
      <c r="B31" s="887" t="s">
        <v>109</v>
      </c>
      <c r="C31" s="885">
        <v>0</v>
      </c>
      <c r="D31" s="66">
        <v>0</v>
      </c>
      <c r="H31" s="636" t="e">
        <f t="shared" si="5"/>
        <v>#VALUE!</v>
      </c>
      <c r="I31" s="636" t="e">
        <f t="shared" si="6"/>
        <v>#VALUE!</v>
      </c>
    </row>
    <row r="32" spans="1:45" ht="16.5">
      <c r="B32" s="887" t="s">
        <v>194</v>
      </c>
      <c r="C32" s="885">
        <v>0</v>
      </c>
      <c r="D32" s="66">
        <v>0</v>
      </c>
      <c r="H32" s="636" t="e">
        <f t="shared" si="5"/>
        <v>#VALUE!</v>
      </c>
      <c r="I32" s="636" t="e">
        <f t="shared" si="6"/>
        <v>#VALUE!</v>
      </c>
    </row>
    <row r="33" spans="3:8">
      <c r="C33" s="1295">
        <v>31433644.694198888</v>
      </c>
      <c r="D33" s="1295">
        <v>38418899.070687532</v>
      </c>
      <c r="H33" s="71">
        <v>193232515.79587388</v>
      </c>
    </row>
    <row r="35" spans="3:8">
      <c r="F35" s="66">
        <v>197162515.79587388</v>
      </c>
    </row>
  </sheetData>
  <mergeCells count="1">
    <mergeCell ref="AN5:AO5"/>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8"/>
  <sheetViews>
    <sheetView workbookViewId="0">
      <selection activeCell="A2" sqref="A2:G143"/>
    </sheetView>
  </sheetViews>
  <sheetFormatPr defaultRowHeight="15"/>
  <cols>
    <col min="4" max="4" width="10.85546875" customWidth="1"/>
    <col min="5" max="5" width="26" customWidth="1"/>
    <col min="6" max="6" width="19.85546875" style="561" customWidth="1"/>
    <col min="11" max="11" width="14.28515625" bestFit="1" customWidth="1"/>
    <col min="12" max="14" width="11.5703125" bestFit="1" customWidth="1"/>
    <col min="15" max="15" width="14.28515625" bestFit="1" customWidth="1"/>
    <col min="16" max="16" width="13.28515625" bestFit="1" customWidth="1"/>
    <col min="17" max="17" width="11.5703125" bestFit="1" customWidth="1"/>
    <col min="18" max="18" width="10.5703125" bestFit="1" customWidth="1"/>
    <col min="19" max="19" width="13.28515625" bestFit="1" customWidth="1"/>
    <col min="20" max="20" width="14.28515625" bestFit="1" customWidth="1"/>
  </cols>
  <sheetData>
    <row r="1" spans="1:23">
      <c r="A1" s="1286" t="s">
        <v>2220</v>
      </c>
      <c r="B1" s="1287" t="s">
        <v>486</v>
      </c>
      <c r="C1" s="1287" t="s">
        <v>487</v>
      </c>
      <c r="D1" s="1287" t="s">
        <v>488</v>
      </c>
      <c r="E1" s="1287" t="s">
        <v>489</v>
      </c>
      <c r="F1" s="1307"/>
      <c r="G1" s="1287" t="s">
        <v>491</v>
      </c>
      <c r="H1" s="1287" t="s">
        <v>227</v>
      </c>
      <c r="I1" s="185" t="str">
        <f>RIGHT(D1,7)</f>
        <v>i tượng</v>
      </c>
      <c r="J1" s="185"/>
      <c r="K1" s="185" t="s">
        <v>236</v>
      </c>
      <c r="L1" s="185" t="s">
        <v>237</v>
      </c>
      <c r="M1" t="s">
        <v>480</v>
      </c>
      <c r="N1" t="s">
        <v>2060</v>
      </c>
      <c r="O1" t="s">
        <v>240</v>
      </c>
      <c r="P1" t="s">
        <v>1960</v>
      </c>
      <c r="Q1" t="s">
        <v>246</v>
      </c>
      <c r="R1" t="s">
        <v>2061</v>
      </c>
      <c r="S1" t="s">
        <v>266</v>
      </c>
      <c r="T1" t="s">
        <v>12</v>
      </c>
    </row>
    <row r="2" spans="1:23" ht="78" customHeight="1" thickBot="1">
      <c r="A2" s="915" t="s">
        <v>492</v>
      </c>
      <c r="B2" s="1288">
        <v>64171</v>
      </c>
      <c r="C2" s="1289" t="s">
        <v>493</v>
      </c>
      <c r="D2" s="1289" t="s">
        <v>494</v>
      </c>
      <c r="E2" s="1289" t="s">
        <v>976</v>
      </c>
      <c r="F2" s="1308">
        <v>29273575.984171707</v>
      </c>
      <c r="G2" s="918" t="s">
        <v>2062</v>
      </c>
      <c r="H2" s="1288"/>
      <c r="I2" s="185" t="str">
        <f t="shared" ref="I2:I65" si="0">RIGHT(D2,7)</f>
        <v>1898301</v>
      </c>
      <c r="J2" s="185"/>
      <c r="K2" s="1588" t="s">
        <v>2069</v>
      </c>
      <c r="L2" s="1588"/>
      <c r="M2" s="1588"/>
      <c r="N2" s="1588"/>
      <c r="O2" s="1588"/>
      <c r="P2" s="1588"/>
      <c r="Q2" s="1588"/>
      <c r="R2" s="1588"/>
      <c r="S2" s="1588"/>
      <c r="T2" s="1588"/>
      <c r="U2" s="1588"/>
      <c r="V2" s="1588"/>
      <c r="W2" s="1588"/>
    </row>
    <row r="3" spans="1:23" ht="15.75" thickBot="1">
      <c r="A3" s="915" t="s">
        <v>492</v>
      </c>
      <c r="B3" s="1288">
        <v>64171</v>
      </c>
      <c r="C3" s="1290" t="s">
        <v>493</v>
      </c>
      <c r="D3" s="1290" t="s">
        <v>496</v>
      </c>
      <c r="E3" s="1290" t="s">
        <v>976</v>
      </c>
      <c r="F3" s="1309">
        <v>35042065.294534147</v>
      </c>
      <c r="G3" s="918" t="s">
        <v>2063</v>
      </c>
      <c r="H3" s="1288"/>
      <c r="I3" s="185" t="str">
        <f t="shared" si="0"/>
        <v>1898302</v>
      </c>
      <c r="J3" s="185"/>
      <c r="K3" s="185"/>
      <c r="L3" s="185"/>
    </row>
    <row r="4" spans="1:23" ht="15.75" thickBot="1">
      <c r="A4" s="915" t="s">
        <v>492</v>
      </c>
      <c r="B4" s="1288">
        <v>64171</v>
      </c>
      <c r="C4" s="1289" t="s">
        <v>493</v>
      </c>
      <c r="D4" s="1289" t="s">
        <v>497</v>
      </c>
      <c r="E4" s="1289" t="s">
        <v>976</v>
      </c>
      <c r="F4" s="1308">
        <v>19630236.91889051</v>
      </c>
      <c r="G4" s="918" t="s">
        <v>1388</v>
      </c>
      <c r="H4" s="1288"/>
      <c r="I4" s="185" t="str">
        <f t="shared" si="0"/>
        <v>1898303</v>
      </c>
      <c r="J4" s="185"/>
      <c r="K4" s="185"/>
      <c r="L4" s="185"/>
    </row>
    <row r="5" spans="1:23" ht="15.75" thickBot="1">
      <c r="A5" s="915" t="s">
        <v>492</v>
      </c>
      <c r="B5" s="1288">
        <v>64171</v>
      </c>
      <c r="C5" s="1290" t="s">
        <v>493</v>
      </c>
      <c r="D5" s="1290" t="s">
        <v>498</v>
      </c>
      <c r="E5" s="1290" t="s">
        <v>976</v>
      </c>
      <c r="F5" s="1309">
        <v>7913313.6796031855</v>
      </c>
      <c r="G5" s="918" t="s">
        <v>1389</v>
      </c>
      <c r="H5" s="1288"/>
      <c r="I5" s="185" t="str">
        <f t="shared" si="0"/>
        <v>1898304</v>
      </c>
      <c r="J5" s="185"/>
      <c r="K5" s="185"/>
      <c r="L5" s="185"/>
    </row>
    <row r="6" spans="1:23" ht="15.75" thickBot="1">
      <c r="A6" s="915" t="s">
        <v>492</v>
      </c>
      <c r="B6" s="1288">
        <v>64171</v>
      </c>
      <c r="C6" s="1289" t="s">
        <v>493</v>
      </c>
      <c r="D6" s="1289" t="s">
        <v>499</v>
      </c>
      <c r="E6" s="1289" t="s">
        <v>976</v>
      </c>
      <c r="F6" s="1308">
        <v>7881602.5238619363</v>
      </c>
      <c r="G6" s="918" t="s">
        <v>2064</v>
      </c>
      <c r="H6" s="1288"/>
      <c r="I6" s="185" t="str">
        <f t="shared" si="0"/>
        <v>1898305</v>
      </c>
      <c r="J6" s="185"/>
      <c r="K6" s="185"/>
      <c r="L6" s="185"/>
    </row>
    <row r="7" spans="1:23" ht="15.75" thickBot="1">
      <c r="A7" s="915" t="s">
        <v>492</v>
      </c>
      <c r="B7" s="1288">
        <v>64171</v>
      </c>
      <c r="C7" s="1290" t="s">
        <v>493</v>
      </c>
      <c r="D7" s="1290" t="s">
        <v>500</v>
      </c>
      <c r="E7" s="1290" t="s">
        <v>976</v>
      </c>
      <c r="F7" s="1309">
        <v>11494429.529515604</v>
      </c>
      <c r="G7" s="918" t="s">
        <v>1390</v>
      </c>
      <c r="H7" s="1288"/>
      <c r="I7" s="185" t="str">
        <f t="shared" si="0"/>
        <v>1898306</v>
      </c>
      <c r="J7" s="185"/>
      <c r="K7" s="185"/>
      <c r="L7" s="185"/>
    </row>
    <row r="8" spans="1:23" ht="15.75" thickBot="1">
      <c r="A8" s="915" t="s">
        <v>492</v>
      </c>
      <c r="B8" s="1288">
        <v>64171</v>
      </c>
      <c r="C8" s="1289" t="s">
        <v>493</v>
      </c>
      <c r="D8" s="1289" t="s">
        <v>501</v>
      </c>
      <c r="E8" s="1289" t="s">
        <v>976</v>
      </c>
      <c r="F8" s="1308">
        <v>3747201.163361276</v>
      </c>
      <c r="G8" s="918" t="s">
        <v>2065</v>
      </c>
      <c r="H8" s="1288"/>
      <c r="I8" s="185" t="str">
        <f t="shared" si="0"/>
        <v>1898307</v>
      </c>
      <c r="J8" s="185"/>
      <c r="K8" s="185"/>
      <c r="L8" s="185"/>
    </row>
    <row r="9" spans="1:23" ht="15.75" thickBot="1">
      <c r="A9" s="915" t="s">
        <v>492</v>
      </c>
      <c r="B9" s="1288">
        <v>64171</v>
      </c>
      <c r="C9" s="1290" t="s">
        <v>493</v>
      </c>
      <c r="D9" s="1290" t="s">
        <v>502</v>
      </c>
      <c r="E9" s="1290" t="s">
        <v>976</v>
      </c>
      <c r="F9" s="1309">
        <v>10124283.440724451</v>
      </c>
      <c r="G9" s="918" t="s">
        <v>1391</v>
      </c>
      <c r="H9" s="1288"/>
      <c r="I9" s="185" t="str">
        <f t="shared" si="0"/>
        <v>1898308</v>
      </c>
      <c r="J9" s="185"/>
      <c r="K9" s="185"/>
      <c r="L9" s="185"/>
    </row>
    <row r="10" spans="1:23" ht="15.75" thickBot="1">
      <c r="A10" s="915" t="s">
        <v>492</v>
      </c>
      <c r="B10" s="1288">
        <v>64171</v>
      </c>
      <c r="C10" s="1289" t="s">
        <v>493</v>
      </c>
      <c r="D10" s="1289" t="s">
        <v>503</v>
      </c>
      <c r="E10" s="1289" t="s">
        <v>976</v>
      </c>
      <c r="F10" s="1308">
        <v>18405779.187878057</v>
      </c>
      <c r="G10" s="918" t="s">
        <v>2066</v>
      </c>
      <c r="H10" s="1288"/>
      <c r="I10" s="185" t="str">
        <f t="shared" si="0"/>
        <v>1898309</v>
      </c>
      <c r="J10" s="185"/>
      <c r="K10" s="185"/>
      <c r="L10" s="185"/>
    </row>
    <row r="11" spans="1:23" ht="15.75" thickBot="1">
      <c r="A11" s="915" t="s">
        <v>492</v>
      </c>
      <c r="B11" s="1288">
        <v>64171</v>
      </c>
      <c r="C11" s="1289" t="s">
        <v>493</v>
      </c>
      <c r="D11" s="1289" t="s">
        <v>505</v>
      </c>
      <c r="E11" s="1289" t="s">
        <v>976</v>
      </c>
      <c r="F11" s="1308">
        <v>4058802</v>
      </c>
      <c r="G11" s="918" t="s">
        <v>2068</v>
      </c>
      <c r="H11" s="1288"/>
      <c r="I11" s="185" t="str">
        <f t="shared" si="0"/>
        <v>1898311</v>
      </c>
      <c r="J11" s="185"/>
      <c r="K11" s="185"/>
      <c r="L11" s="185"/>
    </row>
    <row r="12" spans="1:23" ht="15.75" thickBot="1">
      <c r="A12" s="915" t="s">
        <v>492</v>
      </c>
      <c r="B12" s="1288">
        <v>64171</v>
      </c>
      <c r="C12" s="1290" t="s">
        <v>493</v>
      </c>
      <c r="D12" s="1290" t="s">
        <v>494</v>
      </c>
      <c r="E12" s="1290" t="s">
        <v>977</v>
      </c>
      <c r="F12" s="1309">
        <v>25972028.179099146</v>
      </c>
      <c r="G12" s="918" t="s">
        <v>2062</v>
      </c>
      <c r="H12" s="1288"/>
      <c r="I12" s="185" t="str">
        <f t="shared" si="0"/>
        <v>1898301</v>
      </c>
      <c r="J12" s="185"/>
      <c r="K12" s="185"/>
      <c r="L12" s="185"/>
    </row>
    <row r="13" spans="1:23" ht="15.75" thickBot="1">
      <c r="A13" s="915" t="s">
        <v>492</v>
      </c>
      <c r="B13" s="1288">
        <v>64171</v>
      </c>
      <c r="C13" s="1289" t="s">
        <v>493</v>
      </c>
      <c r="D13" s="1289" t="s">
        <v>496</v>
      </c>
      <c r="E13" s="1289" t="s">
        <v>977</v>
      </c>
      <c r="F13" s="1308">
        <v>18888259.408652056</v>
      </c>
      <c r="G13" s="918" t="s">
        <v>2063</v>
      </c>
      <c r="H13" s="1288"/>
      <c r="I13" s="185" t="str">
        <f t="shared" si="0"/>
        <v>1898302</v>
      </c>
      <c r="J13" s="185"/>
      <c r="K13" s="185"/>
      <c r="L13" s="185"/>
    </row>
    <row r="14" spans="1:23" ht="15.75" thickBot="1">
      <c r="A14" s="915" t="s">
        <v>492</v>
      </c>
      <c r="B14" s="1288">
        <v>64171</v>
      </c>
      <c r="C14" s="1290" t="s">
        <v>493</v>
      </c>
      <c r="D14" s="1290" t="s">
        <v>497</v>
      </c>
      <c r="E14" s="1290" t="s">
        <v>977</v>
      </c>
      <c r="F14" s="1309">
        <v>27903466.91143015</v>
      </c>
      <c r="G14" s="918" t="s">
        <v>1388</v>
      </c>
      <c r="H14" s="1288"/>
      <c r="I14" s="185" t="str">
        <f t="shared" si="0"/>
        <v>1898303</v>
      </c>
      <c r="J14" s="185"/>
      <c r="K14" s="185"/>
      <c r="L14" s="185"/>
    </row>
    <row r="15" spans="1:23" ht="15.75" thickBot="1">
      <c r="A15" s="915" t="s">
        <v>492</v>
      </c>
      <c r="B15" s="1288">
        <v>64171</v>
      </c>
      <c r="C15" s="1289" t="s">
        <v>493</v>
      </c>
      <c r="D15" s="1289" t="s">
        <v>498</v>
      </c>
      <c r="E15" s="1289" t="s">
        <v>977</v>
      </c>
      <c r="F15" s="1308">
        <v>9010967.825299656</v>
      </c>
      <c r="G15" s="918" t="s">
        <v>1389</v>
      </c>
      <c r="H15" s="1288"/>
      <c r="I15" s="185" t="str">
        <f t="shared" si="0"/>
        <v>1898304</v>
      </c>
      <c r="J15" s="185"/>
      <c r="K15" s="185"/>
      <c r="L15" s="185"/>
    </row>
    <row r="16" spans="1:23" ht="15.75" thickBot="1">
      <c r="A16" s="915" t="s">
        <v>492</v>
      </c>
      <c r="B16" s="1288">
        <v>64171</v>
      </c>
      <c r="C16" s="1290" t="s">
        <v>493</v>
      </c>
      <c r="D16" s="1290" t="s">
        <v>499</v>
      </c>
      <c r="E16" s="1290" t="s">
        <v>977</v>
      </c>
      <c r="F16" s="1309">
        <v>8365308.383006433</v>
      </c>
      <c r="G16" s="918" t="s">
        <v>2064</v>
      </c>
      <c r="H16" s="1288"/>
      <c r="I16" s="185" t="str">
        <f t="shared" si="0"/>
        <v>1898305</v>
      </c>
      <c r="J16" s="185"/>
      <c r="K16" s="185"/>
      <c r="L16" s="185"/>
    </row>
    <row r="17" spans="1:12" ht="15.75" thickBot="1">
      <c r="A17" s="915" t="s">
        <v>492</v>
      </c>
      <c r="B17" s="1288">
        <v>64171</v>
      </c>
      <c r="C17" s="1289" t="s">
        <v>493</v>
      </c>
      <c r="D17" s="1289" t="s">
        <v>500</v>
      </c>
      <c r="E17" s="1289" t="s">
        <v>977</v>
      </c>
      <c r="F17" s="1308">
        <v>11138802.838904561</v>
      </c>
      <c r="G17" s="918" t="s">
        <v>1390</v>
      </c>
      <c r="H17" s="1288"/>
      <c r="I17" s="185" t="str">
        <f t="shared" si="0"/>
        <v>1898306</v>
      </c>
      <c r="J17" s="185"/>
      <c r="K17" s="185"/>
      <c r="L17" s="185"/>
    </row>
    <row r="18" spans="1:12" ht="15.75" thickBot="1">
      <c r="A18" s="915" t="s">
        <v>492</v>
      </c>
      <c r="B18" s="1288">
        <v>64171</v>
      </c>
      <c r="C18" s="1290" t="s">
        <v>493</v>
      </c>
      <c r="D18" s="1290" t="s">
        <v>501</v>
      </c>
      <c r="E18" s="1290" t="s">
        <v>977</v>
      </c>
      <c r="F18" s="1309">
        <v>5157419.9883600734</v>
      </c>
      <c r="G18" s="918" t="s">
        <v>2065</v>
      </c>
      <c r="H18" s="1288"/>
      <c r="I18" s="185" t="str">
        <f t="shared" si="0"/>
        <v>1898307</v>
      </c>
      <c r="J18" s="185"/>
      <c r="K18" s="185"/>
      <c r="L18" s="185"/>
    </row>
    <row r="19" spans="1:12" ht="15.75" thickBot="1">
      <c r="A19" s="915" t="s">
        <v>492</v>
      </c>
      <c r="B19" s="1288">
        <v>64171</v>
      </c>
      <c r="C19" s="1289" t="s">
        <v>493</v>
      </c>
      <c r="D19" s="1289" t="s">
        <v>502</v>
      </c>
      <c r="E19" s="1289" t="s">
        <v>977</v>
      </c>
      <c r="F19" s="1308">
        <v>6358442.363831629</v>
      </c>
      <c r="G19" s="918" t="s">
        <v>1391</v>
      </c>
      <c r="H19" s="1288"/>
      <c r="I19" s="185" t="str">
        <f t="shared" si="0"/>
        <v>1898308</v>
      </c>
      <c r="J19" s="185"/>
      <c r="K19" s="185"/>
      <c r="L19" s="185"/>
    </row>
    <row r="20" spans="1:12" ht="15.75" thickBot="1">
      <c r="A20" s="915" t="s">
        <v>492</v>
      </c>
      <c r="B20" s="1288">
        <v>64171</v>
      </c>
      <c r="C20" s="1290" t="s">
        <v>493</v>
      </c>
      <c r="D20" s="1290" t="s">
        <v>503</v>
      </c>
      <c r="E20" s="1290" t="s">
        <v>977</v>
      </c>
      <c r="F20" s="1309">
        <v>12631853.658227481</v>
      </c>
      <c r="G20" s="918" t="s">
        <v>2066</v>
      </c>
      <c r="H20" s="1288"/>
      <c r="I20" s="185" t="str">
        <f t="shared" si="0"/>
        <v>1898309</v>
      </c>
      <c r="J20" s="185"/>
      <c r="K20" s="185"/>
      <c r="L20" s="185"/>
    </row>
    <row r="21" spans="1:12" ht="15.75" thickBot="1">
      <c r="A21" s="915" t="s">
        <v>492</v>
      </c>
      <c r="B21" s="1288">
        <v>64171</v>
      </c>
      <c r="C21" s="1290" t="s">
        <v>493</v>
      </c>
      <c r="D21" s="1290" t="s">
        <v>494</v>
      </c>
      <c r="E21" s="1290" t="s">
        <v>979</v>
      </c>
      <c r="F21" s="1309">
        <v>6413409.4521532971</v>
      </c>
      <c r="G21" s="918" t="s">
        <v>2062</v>
      </c>
      <c r="H21" s="1288"/>
      <c r="I21" s="185" t="str">
        <f t="shared" si="0"/>
        <v>1898301</v>
      </c>
      <c r="J21" s="185"/>
      <c r="K21" s="185"/>
      <c r="L21" s="185"/>
    </row>
    <row r="22" spans="1:12" ht="15.75" thickBot="1">
      <c r="A22" s="915" t="s">
        <v>492</v>
      </c>
      <c r="B22" s="1288">
        <v>64171</v>
      </c>
      <c r="C22" s="1289" t="s">
        <v>493</v>
      </c>
      <c r="D22" s="1289" t="s">
        <v>496</v>
      </c>
      <c r="E22" s="1289" t="s">
        <v>979</v>
      </c>
      <c r="F22" s="1308">
        <v>3386287.2577201091</v>
      </c>
      <c r="G22" s="918" t="s">
        <v>2063</v>
      </c>
      <c r="H22" s="1288"/>
      <c r="I22" s="185" t="str">
        <f t="shared" si="0"/>
        <v>1898302</v>
      </c>
      <c r="J22" s="185"/>
      <c r="K22" s="185"/>
      <c r="L22" s="185"/>
    </row>
    <row r="23" spans="1:12" ht="15.75" thickBot="1">
      <c r="A23" s="915" t="s">
        <v>492</v>
      </c>
      <c r="B23" s="1288">
        <v>64171</v>
      </c>
      <c r="C23" s="1290" t="s">
        <v>493</v>
      </c>
      <c r="D23" s="1290" t="s">
        <v>497</v>
      </c>
      <c r="E23" s="1290" t="s">
        <v>979</v>
      </c>
      <c r="F23" s="1309">
        <v>8075095.9223638922</v>
      </c>
      <c r="G23" s="918" t="s">
        <v>1388</v>
      </c>
      <c r="H23" s="1288"/>
      <c r="I23" s="185" t="str">
        <f t="shared" si="0"/>
        <v>1898303</v>
      </c>
      <c r="J23" s="185"/>
      <c r="K23" s="185"/>
      <c r="L23" s="185"/>
    </row>
    <row r="24" spans="1:12" ht="15.75" thickBot="1">
      <c r="A24" s="915" t="s">
        <v>492</v>
      </c>
      <c r="B24" s="1288">
        <v>64171</v>
      </c>
      <c r="C24" s="1289" t="s">
        <v>493</v>
      </c>
      <c r="D24" s="1289" t="s">
        <v>498</v>
      </c>
      <c r="E24" s="1289" t="s">
        <v>979</v>
      </c>
      <c r="F24" s="1308">
        <v>2034710.6883581823</v>
      </c>
      <c r="G24" s="918" t="s">
        <v>1389</v>
      </c>
      <c r="H24" s="1288"/>
      <c r="I24" s="185" t="str">
        <f t="shared" si="0"/>
        <v>1898304</v>
      </c>
      <c r="J24" s="185"/>
      <c r="K24" s="185"/>
      <c r="L24" s="185"/>
    </row>
    <row r="25" spans="1:12" ht="15.75" thickBot="1">
      <c r="A25" s="915" t="s">
        <v>492</v>
      </c>
      <c r="B25" s="1288">
        <v>64171</v>
      </c>
      <c r="C25" s="1290" t="s">
        <v>493</v>
      </c>
      <c r="D25" s="1290" t="s">
        <v>499</v>
      </c>
      <c r="E25" s="1290" t="s">
        <v>979</v>
      </c>
      <c r="F25" s="1309">
        <v>1981740.0045885649</v>
      </c>
      <c r="G25" s="918" t="s">
        <v>2064</v>
      </c>
      <c r="H25" s="1288"/>
      <c r="I25" s="185" t="str">
        <f t="shared" si="0"/>
        <v>1898305</v>
      </c>
      <c r="J25" s="185"/>
      <c r="K25" s="185"/>
      <c r="L25" s="185"/>
    </row>
    <row r="26" spans="1:12" ht="15.75" thickBot="1">
      <c r="A26" s="915" t="s">
        <v>492</v>
      </c>
      <c r="B26" s="1288">
        <v>64171</v>
      </c>
      <c r="C26" s="1289" t="s">
        <v>493</v>
      </c>
      <c r="D26" s="1289" t="s">
        <v>500</v>
      </c>
      <c r="E26" s="1289" t="s">
        <v>979</v>
      </c>
      <c r="F26" s="1308">
        <v>2028685.7027132711</v>
      </c>
      <c r="G26" s="918" t="s">
        <v>1390</v>
      </c>
      <c r="H26" s="1288"/>
      <c r="I26" s="185" t="str">
        <f t="shared" si="0"/>
        <v>1898306</v>
      </c>
      <c r="J26" s="185"/>
      <c r="K26" s="185"/>
      <c r="L26" s="185"/>
    </row>
    <row r="27" spans="1:12" ht="15.75" thickBot="1">
      <c r="A27" s="915" t="s">
        <v>492</v>
      </c>
      <c r="B27" s="1288">
        <v>64171</v>
      </c>
      <c r="C27" s="1290" t="s">
        <v>493</v>
      </c>
      <c r="D27" s="1290" t="s">
        <v>501</v>
      </c>
      <c r="E27" s="1290" t="s">
        <v>979</v>
      </c>
      <c r="F27" s="1309">
        <v>1556348.618417229</v>
      </c>
      <c r="G27" s="918" t="s">
        <v>2065</v>
      </c>
      <c r="H27" s="1288"/>
      <c r="I27" s="185" t="str">
        <f t="shared" si="0"/>
        <v>1898307</v>
      </c>
      <c r="J27" s="185"/>
      <c r="K27" s="185"/>
      <c r="L27" s="185"/>
    </row>
    <row r="28" spans="1:12" ht="15.75" thickBot="1">
      <c r="A28" s="915" t="s">
        <v>492</v>
      </c>
      <c r="B28" s="1288">
        <v>64171</v>
      </c>
      <c r="C28" s="1289" t="s">
        <v>493</v>
      </c>
      <c r="D28" s="1289" t="s">
        <v>502</v>
      </c>
      <c r="E28" s="1289" t="s">
        <v>979</v>
      </c>
      <c r="F28" s="1308">
        <v>1273976.9215431835</v>
      </c>
      <c r="G28" s="918" t="s">
        <v>1391</v>
      </c>
      <c r="H28" s="1288"/>
      <c r="I28" s="185" t="str">
        <f t="shared" si="0"/>
        <v>1898308</v>
      </c>
      <c r="J28" s="185"/>
      <c r="K28" s="185"/>
      <c r="L28" s="185"/>
    </row>
    <row r="29" spans="1:12" ht="15.75" thickBot="1">
      <c r="A29" s="915" t="s">
        <v>492</v>
      </c>
      <c r="B29" s="1288">
        <v>64171</v>
      </c>
      <c r="C29" s="1290" t="s">
        <v>493</v>
      </c>
      <c r="D29" s="1290" t="s">
        <v>503</v>
      </c>
      <c r="E29" s="1290" t="s">
        <v>979</v>
      </c>
      <c r="F29" s="1309">
        <v>3150967.256449291</v>
      </c>
      <c r="G29" s="918" t="s">
        <v>2066</v>
      </c>
      <c r="H29" s="1288"/>
      <c r="I29" s="185" t="str">
        <f t="shared" si="0"/>
        <v>1898309</v>
      </c>
      <c r="J29" s="185"/>
      <c r="K29" s="185"/>
      <c r="L29" s="185"/>
    </row>
    <row r="30" spans="1:12" ht="15.75" thickBot="1">
      <c r="A30" s="915" t="s">
        <v>492</v>
      </c>
      <c r="B30" s="1288">
        <v>64171</v>
      </c>
      <c r="C30" s="1289" t="s">
        <v>493</v>
      </c>
      <c r="D30" s="1289" t="s">
        <v>494</v>
      </c>
      <c r="E30" s="1289" t="s">
        <v>980</v>
      </c>
      <c r="F30" s="1308">
        <v>370111.87905487046</v>
      </c>
      <c r="G30" s="918" t="s">
        <v>2062</v>
      </c>
      <c r="H30" s="1288"/>
      <c r="I30" s="185" t="str">
        <f t="shared" si="0"/>
        <v>1898301</v>
      </c>
      <c r="J30" s="185"/>
      <c r="K30" s="185"/>
      <c r="L30" s="185"/>
    </row>
    <row r="31" spans="1:12" ht="15.75" thickBot="1">
      <c r="A31" s="915" t="s">
        <v>492</v>
      </c>
      <c r="B31" s="1288">
        <v>64171</v>
      </c>
      <c r="C31" s="1290" t="s">
        <v>493</v>
      </c>
      <c r="D31" s="1290" t="s">
        <v>496</v>
      </c>
      <c r="E31" s="1290" t="s">
        <v>980</v>
      </c>
      <c r="F31" s="1309">
        <v>405325.29606848559</v>
      </c>
      <c r="G31" s="918" t="s">
        <v>2063</v>
      </c>
      <c r="H31" s="1288"/>
      <c r="I31" s="185" t="str">
        <f t="shared" si="0"/>
        <v>1898302</v>
      </c>
      <c r="J31" s="185"/>
      <c r="K31" s="185"/>
      <c r="L31" s="185"/>
    </row>
    <row r="32" spans="1:12" ht="15.75" thickBot="1">
      <c r="A32" s="915" t="s">
        <v>492</v>
      </c>
      <c r="B32" s="1288">
        <v>64171</v>
      </c>
      <c r="C32" s="1289" t="s">
        <v>493</v>
      </c>
      <c r="D32" s="1289" t="s">
        <v>497</v>
      </c>
      <c r="E32" s="1289" t="s">
        <v>980</v>
      </c>
      <c r="F32" s="1308">
        <v>331196.74120907026</v>
      </c>
      <c r="G32" s="918" t="s">
        <v>1388</v>
      </c>
      <c r="H32" s="1288"/>
      <c r="I32" s="185" t="str">
        <f t="shared" si="0"/>
        <v>1898303</v>
      </c>
      <c r="J32" s="185"/>
      <c r="K32" s="185"/>
      <c r="L32" s="185"/>
    </row>
    <row r="33" spans="1:12" ht="15.75" thickBot="1">
      <c r="A33" s="915" t="s">
        <v>492</v>
      </c>
      <c r="B33" s="1288">
        <v>64171</v>
      </c>
      <c r="C33" s="1290" t="s">
        <v>493</v>
      </c>
      <c r="D33" s="1290" t="s">
        <v>498</v>
      </c>
      <c r="E33" s="1290" t="s">
        <v>980</v>
      </c>
      <c r="F33" s="1309">
        <v>97198.12890293372</v>
      </c>
      <c r="G33" s="918" t="s">
        <v>1389</v>
      </c>
      <c r="H33" s="1288"/>
      <c r="I33" s="185" t="str">
        <f t="shared" si="0"/>
        <v>1898304</v>
      </c>
      <c r="J33" s="185"/>
      <c r="K33" s="185"/>
      <c r="L33" s="185"/>
    </row>
    <row r="34" spans="1:12" ht="15.75" thickBot="1">
      <c r="A34" s="915" t="s">
        <v>492</v>
      </c>
      <c r="B34" s="1288">
        <v>64171</v>
      </c>
      <c r="C34" s="1289" t="s">
        <v>493</v>
      </c>
      <c r="D34" s="1289" t="s">
        <v>499</v>
      </c>
      <c r="E34" s="1289" t="s">
        <v>980</v>
      </c>
      <c r="F34" s="1308">
        <v>81705.64844780798</v>
      </c>
      <c r="G34" s="918" t="s">
        <v>2064</v>
      </c>
      <c r="H34" s="1288"/>
      <c r="I34" s="185" t="str">
        <f t="shared" si="0"/>
        <v>1898305</v>
      </c>
      <c r="J34" s="185"/>
      <c r="K34" s="185"/>
      <c r="L34" s="185"/>
    </row>
    <row r="35" spans="1:12" ht="15.75" thickBot="1">
      <c r="A35" s="915" t="s">
        <v>492</v>
      </c>
      <c r="B35" s="1288">
        <v>64171</v>
      </c>
      <c r="C35" s="1290" t="s">
        <v>493</v>
      </c>
      <c r="D35" s="1290" t="s">
        <v>500</v>
      </c>
      <c r="E35" s="1290" t="s">
        <v>980</v>
      </c>
      <c r="F35" s="1309">
        <v>153583.84968801163</v>
      </c>
      <c r="G35" s="918" t="s">
        <v>1390</v>
      </c>
      <c r="H35" s="1288"/>
      <c r="I35" s="185" t="str">
        <f t="shared" si="0"/>
        <v>1898306</v>
      </c>
      <c r="J35" s="185"/>
      <c r="K35" s="185"/>
      <c r="L35" s="185"/>
    </row>
    <row r="36" spans="1:12" ht="15.75" thickBot="1">
      <c r="A36" s="915" t="s">
        <v>492</v>
      </c>
      <c r="B36" s="1288">
        <v>64171</v>
      </c>
      <c r="C36" s="1289" t="s">
        <v>493</v>
      </c>
      <c r="D36" s="1289" t="s">
        <v>501</v>
      </c>
      <c r="E36" s="1289" t="s">
        <v>980</v>
      </c>
      <c r="F36" s="1308">
        <v>74176.74853644376</v>
      </c>
      <c r="G36" s="918" t="s">
        <v>2065</v>
      </c>
      <c r="H36" s="1288"/>
      <c r="I36" s="185" t="str">
        <f t="shared" si="0"/>
        <v>1898307</v>
      </c>
      <c r="J36" s="185"/>
      <c r="K36" s="185"/>
      <c r="L36" s="185"/>
    </row>
    <row r="37" spans="1:12" ht="15.75" thickBot="1">
      <c r="A37" s="915" t="s">
        <v>492</v>
      </c>
      <c r="B37" s="1288">
        <v>64171</v>
      </c>
      <c r="C37" s="1290" t="s">
        <v>493</v>
      </c>
      <c r="D37" s="1290" t="s">
        <v>502</v>
      </c>
      <c r="E37" s="1290" t="s">
        <v>980</v>
      </c>
      <c r="F37" s="1309">
        <v>110258.31324571552</v>
      </c>
      <c r="G37" s="918" t="s">
        <v>1391</v>
      </c>
      <c r="H37" s="1288"/>
      <c r="I37" s="185" t="str">
        <f t="shared" si="0"/>
        <v>1898308</v>
      </c>
      <c r="J37" s="185"/>
      <c r="K37" s="185"/>
      <c r="L37" s="185"/>
    </row>
    <row r="38" spans="1:12" ht="15.75" thickBot="1">
      <c r="A38" s="915" t="s">
        <v>492</v>
      </c>
      <c r="B38" s="1288">
        <v>64171</v>
      </c>
      <c r="C38" s="1289" t="s">
        <v>493</v>
      </c>
      <c r="D38" s="1289" t="s">
        <v>503</v>
      </c>
      <c r="E38" s="1289" t="s">
        <v>980</v>
      </c>
      <c r="F38" s="1308">
        <v>179778.26970882481</v>
      </c>
      <c r="G38" s="918" t="s">
        <v>2066</v>
      </c>
      <c r="H38" s="1288"/>
      <c r="I38" s="185" t="str">
        <f t="shared" si="0"/>
        <v>1898309</v>
      </c>
      <c r="J38" s="185"/>
      <c r="K38" s="185"/>
      <c r="L38" s="185"/>
    </row>
    <row r="39" spans="1:12" ht="15.75" thickBot="1">
      <c r="A39" s="915" t="s">
        <v>492</v>
      </c>
      <c r="B39" s="1288">
        <v>64171</v>
      </c>
      <c r="C39" s="1289" t="s">
        <v>493</v>
      </c>
      <c r="D39" s="1289" t="s">
        <v>494</v>
      </c>
      <c r="E39" s="1289" t="s">
        <v>981</v>
      </c>
      <c r="F39" s="1308">
        <v>793098.20371120609</v>
      </c>
      <c r="G39" s="918" t="s">
        <v>2062</v>
      </c>
      <c r="H39" s="1288"/>
      <c r="I39" s="185" t="str">
        <f t="shared" si="0"/>
        <v>1898301</v>
      </c>
      <c r="J39" s="185"/>
      <c r="K39" s="185"/>
      <c r="L39" s="185"/>
    </row>
    <row r="40" spans="1:12" ht="15.75" thickBot="1">
      <c r="A40" s="915" t="s">
        <v>492</v>
      </c>
      <c r="B40" s="1288">
        <v>64171</v>
      </c>
      <c r="C40" s="1290" t="s">
        <v>493</v>
      </c>
      <c r="D40" s="1290" t="s">
        <v>496</v>
      </c>
      <c r="E40" s="1290" t="s">
        <v>981</v>
      </c>
      <c r="F40" s="1309">
        <v>1842390.1657041169</v>
      </c>
      <c r="G40" s="918" t="s">
        <v>2063</v>
      </c>
      <c r="H40" s="1288"/>
      <c r="I40" s="185" t="str">
        <f t="shared" si="0"/>
        <v>1898302</v>
      </c>
      <c r="J40" s="185"/>
      <c r="K40" s="185"/>
      <c r="L40" s="185"/>
    </row>
    <row r="41" spans="1:12" ht="15.75" thickBot="1">
      <c r="A41" s="915" t="s">
        <v>492</v>
      </c>
      <c r="B41" s="1288">
        <v>64171</v>
      </c>
      <c r="C41" s="1289" t="s">
        <v>493</v>
      </c>
      <c r="D41" s="1289" t="s">
        <v>497</v>
      </c>
      <c r="E41" s="1289" t="s">
        <v>981</v>
      </c>
      <c r="F41" s="1308">
        <v>475062.07462229196</v>
      </c>
      <c r="G41" s="918" t="s">
        <v>1388</v>
      </c>
      <c r="H41" s="1288"/>
      <c r="I41" s="185" t="str">
        <f t="shared" si="0"/>
        <v>1898303</v>
      </c>
      <c r="J41" s="185"/>
      <c r="K41" s="185"/>
      <c r="L41" s="185"/>
    </row>
    <row r="42" spans="1:12" ht="15.75" thickBot="1">
      <c r="A42" s="915" t="s">
        <v>492</v>
      </c>
      <c r="B42" s="1288">
        <v>64171</v>
      </c>
      <c r="C42" s="1290" t="s">
        <v>493</v>
      </c>
      <c r="D42" s="1290" t="s">
        <v>498</v>
      </c>
      <c r="E42" s="1290" t="s">
        <v>981</v>
      </c>
      <c r="F42" s="1309">
        <v>105476.54411087018</v>
      </c>
      <c r="G42" s="918" t="s">
        <v>1389</v>
      </c>
      <c r="H42" s="1288"/>
      <c r="I42" s="185" t="str">
        <f t="shared" si="0"/>
        <v>1898304</v>
      </c>
      <c r="J42" s="185"/>
      <c r="K42" s="185"/>
      <c r="L42" s="185"/>
    </row>
    <row r="43" spans="1:12" ht="15.75" thickBot="1">
      <c r="A43" s="915" t="s">
        <v>492</v>
      </c>
      <c r="B43" s="1288">
        <v>64171</v>
      </c>
      <c r="C43" s="1289" t="s">
        <v>493</v>
      </c>
      <c r="D43" s="1289" t="s">
        <v>499</v>
      </c>
      <c r="E43" s="1289" t="s">
        <v>981</v>
      </c>
      <c r="F43" s="1308">
        <v>154773.55362255921</v>
      </c>
      <c r="G43" s="918" t="s">
        <v>2064</v>
      </c>
      <c r="H43" s="1288"/>
      <c r="I43" s="185" t="str">
        <f t="shared" si="0"/>
        <v>1898305</v>
      </c>
      <c r="J43" s="185"/>
      <c r="K43" s="185"/>
      <c r="L43" s="185"/>
    </row>
    <row r="44" spans="1:12" ht="15.75" thickBot="1">
      <c r="A44" s="915" t="s">
        <v>492</v>
      </c>
      <c r="B44" s="1288">
        <v>64171</v>
      </c>
      <c r="C44" s="1290" t="s">
        <v>493</v>
      </c>
      <c r="D44" s="1290" t="s">
        <v>500</v>
      </c>
      <c r="E44" s="1290" t="s">
        <v>981</v>
      </c>
      <c r="F44" s="1309">
        <v>248867.67157337905</v>
      </c>
      <c r="G44" s="918" t="s">
        <v>1390</v>
      </c>
      <c r="H44" s="1288"/>
      <c r="I44" s="185" t="str">
        <f t="shared" si="0"/>
        <v>1898306</v>
      </c>
      <c r="J44" s="185"/>
      <c r="K44" s="185"/>
      <c r="L44" s="185"/>
    </row>
    <row r="45" spans="1:12" ht="15.75" thickBot="1">
      <c r="A45" s="915" t="s">
        <v>492</v>
      </c>
      <c r="B45" s="1288">
        <v>64171</v>
      </c>
      <c r="C45" s="1289" t="s">
        <v>493</v>
      </c>
      <c r="D45" s="1289" t="s">
        <v>501</v>
      </c>
      <c r="E45" s="1289" t="s">
        <v>981</v>
      </c>
      <c r="F45" s="1308">
        <v>105314.69944966488</v>
      </c>
      <c r="G45" s="918" t="s">
        <v>2065</v>
      </c>
      <c r="H45" s="1288"/>
      <c r="I45" s="185" t="str">
        <f t="shared" si="0"/>
        <v>1898307</v>
      </c>
      <c r="J45" s="185"/>
      <c r="K45" s="185"/>
      <c r="L45" s="185"/>
    </row>
    <row r="46" spans="1:12" ht="15.75" thickBot="1">
      <c r="A46" s="915" t="s">
        <v>492</v>
      </c>
      <c r="B46" s="1288">
        <v>64171</v>
      </c>
      <c r="C46" s="1290" t="s">
        <v>493</v>
      </c>
      <c r="D46" s="1290" t="s">
        <v>502</v>
      </c>
      <c r="E46" s="1290" t="s">
        <v>981</v>
      </c>
      <c r="F46" s="1309">
        <v>150763.00328278291</v>
      </c>
      <c r="G46" s="918" t="s">
        <v>1391</v>
      </c>
      <c r="H46" s="1288"/>
      <c r="I46" s="185" t="str">
        <f t="shared" si="0"/>
        <v>1898308</v>
      </c>
      <c r="J46" s="185"/>
      <c r="K46" s="185"/>
      <c r="L46" s="185"/>
    </row>
    <row r="47" spans="1:12" ht="15.75" thickBot="1">
      <c r="A47" s="915" t="s">
        <v>492</v>
      </c>
      <c r="B47" s="1288">
        <v>64171</v>
      </c>
      <c r="C47" s="1289" t="s">
        <v>493</v>
      </c>
      <c r="D47" s="1289" t="s">
        <v>503</v>
      </c>
      <c r="E47" s="1289" t="s">
        <v>981</v>
      </c>
      <c r="F47" s="1308">
        <v>251682.67588041976</v>
      </c>
      <c r="G47" s="918" t="s">
        <v>2066</v>
      </c>
      <c r="H47" s="1288"/>
      <c r="I47" s="185" t="str">
        <f t="shared" si="0"/>
        <v>1898309</v>
      </c>
      <c r="J47" s="185"/>
      <c r="K47" s="185"/>
      <c r="L47" s="185"/>
    </row>
    <row r="48" spans="1:12" ht="15.75" thickBot="1">
      <c r="A48" s="915" t="s">
        <v>492</v>
      </c>
      <c r="B48" s="1288">
        <v>64171</v>
      </c>
      <c r="C48" s="1290" t="s">
        <v>493</v>
      </c>
      <c r="D48" s="1290" t="s">
        <v>494</v>
      </c>
      <c r="E48" s="1290" t="s">
        <v>982</v>
      </c>
      <c r="F48" s="1309">
        <v>472196.37930726208</v>
      </c>
      <c r="G48" s="918" t="s">
        <v>2062</v>
      </c>
      <c r="H48" s="1288"/>
      <c r="I48" s="185" t="str">
        <f t="shared" si="0"/>
        <v>1898301</v>
      </c>
      <c r="J48" s="185"/>
      <c r="K48" s="185"/>
      <c r="L48" s="185"/>
    </row>
    <row r="49" spans="1:12" ht="15.75" thickBot="1">
      <c r="A49" s="915" t="s">
        <v>492</v>
      </c>
      <c r="B49" s="1288">
        <v>64171</v>
      </c>
      <c r="C49" s="1289" t="s">
        <v>493</v>
      </c>
      <c r="D49" s="1289" t="s">
        <v>496</v>
      </c>
      <c r="E49" s="1289" t="s">
        <v>982</v>
      </c>
      <c r="F49" s="1308">
        <v>1261328.8651815832</v>
      </c>
      <c r="G49" s="918" t="s">
        <v>2063</v>
      </c>
      <c r="H49" s="1288"/>
      <c r="I49" s="185" t="str">
        <f t="shared" si="0"/>
        <v>1898302</v>
      </c>
      <c r="J49" s="185"/>
      <c r="K49" s="185"/>
      <c r="L49" s="185"/>
    </row>
    <row r="50" spans="1:12" ht="15.75" thickBot="1">
      <c r="A50" s="915" t="s">
        <v>492</v>
      </c>
      <c r="B50" s="1288">
        <v>64171</v>
      </c>
      <c r="C50" s="1290" t="s">
        <v>493</v>
      </c>
      <c r="D50" s="1290" t="s">
        <v>497</v>
      </c>
      <c r="E50" s="1290" t="s">
        <v>982</v>
      </c>
      <c r="F50" s="1309">
        <v>39168.9170981321</v>
      </c>
      <c r="G50" s="918" t="s">
        <v>1388</v>
      </c>
      <c r="H50" s="1288"/>
      <c r="I50" s="185" t="str">
        <f t="shared" si="0"/>
        <v>1898303</v>
      </c>
      <c r="J50" s="185"/>
      <c r="K50" s="185"/>
      <c r="L50" s="185"/>
    </row>
    <row r="51" spans="1:12" ht="15.75" thickBot="1">
      <c r="A51" s="915" t="s">
        <v>492</v>
      </c>
      <c r="B51" s="1288">
        <v>64171</v>
      </c>
      <c r="C51" s="1289" t="s">
        <v>493</v>
      </c>
      <c r="D51" s="1289" t="s">
        <v>498</v>
      </c>
      <c r="E51" s="1289" t="s">
        <v>982</v>
      </c>
      <c r="F51" s="1308">
        <v>19708.289616427275</v>
      </c>
      <c r="G51" s="918" t="s">
        <v>1389</v>
      </c>
      <c r="H51" s="1288"/>
      <c r="I51" s="185" t="str">
        <f t="shared" si="0"/>
        <v>1898304</v>
      </c>
      <c r="J51" s="185"/>
      <c r="K51" s="185"/>
      <c r="L51" s="185"/>
    </row>
    <row r="52" spans="1:12" ht="15.75" thickBot="1">
      <c r="A52" s="915" t="s">
        <v>492</v>
      </c>
      <c r="B52" s="1288">
        <v>64171</v>
      </c>
      <c r="C52" s="1290" t="s">
        <v>493</v>
      </c>
      <c r="D52" s="1290" t="s">
        <v>499</v>
      </c>
      <c r="E52" s="1290" t="s">
        <v>982</v>
      </c>
      <c r="F52" s="1309">
        <v>3368.5715771824666</v>
      </c>
      <c r="G52" s="918" t="s">
        <v>2064</v>
      </c>
      <c r="H52" s="1288"/>
      <c r="I52" s="185" t="str">
        <f t="shared" si="0"/>
        <v>1898305</v>
      </c>
      <c r="J52" s="185"/>
      <c r="K52" s="185"/>
      <c r="L52" s="185"/>
    </row>
    <row r="53" spans="1:12" ht="15.75" thickBot="1">
      <c r="A53" s="915" t="s">
        <v>492</v>
      </c>
      <c r="B53" s="1288">
        <v>64171</v>
      </c>
      <c r="C53" s="1289" t="s">
        <v>493</v>
      </c>
      <c r="D53" s="1289" t="s">
        <v>500</v>
      </c>
      <c r="E53" s="1289" t="s">
        <v>982</v>
      </c>
      <c r="F53" s="1308">
        <v>24919.455181064037</v>
      </c>
      <c r="G53" s="918" t="s">
        <v>1390</v>
      </c>
      <c r="H53" s="1288"/>
      <c r="I53" s="185" t="str">
        <f t="shared" si="0"/>
        <v>1898306</v>
      </c>
      <c r="J53" s="185"/>
      <c r="K53" s="185"/>
      <c r="L53" s="185"/>
    </row>
    <row r="54" spans="1:12" ht="15.75" thickBot="1">
      <c r="A54" s="915" t="s">
        <v>492</v>
      </c>
      <c r="B54" s="1288">
        <v>64171</v>
      </c>
      <c r="C54" s="1290" t="s">
        <v>493</v>
      </c>
      <c r="D54" s="1290" t="s">
        <v>501</v>
      </c>
      <c r="E54" s="1290" t="s">
        <v>982</v>
      </c>
      <c r="F54" s="1309">
        <v>1547.744930845915</v>
      </c>
      <c r="G54" s="918" t="s">
        <v>2065</v>
      </c>
      <c r="H54" s="1288"/>
      <c r="I54" s="185" t="str">
        <f t="shared" si="0"/>
        <v>1898307</v>
      </c>
      <c r="J54" s="185"/>
      <c r="K54" s="185"/>
      <c r="L54" s="185"/>
    </row>
    <row r="55" spans="1:12" ht="15.75" thickBot="1">
      <c r="A55" s="915" t="s">
        <v>492</v>
      </c>
      <c r="B55" s="1288">
        <v>64171</v>
      </c>
      <c r="C55" s="1289" t="s">
        <v>493</v>
      </c>
      <c r="D55" s="1289" t="s">
        <v>502</v>
      </c>
      <c r="E55" s="1289" t="s">
        <v>982</v>
      </c>
      <c r="F55" s="1308">
        <v>19992.102817794901</v>
      </c>
      <c r="G55" s="918" t="s">
        <v>1391</v>
      </c>
      <c r="H55" s="1288"/>
      <c r="I55" s="185" t="str">
        <f t="shared" si="0"/>
        <v>1898308</v>
      </c>
      <c r="J55" s="185"/>
      <c r="K55" s="185"/>
      <c r="L55" s="185"/>
    </row>
    <row r="56" spans="1:12" ht="15.75" thickBot="1">
      <c r="A56" s="915" t="s">
        <v>492</v>
      </c>
      <c r="B56" s="1288">
        <v>64171</v>
      </c>
      <c r="C56" s="1290" t="s">
        <v>493</v>
      </c>
      <c r="D56" s="1290" t="s">
        <v>503</v>
      </c>
      <c r="E56" s="1290" t="s">
        <v>982</v>
      </c>
      <c r="F56" s="1309">
        <v>3724.9257042560575</v>
      </c>
      <c r="G56" s="918" t="s">
        <v>2066</v>
      </c>
      <c r="H56" s="1288"/>
      <c r="I56" s="185" t="str">
        <f t="shared" si="0"/>
        <v>1898309</v>
      </c>
      <c r="J56" s="185"/>
      <c r="K56" s="185"/>
      <c r="L56" s="185"/>
    </row>
    <row r="57" spans="1:12" ht="15.75" thickBot="1">
      <c r="A57" s="915" t="s">
        <v>492</v>
      </c>
      <c r="B57" s="1288">
        <v>64171</v>
      </c>
      <c r="C57" s="1290" t="s">
        <v>493</v>
      </c>
      <c r="D57" s="1290" t="s">
        <v>494</v>
      </c>
      <c r="E57" s="1290" t="s">
        <v>983</v>
      </c>
      <c r="F57" s="1309">
        <v>306510.56717669457</v>
      </c>
      <c r="G57" s="918" t="s">
        <v>2062</v>
      </c>
      <c r="H57" s="1288"/>
      <c r="I57" s="185" t="str">
        <f t="shared" si="0"/>
        <v>1898301</v>
      </c>
      <c r="J57" s="185"/>
      <c r="K57" s="185"/>
      <c r="L57" s="185"/>
    </row>
    <row r="58" spans="1:12" ht="15.75" thickBot="1">
      <c r="A58" s="915" t="s">
        <v>492</v>
      </c>
      <c r="B58" s="1288">
        <v>64171</v>
      </c>
      <c r="C58" s="1289" t="s">
        <v>493</v>
      </c>
      <c r="D58" s="1289" t="s">
        <v>500</v>
      </c>
      <c r="E58" s="1289" t="s">
        <v>983</v>
      </c>
      <c r="F58" s="1308">
        <v>7811.7393529391811</v>
      </c>
      <c r="G58" s="918" t="s">
        <v>1390</v>
      </c>
      <c r="H58" s="1288"/>
      <c r="I58" s="185" t="str">
        <f t="shared" si="0"/>
        <v>1898306</v>
      </c>
      <c r="J58" s="185"/>
      <c r="K58" s="185"/>
      <c r="L58" s="185"/>
    </row>
    <row r="59" spans="1:12" ht="15.75" thickBot="1">
      <c r="A59" s="915" t="s">
        <v>492</v>
      </c>
      <c r="B59" s="1288">
        <v>64171</v>
      </c>
      <c r="C59" s="1289" t="s">
        <v>493</v>
      </c>
      <c r="D59" s="1289" t="s">
        <v>494</v>
      </c>
      <c r="E59" s="1289" t="s">
        <v>984</v>
      </c>
      <c r="F59" s="1308">
        <v>33712.650695046599</v>
      </c>
      <c r="G59" s="918" t="s">
        <v>2062</v>
      </c>
      <c r="H59" s="1288"/>
      <c r="I59" s="185" t="str">
        <f t="shared" si="0"/>
        <v>1898301</v>
      </c>
      <c r="J59" s="185"/>
      <c r="K59" s="185"/>
      <c r="L59" s="185"/>
    </row>
    <row r="60" spans="1:12" ht="15.75" thickBot="1">
      <c r="A60" s="915" t="s">
        <v>492</v>
      </c>
      <c r="B60" s="1288">
        <v>64171</v>
      </c>
      <c r="C60" s="1290" t="s">
        <v>493</v>
      </c>
      <c r="D60" s="1290" t="s">
        <v>496</v>
      </c>
      <c r="E60" s="1290" t="s">
        <v>984</v>
      </c>
      <c r="F60" s="1309">
        <v>2007.4145418605228</v>
      </c>
      <c r="G60" s="918" t="s">
        <v>2063</v>
      </c>
      <c r="H60" s="1288"/>
      <c r="I60" s="185" t="str">
        <f t="shared" si="0"/>
        <v>1898302</v>
      </c>
      <c r="J60" s="185"/>
      <c r="K60" s="185"/>
      <c r="L60" s="185"/>
    </row>
    <row r="61" spans="1:12" ht="15.75" thickBot="1">
      <c r="A61" s="915" t="s">
        <v>492</v>
      </c>
      <c r="B61" s="1288">
        <v>64171</v>
      </c>
      <c r="C61" s="1289" t="s">
        <v>493</v>
      </c>
      <c r="D61" s="1289" t="s">
        <v>497</v>
      </c>
      <c r="E61" s="1289" t="s">
        <v>984</v>
      </c>
      <c r="F61" s="1308">
        <v>2386.1355585966994</v>
      </c>
      <c r="G61" s="918" t="s">
        <v>1388</v>
      </c>
      <c r="H61" s="1288"/>
      <c r="I61" s="185" t="str">
        <f t="shared" si="0"/>
        <v>1898303</v>
      </c>
      <c r="J61" s="185"/>
      <c r="K61" s="185"/>
      <c r="L61" s="185"/>
    </row>
    <row r="62" spans="1:12" ht="15.75" thickBot="1">
      <c r="A62" s="915" t="s">
        <v>492</v>
      </c>
      <c r="B62" s="1288">
        <v>64171</v>
      </c>
      <c r="C62" s="1290" t="s">
        <v>493</v>
      </c>
      <c r="D62" s="1290" t="s">
        <v>498</v>
      </c>
      <c r="E62" s="1290" t="s">
        <v>984</v>
      </c>
      <c r="F62" s="1309">
        <v>498.6531207638667</v>
      </c>
      <c r="G62" s="918" t="s">
        <v>1389</v>
      </c>
      <c r="H62" s="1288"/>
      <c r="I62" s="185" t="str">
        <f t="shared" si="0"/>
        <v>1898304</v>
      </c>
      <c r="J62" s="185"/>
      <c r="K62" s="185"/>
      <c r="L62" s="185"/>
    </row>
    <row r="63" spans="1:12" ht="15.75" thickBot="1">
      <c r="A63" s="915" t="s">
        <v>492</v>
      </c>
      <c r="B63" s="1288">
        <v>64171</v>
      </c>
      <c r="C63" s="1289" t="s">
        <v>493</v>
      </c>
      <c r="D63" s="1289" t="s">
        <v>499</v>
      </c>
      <c r="E63" s="1289" t="s">
        <v>984</v>
      </c>
      <c r="F63" s="1308">
        <v>3539.6566718382301</v>
      </c>
      <c r="G63" s="918" t="s">
        <v>2064</v>
      </c>
      <c r="H63" s="1288"/>
      <c r="I63" s="185" t="str">
        <f t="shared" si="0"/>
        <v>1898305</v>
      </c>
      <c r="J63" s="185"/>
      <c r="K63" s="185"/>
      <c r="L63" s="185"/>
    </row>
    <row r="64" spans="1:12" ht="15.75" thickBot="1">
      <c r="A64" s="915" t="s">
        <v>492</v>
      </c>
      <c r="B64" s="1288">
        <v>64171</v>
      </c>
      <c r="C64" s="1289" t="s">
        <v>493</v>
      </c>
      <c r="D64" s="1289" t="s">
        <v>494</v>
      </c>
      <c r="E64" s="1289" t="s">
        <v>985</v>
      </c>
      <c r="F64" s="1308">
        <v>23891.239833306528</v>
      </c>
      <c r="G64" s="918" t="s">
        <v>2062</v>
      </c>
      <c r="H64" s="1288"/>
      <c r="I64" s="185" t="str">
        <f t="shared" si="0"/>
        <v>1898301</v>
      </c>
      <c r="J64" s="185"/>
      <c r="K64" s="185"/>
      <c r="L64" s="185"/>
    </row>
    <row r="65" spans="1:12" ht="15.75" thickBot="1">
      <c r="A65" s="915" t="s">
        <v>492</v>
      </c>
      <c r="B65" s="1288">
        <v>64171</v>
      </c>
      <c r="C65" s="1290" t="s">
        <v>493</v>
      </c>
      <c r="D65" s="1290" t="s">
        <v>496</v>
      </c>
      <c r="E65" s="1290" t="s">
        <v>985</v>
      </c>
      <c r="F65" s="1309">
        <v>46079.813493198817</v>
      </c>
      <c r="G65" s="918" t="s">
        <v>2063</v>
      </c>
      <c r="H65" s="1288"/>
      <c r="I65" s="185" t="str">
        <f t="shared" si="0"/>
        <v>1898302</v>
      </c>
      <c r="J65" s="185"/>
      <c r="K65" s="185"/>
      <c r="L65" s="185"/>
    </row>
    <row r="66" spans="1:12" ht="15.75" thickBot="1">
      <c r="A66" s="915" t="s">
        <v>492</v>
      </c>
      <c r="B66" s="1288">
        <v>64171</v>
      </c>
      <c r="C66" s="1289" t="s">
        <v>493</v>
      </c>
      <c r="D66" s="1289" t="s">
        <v>497</v>
      </c>
      <c r="E66" s="1289" t="s">
        <v>985</v>
      </c>
      <c r="F66" s="1308">
        <v>11051.730146803391</v>
      </c>
      <c r="G66" s="918" t="s">
        <v>1388</v>
      </c>
      <c r="H66" s="1288"/>
      <c r="I66" s="185" t="str">
        <f t="shared" ref="I66:I129" si="1">RIGHT(D66,7)</f>
        <v>1898303</v>
      </c>
      <c r="J66" s="185"/>
      <c r="K66" s="185"/>
      <c r="L66" s="185"/>
    </row>
    <row r="67" spans="1:12" ht="15.75" thickBot="1">
      <c r="A67" s="915" t="s">
        <v>492</v>
      </c>
      <c r="B67" s="1288">
        <v>64171</v>
      </c>
      <c r="C67" s="1290" t="s">
        <v>493</v>
      </c>
      <c r="D67" s="1290" t="s">
        <v>498</v>
      </c>
      <c r="E67" s="1290" t="s">
        <v>985</v>
      </c>
      <c r="F67" s="1309">
        <v>3143.4234858703944</v>
      </c>
      <c r="G67" s="918" t="s">
        <v>1389</v>
      </c>
      <c r="H67" s="1288"/>
      <c r="I67" s="185" t="str">
        <f t="shared" si="1"/>
        <v>1898304</v>
      </c>
      <c r="J67" s="185"/>
      <c r="K67" s="185"/>
      <c r="L67" s="185"/>
    </row>
    <row r="68" spans="1:12" ht="15.75" thickBot="1">
      <c r="A68" s="915" t="s">
        <v>492</v>
      </c>
      <c r="B68" s="1288">
        <v>64171</v>
      </c>
      <c r="C68" s="1289" t="s">
        <v>493</v>
      </c>
      <c r="D68" s="1289" t="s">
        <v>499</v>
      </c>
      <c r="E68" s="1289" t="s">
        <v>985</v>
      </c>
      <c r="F68" s="1308">
        <v>4129.4853389746431</v>
      </c>
      <c r="G68" s="918" t="s">
        <v>2064</v>
      </c>
      <c r="H68" s="1288"/>
      <c r="I68" s="185" t="str">
        <f t="shared" si="1"/>
        <v>1898305</v>
      </c>
      <c r="J68" s="185"/>
      <c r="K68" s="185"/>
      <c r="L68" s="185"/>
    </row>
    <row r="69" spans="1:12" ht="15.75" thickBot="1">
      <c r="A69" s="915" t="s">
        <v>492</v>
      </c>
      <c r="B69" s="1288">
        <v>64171</v>
      </c>
      <c r="C69" s="1290" t="s">
        <v>493</v>
      </c>
      <c r="D69" s="1290" t="s">
        <v>500</v>
      </c>
      <c r="E69" s="1290" t="s">
        <v>985</v>
      </c>
      <c r="F69" s="1309">
        <v>6011.9646419965529</v>
      </c>
      <c r="G69" s="918" t="s">
        <v>1390</v>
      </c>
      <c r="H69" s="1288"/>
      <c r="I69" s="185" t="str">
        <f t="shared" si="1"/>
        <v>1898306</v>
      </c>
      <c r="J69" s="185"/>
      <c r="K69" s="185"/>
      <c r="L69" s="185"/>
    </row>
    <row r="70" spans="1:12" ht="15.75" thickBot="1">
      <c r="A70" s="915" t="s">
        <v>492</v>
      </c>
      <c r="B70" s="1288">
        <v>64171</v>
      </c>
      <c r="C70" s="1289" t="s">
        <v>493</v>
      </c>
      <c r="D70" s="1289" t="s">
        <v>501</v>
      </c>
      <c r="E70" s="1289" t="s">
        <v>985</v>
      </c>
      <c r="F70" s="1308">
        <v>1545.5680213090341</v>
      </c>
      <c r="G70" s="918" t="s">
        <v>2065</v>
      </c>
      <c r="H70" s="1288"/>
      <c r="I70" s="185" t="str">
        <f t="shared" si="1"/>
        <v>1898307</v>
      </c>
      <c r="J70" s="185"/>
      <c r="K70" s="185"/>
      <c r="L70" s="185"/>
    </row>
    <row r="71" spans="1:12" ht="15.75" thickBot="1">
      <c r="A71" s="915" t="s">
        <v>492</v>
      </c>
      <c r="B71" s="1288">
        <v>64171</v>
      </c>
      <c r="C71" s="1290" t="s">
        <v>493</v>
      </c>
      <c r="D71" s="1290" t="s">
        <v>502</v>
      </c>
      <c r="E71" s="1290" t="s">
        <v>985</v>
      </c>
      <c r="F71" s="1309">
        <v>4051.3631576607213</v>
      </c>
      <c r="G71" s="918" t="s">
        <v>1391</v>
      </c>
      <c r="H71" s="1288"/>
      <c r="I71" s="185" t="str">
        <f t="shared" si="1"/>
        <v>1898308</v>
      </c>
      <c r="J71" s="185"/>
      <c r="K71" s="185"/>
      <c r="L71" s="185"/>
    </row>
    <row r="72" spans="1:12" ht="15.75" thickBot="1">
      <c r="A72" s="915" t="s">
        <v>492</v>
      </c>
      <c r="B72" s="1288">
        <v>64171</v>
      </c>
      <c r="C72" s="1289" t="s">
        <v>493</v>
      </c>
      <c r="D72" s="1289" t="s">
        <v>503</v>
      </c>
      <c r="E72" s="1289" t="s">
        <v>985</v>
      </c>
      <c r="F72" s="1308">
        <v>6727.2082508992371</v>
      </c>
      <c r="G72" s="918" t="s">
        <v>2066</v>
      </c>
      <c r="H72" s="1288"/>
      <c r="I72" s="185" t="str">
        <f t="shared" si="1"/>
        <v>1898309</v>
      </c>
      <c r="J72" s="185"/>
      <c r="K72" s="185"/>
      <c r="L72" s="185"/>
    </row>
    <row r="73" spans="1:12" ht="15.75" thickBot="1">
      <c r="A73" s="915" t="s">
        <v>492</v>
      </c>
      <c r="B73" s="1288">
        <v>64171</v>
      </c>
      <c r="C73" s="1289" t="s">
        <v>493</v>
      </c>
      <c r="D73" s="1289" t="s">
        <v>494</v>
      </c>
      <c r="E73" s="1289" t="s">
        <v>987</v>
      </c>
      <c r="F73" s="1308">
        <v>10443.902389886276</v>
      </c>
      <c r="G73" s="918" t="s">
        <v>2062</v>
      </c>
      <c r="H73" s="1288"/>
      <c r="I73" s="185" t="str">
        <f t="shared" si="1"/>
        <v>1898301</v>
      </c>
      <c r="J73" s="185"/>
      <c r="K73" s="185"/>
      <c r="L73" s="185"/>
    </row>
    <row r="74" spans="1:12" ht="15.75" thickBot="1">
      <c r="A74" s="915" t="s">
        <v>492</v>
      </c>
      <c r="B74" s="1288">
        <v>64171</v>
      </c>
      <c r="C74" s="1289" t="s">
        <v>493</v>
      </c>
      <c r="D74" s="1289" t="s">
        <v>494</v>
      </c>
      <c r="E74" s="1289" t="s">
        <v>988</v>
      </c>
      <c r="F74" s="1308">
        <v>287882.02755102754</v>
      </c>
      <c r="G74" s="918" t="s">
        <v>2062</v>
      </c>
      <c r="H74" s="1288"/>
      <c r="I74" s="185" t="str">
        <f t="shared" si="1"/>
        <v>1898301</v>
      </c>
      <c r="J74" s="185"/>
      <c r="K74" s="185"/>
      <c r="L74" s="185"/>
    </row>
    <row r="75" spans="1:12" ht="15.75" thickBot="1">
      <c r="A75" s="915" t="s">
        <v>492</v>
      </c>
      <c r="B75" s="1288">
        <v>64171</v>
      </c>
      <c r="C75" s="1290" t="s">
        <v>493</v>
      </c>
      <c r="D75" s="1290" t="s">
        <v>496</v>
      </c>
      <c r="E75" s="1290" t="s">
        <v>988</v>
      </c>
      <c r="F75" s="1309">
        <v>16371.888983308349</v>
      </c>
      <c r="G75" s="918" t="s">
        <v>2063</v>
      </c>
      <c r="H75" s="1288"/>
      <c r="I75" s="185" t="str">
        <f t="shared" si="1"/>
        <v>1898302</v>
      </c>
      <c r="J75" s="185"/>
      <c r="K75" s="185"/>
      <c r="L75" s="185"/>
    </row>
    <row r="76" spans="1:12" ht="15.75" thickBot="1">
      <c r="A76" s="915" t="s">
        <v>492</v>
      </c>
      <c r="B76" s="1288">
        <v>64171</v>
      </c>
      <c r="C76" s="1289" t="s">
        <v>493</v>
      </c>
      <c r="D76" s="1289" t="s">
        <v>503</v>
      </c>
      <c r="E76" s="1289" t="s">
        <v>988</v>
      </c>
      <c r="F76" s="1308">
        <v>1000278.8293624196</v>
      </c>
      <c r="G76" s="918" t="s">
        <v>2066</v>
      </c>
      <c r="H76" s="1288"/>
      <c r="I76" s="185" t="str">
        <f t="shared" si="1"/>
        <v>1898309</v>
      </c>
      <c r="J76" s="185"/>
      <c r="K76" s="185"/>
      <c r="L76" s="185"/>
    </row>
    <row r="77" spans="1:12" ht="15.75" thickBot="1">
      <c r="A77" s="915" t="s">
        <v>492</v>
      </c>
      <c r="B77" s="1288">
        <v>64171</v>
      </c>
      <c r="C77" s="1289" t="s">
        <v>493</v>
      </c>
      <c r="D77" s="1289" t="s">
        <v>494</v>
      </c>
      <c r="E77" s="1289" t="s">
        <v>509</v>
      </c>
      <c r="F77" s="1308">
        <v>1325367.7191460615</v>
      </c>
      <c r="G77" s="918" t="s">
        <v>2062</v>
      </c>
      <c r="H77" s="1288"/>
      <c r="I77" s="185" t="str">
        <f t="shared" si="1"/>
        <v>1898301</v>
      </c>
      <c r="J77" s="185"/>
      <c r="K77" s="185"/>
      <c r="L77" s="185"/>
    </row>
    <row r="78" spans="1:12" ht="15.75" thickBot="1">
      <c r="A78" s="915" t="s">
        <v>492</v>
      </c>
      <c r="B78" s="1288">
        <v>64171</v>
      </c>
      <c r="C78" s="1290" t="s">
        <v>493</v>
      </c>
      <c r="D78" s="1290" t="s">
        <v>496</v>
      </c>
      <c r="E78" s="1290" t="s">
        <v>509</v>
      </c>
      <c r="F78" s="1309">
        <v>1516114.0401863279</v>
      </c>
      <c r="G78" s="918" t="s">
        <v>2063</v>
      </c>
      <c r="H78" s="1288"/>
      <c r="I78" s="185" t="str">
        <f t="shared" si="1"/>
        <v>1898302</v>
      </c>
      <c r="J78" s="185"/>
      <c r="K78" s="185"/>
      <c r="L78" s="185"/>
    </row>
    <row r="79" spans="1:12" ht="15.75" thickBot="1">
      <c r="A79" s="915" t="s">
        <v>492</v>
      </c>
      <c r="B79" s="1288">
        <v>64171</v>
      </c>
      <c r="C79" s="1289" t="s">
        <v>493</v>
      </c>
      <c r="D79" s="1289" t="s">
        <v>498</v>
      </c>
      <c r="E79" s="1289" t="s">
        <v>509</v>
      </c>
      <c r="F79" s="1308">
        <v>164553.88431323291</v>
      </c>
      <c r="G79" s="918" t="s">
        <v>1389</v>
      </c>
      <c r="H79" s="1288"/>
      <c r="I79" s="185" t="str">
        <f t="shared" si="1"/>
        <v>1898304</v>
      </c>
      <c r="J79" s="185"/>
      <c r="K79" s="185"/>
      <c r="L79" s="185"/>
    </row>
    <row r="80" spans="1:12" ht="15.75" thickBot="1">
      <c r="A80" s="915" t="s">
        <v>492</v>
      </c>
      <c r="B80" s="1288">
        <v>64171</v>
      </c>
      <c r="C80" s="1290" t="s">
        <v>493</v>
      </c>
      <c r="D80" s="1290" t="s">
        <v>499</v>
      </c>
      <c r="E80" s="1290" t="s">
        <v>509</v>
      </c>
      <c r="F80" s="1309">
        <v>31015.506594789789</v>
      </c>
      <c r="G80" s="918" t="s">
        <v>2064</v>
      </c>
      <c r="H80" s="1288"/>
      <c r="I80" s="185" t="str">
        <f t="shared" si="1"/>
        <v>1898305</v>
      </c>
      <c r="J80" s="185"/>
      <c r="K80" s="185"/>
      <c r="L80" s="185"/>
    </row>
    <row r="81" spans="1:12" ht="15.75" thickBot="1">
      <c r="A81" s="915" t="s">
        <v>492</v>
      </c>
      <c r="B81" s="1288">
        <v>64171</v>
      </c>
      <c r="C81" s="1289" t="s">
        <v>493</v>
      </c>
      <c r="D81" s="1289" t="s">
        <v>500</v>
      </c>
      <c r="E81" s="1289" t="s">
        <v>509</v>
      </c>
      <c r="F81" s="1308">
        <v>852903.25226639095</v>
      </c>
      <c r="G81" s="918" t="s">
        <v>1390</v>
      </c>
      <c r="H81" s="1288"/>
      <c r="I81" s="185" t="str">
        <f t="shared" si="1"/>
        <v>1898306</v>
      </c>
      <c r="J81" s="185"/>
      <c r="K81" s="185"/>
      <c r="L81" s="185"/>
    </row>
    <row r="82" spans="1:12" ht="15.75" thickBot="1">
      <c r="A82" s="915" t="s">
        <v>492</v>
      </c>
      <c r="B82" s="1288">
        <v>64171</v>
      </c>
      <c r="C82" s="1290" t="s">
        <v>493</v>
      </c>
      <c r="D82" s="1290" t="s">
        <v>501</v>
      </c>
      <c r="E82" s="1290" t="s">
        <v>509</v>
      </c>
      <c r="F82" s="1309">
        <v>705007.55861423863</v>
      </c>
      <c r="G82" s="918" t="s">
        <v>2065</v>
      </c>
      <c r="H82" s="1288"/>
      <c r="I82" s="185" t="str">
        <f t="shared" si="1"/>
        <v>1898307</v>
      </c>
      <c r="J82" s="185"/>
      <c r="K82" s="185"/>
      <c r="L82" s="185"/>
    </row>
    <row r="83" spans="1:12" ht="15.75" thickBot="1">
      <c r="A83" s="915" t="s">
        <v>492</v>
      </c>
      <c r="B83" s="1288">
        <v>64171</v>
      </c>
      <c r="C83" s="1289" t="s">
        <v>493</v>
      </c>
      <c r="D83" s="1289" t="s">
        <v>502</v>
      </c>
      <c r="E83" s="1289" t="s">
        <v>509</v>
      </c>
      <c r="F83" s="1308">
        <v>264740.79110465833</v>
      </c>
      <c r="G83" s="918" t="s">
        <v>1391</v>
      </c>
      <c r="H83" s="1288"/>
      <c r="I83" s="185" t="str">
        <f t="shared" si="1"/>
        <v>1898308</v>
      </c>
      <c r="J83" s="185"/>
      <c r="K83" s="185"/>
      <c r="L83" s="185"/>
    </row>
    <row r="84" spans="1:12" ht="15.75" thickBot="1">
      <c r="A84" s="915" t="s">
        <v>492</v>
      </c>
      <c r="B84" s="1288">
        <v>64171</v>
      </c>
      <c r="C84" s="1290" t="s">
        <v>493</v>
      </c>
      <c r="D84" s="1290" t="s">
        <v>503</v>
      </c>
      <c r="E84" s="1290" t="s">
        <v>509</v>
      </c>
      <c r="F84" s="1309">
        <v>84870.766554289439</v>
      </c>
      <c r="G84" s="918" t="s">
        <v>2066</v>
      </c>
      <c r="H84" s="1288"/>
      <c r="I84" s="185" t="str">
        <f t="shared" si="1"/>
        <v>1898309</v>
      </c>
      <c r="J84" s="185"/>
      <c r="K84" s="185"/>
      <c r="L84" s="185"/>
    </row>
    <row r="85" spans="1:12" ht="15.75" thickBot="1">
      <c r="A85" s="915" t="s">
        <v>492</v>
      </c>
      <c r="B85" s="1288">
        <v>64171</v>
      </c>
      <c r="C85" s="1290" t="s">
        <v>493</v>
      </c>
      <c r="D85" s="1290" t="s">
        <v>494</v>
      </c>
      <c r="E85" s="1290" t="s">
        <v>1360</v>
      </c>
      <c r="F85" s="1309">
        <v>336549.53053401061</v>
      </c>
      <c r="G85" s="918" t="s">
        <v>2062</v>
      </c>
      <c r="H85" s="1288"/>
      <c r="I85" s="185" t="str">
        <f t="shared" si="1"/>
        <v>1898301</v>
      </c>
      <c r="J85" s="185"/>
      <c r="K85" s="185"/>
      <c r="L85" s="185"/>
    </row>
    <row r="86" spans="1:12" ht="15.75" thickBot="1">
      <c r="A86" s="915" t="s">
        <v>492</v>
      </c>
      <c r="B86" s="1288">
        <v>64171</v>
      </c>
      <c r="C86" s="1289" t="s">
        <v>493</v>
      </c>
      <c r="D86" s="1289" t="s">
        <v>496</v>
      </c>
      <c r="E86" s="1289" t="s">
        <v>1360</v>
      </c>
      <c r="F86" s="1308">
        <v>63113.848079228927</v>
      </c>
      <c r="G86" s="918" t="s">
        <v>2063</v>
      </c>
      <c r="H86" s="1288"/>
      <c r="I86" s="185" t="str">
        <f t="shared" si="1"/>
        <v>1898302</v>
      </c>
      <c r="J86" s="185"/>
      <c r="K86" s="185"/>
      <c r="L86" s="185"/>
    </row>
    <row r="87" spans="1:12" ht="15.75" thickBot="1">
      <c r="A87" s="915" t="s">
        <v>492</v>
      </c>
      <c r="B87" s="1288">
        <v>64171</v>
      </c>
      <c r="C87" s="1290" t="s">
        <v>493</v>
      </c>
      <c r="D87" s="1290" t="s">
        <v>497</v>
      </c>
      <c r="E87" s="1290" t="s">
        <v>1360</v>
      </c>
      <c r="F87" s="1309">
        <v>104861.99805464871</v>
      </c>
      <c r="G87" s="918" t="s">
        <v>1388</v>
      </c>
      <c r="H87" s="1288"/>
      <c r="I87" s="185" t="str">
        <f t="shared" si="1"/>
        <v>1898303</v>
      </c>
      <c r="J87" s="185"/>
      <c r="K87" s="185"/>
      <c r="L87" s="185"/>
    </row>
    <row r="88" spans="1:12" ht="15.75" thickBot="1">
      <c r="A88" s="915" t="s">
        <v>492</v>
      </c>
      <c r="B88" s="1288">
        <v>64171</v>
      </c>
      <c r="C88" s="1289" t="s">
        <v>493</v>
      </c>
      <c r="D88" s="1289" t="s">
        <v>498</v>
      </c>
      <c r="E88" s="1289" t="s">
        <v>1360</v>
      </c>
      <c r="F88" s="1308">
        <v>33863.017280390392</v>
      </c>
      <c r="G88" s="918" t="s">
        <v>1389</v>
      </c>
      <c r="H88" s="1288"/>
      <c r="I88" s="185" t="str">
        <f t="shared" si="1"/>
        <v>1898304</v>
      </c>
      <c r="J88" s="185"/>
      <c r="K88" s="185"/>
      <c r="L88" s="185"/>
    </row>
    <row r="89" spans="1:12" ht="15.75" thickBot="1">
      <c r="A89" s="915" t="s">
        <v>492</v>
      </c>
      <c r="B89" s="1288">
        <v>64171</v>
      </c>
      <c r="C89" s="1290" t="s">
        <v>493</v>
      </c>
      <c r="D89" s="1290" t="s">
        <v>499</v>
      </c>
      <c r="E89" s="1290" t="s">
        <v>1360</v>
      </c>
      <c r="F89" s="1309">
        <v>580537.07864287286</v>
      </c>
      <c r="G89" s="918" t="s">
        <v>2064</v>
      </c>
      <c r="H89" s="1288"/>
      <c r="I89" s="185" t="str">
        <f t="shared" si="1"/>
        <v>1898305</v>
      </c>
      <c r="J89" s="185"/>
      <c r="K89" s="185"/>
      <c r="L89" s="185"/>
    </row>
    <row r="90" spans="1:12" ht="15.75" thickBot="1">
      <c r="A90" s="915" t="s">
        <v>492</v>
      </c>
      <c r="B90" s="1288">
        <v>64171</v>
      </c>
      <c r="C90" s="1289" t="s">
        <v>493</v>
      </c>
      <c r="D90" s="1289" t="s">
        <v>500</v>
      </c>
      <c r="E90" s="1289" t="s">
        <v>1360</v>
      </c>
      <c r="F90" s="1308">
        <v>70522.350321540929</v>
      </c>
      <c r="G90" s="918" t="s">
        <v>1390</v>
      </c>
      <c r="H90" s="1288"/>
      <c r="I90" s="185" t="str">
        <f t="shared" si="1"/>
        <v>1898306</v>
      </c>
      <c r="J90" s="185"/>
      <c r="K90" s="185"/>
      <c r="L90" s="185"/>
    </row>
    <row r="91" spans="1:12" ht="15.75" thickBot="1">
      <c r="A91" s="915" t="s">
        <v>492</v>
      </c>
      <c r="B91" s="1288">
        <v>64171</v>
      </c>
      <c r="C91" s="1290" t="s">
        <v>493</v>
      </c>
      <c r="D91" s="1290" t="s">
        <v>501</v>
      </c>
      <c r="E91" s="1290" t="s">
        <v>1360</v>
      </c>
      <c r="F91" s="1309">
        <v>7206.7911464112876</v>
      </c>
      <c r="G91" s="918" t="s">
        <v>2065</v>
      </c>
      <c r="H91" s="1288"/>
      <c r="I91" s="185" t="str">
        <f t="shared" si="1"/>
        <v>1898307</v>
      </c>
      <c r="J91" s="185"/>
      <c r="K91" s="185"/>
      <c r="L91" s="185"/>
    </row>
    <row r="92" spans="1:12" ht="15.75" thickBot="1">
      <c r="A92" s="915" t="s">
        <v>492</v>
      </c>
      <c r="B92" s="1288">
        <v>64171</v>
      </c>
      <c r="C92" s="1289" t="s">
        <v>493</v>
      </c>
      <c r="D92" s="1289" t="s">
        <v>502</v>
      </c>
      <c r="E92" s="1289" t="s">
        <v>1360</v>
      </c>
      <c r="F92" s="1308">
        <v>112426.18310841062</v>
      </c>
      <c r="G92" s="918" t="s">
        <v>1391</v>
      </c>
      <c r="H92" s="1288"/>
      <c r="I92" s="185" t="str">
        <f t="shared" si="1"/>
        <v>1898308</v>
      </c>
      <c r="J92" s="185"/>
      <c r="K92" s="185"/>
      <c r="L92" s="185"/>
    </row>
    <row r="93" spans="1:12" ht="15.75" thickBot="1">
      <c r="A93" s="915" t="s">
        <v>492</v>
      </c>
      <c r="B93" s="1288">
        <v>64171</v>
      </c>
      <c r="C93" s="1290" t="s">
        <v>493</v>
      </c>
      <c r="D93" s="1290" t="s">
        <v>503</v>
      </c>
      <c r="E93" s="1290" t="s">
        <v>1360</v>
      </c>
      <c r="F93" s="1309">
        <v>231542.34329193144</v>
      </c>
      <c r="G93" s="918" t="s">
        <v>2066</v>
      </c>
      <c r="H93" s="1288"/>
      <c r="I93" s="185" t="str">
        <f t="shared" si="1"/>
        <v>1898309</v>
      </c>
      <c r="J93" s="185"/>
      <c r="K93" s="185"/>
      <c r="L93" s="185"/>
    </row>
    <row r="94" spans="1:12" ht="15.75" thickBot="1">
      <c r="A94" s="915" t="s">
        <v>492</v>
      </c>
      <c r="B94" s="1288">
        <v>64171</v>
      </c>
      <c r="C94" s="1290" t="s">
        <v>493</v>
      </c>
      <c r="D94" s="1290" t="s">
        <v>494</v>
      </c>
      <c r="E94" s="1290" t="s">
        <v>510</v>
      </c>
      <c r="F94" s="1309">
        <v>211297.62075952996</v>
      </c>
      <c r="G94" s="918" t="s">
        <v>2062</v>
      </c>
      <c r="H94" s="1288"/>
      <c r="I94" s="185" t="str">
        <f t="shared" si="1"/>
        <v>1898301</v>
      </c>
      <c r="J94" s="185"/>
      <c r="K94" s="185"/>
      <c r="L94" s="185"/>
    </row>
    <row r="95" spans="1:12" ht="15.75" thickBot="1">
      <c r="A95" s="915" t="s">
        <v>492</v>
      </c>
      <c r="B95" s="1288">
        <v>64171</v>
      </c>
      <c r="C95" s="1289" t="s">
        <v>493</v>
      </c>
      <c r="D95" s="1289" t="s">
        <v>496</v>
      </c>
      <c r="E95" s="1289" t="s">
        <v>510</v>
      </c>
      <c r="F95" s="1308">
        <v>91691.80144316869</v>
      </c>
      <c r="G95" s="918" t="s">
        <v>2063</v>
      </c>
      <c r="H95" s="1288"/>
      <c r="I95" s="185" t="str">
        <f t="shared" si="1"/>
        <v>1898302</v>
      </c>
      <c r="J95" s="185"/>
      <c r="K95" s="185"/>
      <c r="L95" s="185"/>
    </row>
    <row r="96" spans="1:12" ht="15.75" thickBot="1">
      <c r="A96" s="915" t="s">
        <v>492</v>
      </c>
      <c r="B96" s="1288">
        <v>64171</v>
      </c>
      <c r="C96" s="1290" t="s">
        <v>493</v>
      </c>
      <c r="D96" s="1290" t="s">
        <v>497</v>
      </c>
      <c r="E96" s="1290" t="s">
        <v>510</v>
      </c>
      <c r="F96" s="1309">
        <v>328318.32861702086</v>
      </c>
      <c r="G96" s="918" t="s">
        <v>1388</v>
      </c>
      <c r="H96" s="1288"/>
      <c r="I96" s="185" t="str">
        <f t="shared" si="1"/>
        <v>1898303</v>
      </c>
      <c r="J96" s="185"/>
      <c r="K96" s="185"/>
      <c r="L96" s="185"/>
    </row>
    <row r="97" spans="1:12" ht="15.75" thickBot="1">
      <c r="A97" s="915" t="s">
        <v>492</v>
      </c>
      <c r="B97" s="1288">
        <v>64171</v>
      </c>
      <c r="C97" s="1289" t="s">
        <v>493</v>
      </c>
      <c r="D97" s="1289" t="s">
        <v>498</v>
      </c>
      <c r="E97" s="1289" t="s">
        <v>510</v>
      </c>
      <c r="F97" s="1308">
        <v>54317.492940624456</v>
      </c>
      <c r="G97" s="918" t="s">
        <v>1389</v>
      </c>
      <c r="H97" s="1288"/>
      <c r="I97" s="185" t="str">
        <f t="shared" si="1"/>
        <v>1898304</v>
      </c>
      <c r="J97" s="185"/>
      <c r="K97" s="185"/>
      <c r="L97" s="185"/>
    </row>
    <row r="98" spans="1:12" ht="15.75" thickBot="1">
      <c r="A98" s="915" t="s">
        <v>492</v>
      </c>
      <c r="B98" s="1288">
        <v>64171</v>
      </c>
      <c r="C98" s="1290" t="s">
        <v>493</v>
      </c>
      <c r="D98" s="1290" t="s">
        <v>499</v>
      </c>
      <c r="E98" s="1290" t="s">
        <v>510</v>
      </c>
      <c r="F98" s="1309">
        <v>38770.944288852268</v>
      </c>
      <c r="G98" s="918" t="s">
        <v>2064</v>
      </c>
      <c r="H98" s="1288"/>
      <c r="I98" s="185" t="str">
        <f t="shared" si="1"/>
        <v>1898305</v>
      </c>
      <c r="J98" s="185"/>
      <c r="K98" s="185"/>
      <c r="L98" s="185"/>
    </row>
    <row r="99" spans="1:12" ht="15.75" thickBot="1">
      <c r="A99" s="915" t="s">
        <v>492</v>
      </c>
      <c r="B99" s="1288">
        <v>64171</v>
      </c>
      <c r="C99" s="1289" t="s">
        <v>493</v>
      </c>
      <c r="D99" s="1289" t="s">
        <v>500</v>
      </c>
      <c r="E99" s="1289" t="s">
        <v>510</v>
      </c>
      <c r="F99" s="1308">
        <v>4582.8825805508159</v>
      </c>
      <c r="G99" s="918" t="s">
        <v>1390</v>
      </c>
      <c r="H99" s="1288"/>
      <c r="I99" s="185" t="str">
        <f t="shared" si="1"/>
        <v>1898306</v>
      </c>
      <c r="J99" s="185"/>
      <c r="K99" s="185"/>
      <c r="L99" s="185"/>
    </row>
    <row r="100" spans="1:12" ht="15.75" thickBot="1">
      <c r="A100" s="915" t="s">
        <v>492</v>
      </c>
      <c r="B100" s="1288">
        <v>64171</v>
      </c>
      <c r="C100" s="1290" t="s">
        <v>493</v>
      </c>
      <c r="D100" s="1290" t="s">
        <v>501</v>
      </c>
      <c r="E100" s="1290" t="s">
        <v>510</v>
      </c>
      <c r="F100" s="1309">
        <v>121985.30280865473</v>
      </c>
      <c r="G100" s="918" t="s">
        <v>2065</v>
      </c>
      <c r="H100" s="1288"/>
      <c r="I100" s="185" t="str">
        <f t="shared" si="1"/>
        <v>1898307</v>
      </c>
      <c r="J100" s="185"/>
      <c r="K100" s="185"/>
      <c r="L100" s="185"/>
    </row>
    <row r="101" spans="1:12" ht="15.75" thickBot="1">
      <c r="A101" s="915" t="s">
        <v>492</v>
      </c>
      <c r="B101" s="1288">
        <v>64171</v>
      </c>
      <c r="C101" s="1289" t="s">
        <v>493</v>
      </c>
      <c r="D101" s="1289" t="s">
        <v>502</v>
      </c>
      <c r="E101" s="1289" t="s">
        <v>510</v>
      </c>
      <c r="F101" s="1308">
        <v>2731.4817520216016</v>
      </c>
      <c r="G101" s="918" t="s">
        <v>1391</v>
      </c>
      <c r="H101" s="1288"/>
      <c r="I101" s="185" t="str">
        <f t="shared" si="1"/>
        <v>1898308</v>
      </c>
      <c r="J101" s="185"/>
      <c r="K101" s="185"/>
      <c r="L101" s="185"/>
    </row>
    <row r="102" spans="1:12" ht="15.75" thickBot="1">
      <c r="A102" s="915" t="s">
        <v>492</v>
      </c>
      <c r="B102" s="1288">
        <v>64171</v>
      </c>
      <c r="C102" s="1290" t="s">
        <v>493</v>
      </c>
      <c r="D102" s="1290" t="s">
        <v>503</v>
      </c>
      <c r="E102" s="1290" t="s">
        <v>510</v>
      </c>
      <c r="F102" s="1309">
        <v>122882.64913788602</v>
      </c>
      <c r="G102" s="918" t="s">
        <v>2066</v>
      </c>
      <c r="H102" s="1288"/>
      <c r="I102" s="185" t="str">
        <f t="shared" si="1"/>
        <v>1898309</v>
      </c>
      <c r="J102" s="185"/>
      <c r="K102" s="185"/>
      <c r="L102" s="185"/>
    </row>
    <row r="103" spans="1:12" ht="15.75" thickBot="1">
      <c r="A103" s="915" t="s">
        <v>492</v>
      </c>
      <c r="B103" s="1288">
        <v>64171</v>
      </c>
      <c r="C103" s="1290" t="s">
        <v>493</v>
      </c>
      <c r="D103" s="1290" t="s">
        <v>494</v>
      </c>
      <c r="E103" s="1290" t="s">
        <v>991</v>
      </c>
      <c r="F103" s="1309">
        <v>543743.79310248944</v>
      </c>
      <c r="G103" s="918" t="s">
        <v>2062</v>
      </c>
      <c r="H103" s="1288"/>
      <c r="I103" s="185" t="str">
        <f t="shared" si="1"/>
        <v>1898301</v>
      </c>
      <c r="J103" s="185"/>
      <c r="K103" s="185"/>
      <c r="L103" s="185"/>
    </row>
    <row r="104" spans="1:12" ht="15.75" thickBot="1">
      <c r="A104" s="915" t="s">
        <v>492</v>
      </c>
      <c r="B104" s="1288">
        <v>64171</v>
      </c>
      <c r="C104" s="1289" t="s">
        <v>493</v>
      </c>
      <c r="D104" s="1289" t="s">
        <v>496</v>
      </c>
      <c r="E104" s="1289" t="s">
        <v>991</v>
      </c>
      <c r="F104" s="1308">
        <v>192661.59078142123</v>
      </c>
      <c r="G104" s="918" t="s">
        <v>2063</v>
      </c>
      <c r="H104" s="1288"/>
      <c r="I104" s="185" t="str">
        <f t="shared" si="1"/>
        <v>1898302</v>
      </c>
      <c r="J104" s="185"/>
      <c r="K104" s="185"/>
      <c r="L104" s="185"/>
    </row>
    <row r="105" spans="1:12" ht="15.75" thickBot="1">
      <c r="A105" s="915" t="s">
        <v>492</v>
      </c>
      <c r="B105" s="1288">
        <v>64171</v>
      </c>
      <c r="C105" s="1290" t="s">
        <v>493</v>
      </c>
      <c r="D105" s="1290" t="s">
        <v>497</v>
      </c>
      <c r="E105" s="1290" t="s">
        <v>991</v>
      </c>
      <c r="F105" s="1309">
        <v>505385.00134508096</v>
      </c>
      <c r="G105" s="918" t="s">
        <v>1388</v>
      </c>
      <c r="H105" s="1288"/>
      <c r="I105" s="185" t="str">
        <f t="shared" si="1"/>
        <v>1898303</v>
      </c>
      <c r="J105" s="185"/>
      <c r="K105" s="185"/>
      <c r="L105" s="185"/>
    </row>
    <row r="106" spans="1:12" ht="15.75" thickBot="1">
      <c r="A106" s="915" t="s">
        <v>492</v>
      </c>
      <c r="B106" s="1288">
        <v>64171</v>
      </c>
      <c r="C106" s="1289" t="s">
        <v>493</v>
      </c>
      <c r="D106" s="1289" t="s">
        <v>498</v>
      </c>
      <c r="E106" s="1289" t="s">
        <v>991</v>
      </c>
      <c r="F106" s="1308">
        <v>77543.796505172766</v>
      </c>
      <c r="G106" s="918" t="s">
        <v>1389</v>
      </c>
      <c r="H106" s="1288"/>
      <c r="I106" s="185" t="str">
        <f t="shared" si="1"/>
        <v>1898304</v>
      </c>
      <c r="J106" s="185"/>
      <c r="K106" s="185"/>
      <c r="L106" s="185"/>
    </row>
    <row r="107" spans="1:12" ht="15.75" thickBot="1">
      <c r="A107" s="915" t="s">
        <v>492</v>
      </c>
      <c r="B107" s="1288">
        <v>64171</v>
      </c>
      <c r="C107" s="1290" t="s">
        <v>493</v>
      </c>
      <c r="D107" s="1290" t="s">
        <v>499</v>
      </c>
      <c r="E107" s="1290" t="s">
        <v>991</v>
      </c>
      <c r="F107" s="1309">
        <v>221050.54858482431</v>
      </c>
      <c r="G107" s="918" t="s">
        <v>2064</v>
      </c>
      <c r="H107" s="1288"/>
      <c r="I107" s="185" t="str">
        <f t="shared" si="1"/>
        <v>1898305</v>
      </c>
      <c r="J107" s="185"/>
      <c r="K107" s="185"/>
      <c r="L107" s="185"/>
    </row>
    <row r="108" spans="1:12" ht="15.75" thickBot="1">
      <c r="A108" s="915" t="s">
        <v>492</v>
      </c>
      <c r="B108" s="1288">
        <v>64171</v>
      </c>
      <c r="C108" s="1289" t="s">
        <v>493</v>
      </c>
      <c r="D108" s="1289" t="s">
        <v>500</v>
      </c>
      <c r="E108" s="1289" t="s">
        <v>991</v>
      </c>
      <c r="F108" s="1308">
        <v>171493.74282855127</v>
      </c>
      <c r="G108" s="918" t="s">
        <v>1390</v>
      </c>
      <c r="H108" s="1288"/>
      <c r="I108" s="185" t="str">
        <f t="shared" si="1"/>
        <v>1898306</v>
      </c>
      <c r="J108" s="185"/>
      <c r="K108" s="185"/>
      <c r="L108" s="185"/>
    </row>
    <row r="109" spans="1:12" ht="15.75" thickBot="1">
      <c r="A109" s="915" t="s">
        <v>492</v>
      </c>
      <c r="B109" s="1288">
        <v>64171</v>
      </c>
      <c r="C109" s="1290" t="s">
        <v>493</v>
      </c>
      <c r="D109" s="1290" t="s">
        <v>501</v>
      </c>
      <c r="E109" s="1290" t="s">
        <v>991</v>
      </c>
      <c r="F109" s="1309">
        <v>65139.585426509606</v>
      </c>
      <c r="G109" s="918" t="s">
        <v>2065</v>
      </c>
      <c r="H109" s="1288"/>
      <c r="I109" s="185" t="str">
        <f t="shared" si="1"/>
        <v>1898307</v>
      </c>
      <c r="J109" s="185"/>
      <c r="K109" s="185"/>
      <c r="L109" s="185"/>
    </row>
    <row r="110" spans="1:12" ht="15.75" thickBot="1">
      <c r="A110" s="915" t="s">
        <v>492</v>
      </c>
      <c r="B110" s="1288">
        <v>64171</v>
      </c>
      <c r="C110" s="1289" t="s">
        <v>493</v>
      </c>
      <c r="D110" s="1289" t="s">
        <v>502</v>
      </c>
      <c r="E110" s="1289" t="s">
        <v>991</v>
      </c>
      <c r="F110" s="1308">
        <v>165754.14810531543</v>
      </c>
      <c r="G110" s="918" t="s">
        <v>1391</v>
      </c>
      <c r="H110" s="1288"/>
      <c r="I110" s="185" t="str">
        <f t="shared" si="1"/>
        <v>1898308</v>
      </c>
      <c r="J110" s="185"/>
      <c r="K110" s="185"/>
      <c r="L110" s="185"/>
    </row>
    <row r="111" spans="1:12" ht="15.75" thickBot="1">
      <c r="A111" s="915" t="s">
        <v>492</v>
      </c>
      <c r="B111" s="1288">
        <v>64171</v>
      </c>
      <c r="C111" s="1290" t="s">
        <v>493</v>
      </c>
      <c r="D111" s="1290" t="s">
        <v>503</v>
      </c>
      <c r="E111" s="1290" t="s">
        <v>991</v>
      </c>
      <c r="F111" s="1309">
        <v>205259.54007823998</v>
      </c>
      <c r="G111" s="918" t="s">
        <v>2066</v>
      </c>
      <c r="H111" s="1288"/>
      <c r="I111" s="185" t="str">
        <f t="shared" si="1"/>
        <v>1898309</v>
      </c>
      <c r="J111" s="185"/>
      <c r="K111" s="185"/>
      <c r="L111" s="185"/>
    </row>
    <row r="112" spans="1:12" ht="15.75" thickBot="1">
      <c r="A112" s="915" t="s">
        <v>492</v>
      </c>
      <c r="B112" s="1288">
        <v>64171</v>
      </c>
      <c r="C112" s="1290" t="s">
        <v>493</v>
      </c>
      <c r="D112" s="1290" t="s">
        <v>494</v>
      </c>
      <c r="E112" s="1290" t="s">
        <v>506</v>
      </c>
      <c r="F112" s="561">
        <v>946234.3574988097</v>
      </c>
      <c r="G112" s="918" t="s">
        <v>2062</v>
      </c>
      <c r="H112" s="1288"/>
      <c r="I112" s="185" t="str">
        <f t="shared" si="1"/>
        <v>1898301</v>
      </c>
      <c r="J112" s="185"/>
      <c r="K112" s="185"/>
      <c r="L112" s="185"/>
    </row>
    <row r="113" spans="1:12" ht="15.75" thickBot="1">
      <c r="A113" s="915" t="s">
        <v>492</v>
      </c>
      <c r="B113" s="1288">
        <v>64171</v>
      </c>
      <c r="C113" s="1289" t="s">
        <v>493</v>
      </c>
      <c r="D113" s="1289" t="s">
        <v>496</v>
      </c>
      <c r="E113" s="1289" t="s">
        <v>506</v>
      </c>
      <c r="F113" s="561">
        <v>48125.129279390676</v>
      </c>
      <c r="G113" s="918" t="s">
        <v>2063</v>
      </c>
      <c r="H113" s="1288"/>
      <c r="I113" s="185" t="str">
        <f t="shared" si="1"/>
        <v>1898302</v>
      </c>
      <c r="J113" s="185"/>
      <c r="K113" s="185"/>
      <c r="L113" s="185"/>
    </row>
    <row r="114" spans="1:12" ht="15.75" thickBot="1">
      <c r="A114" s="915" t="s">
        <v>492</v>
      </c>
      <c r="B114" s="1288">
        <v>64171</v>
      </c>
      <c r="C114" s="1290" t="s">
        <v>493</v>
      </c>
      <c r="D114" s="1290" t="s">
        <v>498</v>
      </c>
      <c r="E114" s="1290" t="s">
        <v>506</v>
      </c>
      <c r="F114" s="561">
        <v>169973.21774048847</v>
      </c>
      <c r="G114" s="918" t="s">
        <v>1389</v>
      </c>
      <c r="H114" s="1288"/>
      <c r="I114" s="185" t="str">
        <f t="shared" si="1"/>
        <v>1898304</v>
      </c>
      <c r="J114" s="185"/>
      <c r="K114" s="185"/>
      <c r="L114" s="185"/>
    </row>
    <row r="115" spans="1:12" ht="15.75" thickBot="1">
      <c r="A115" s="915" t="s">
        <v>492</v>
      </c>
      <c r="B115" s="1288">
        <v>64171</v>
      </c>
      <c r="C115" s="1289" t="s">
        <v>493</v>
      </c>
      <c r="D115" s="1289" t="s">
        <v>499</v>
      </c>
      <c r="E115" s="1289" t="s">
        <v>506</v>
      </c>
      <c r="F115" s="561">
        <v>2926.3165760372067</v>
      </c>
      <c r="G115" s="918" t="s">
        <v>2064</v>
      </c>
      <c r="H115" s="1288"/>
      <c r="I115" s="185" t="str">
        <f t="shared" si="1"/>
        <v>1898305</v>
      </c>
      <c r="J115" s="185"/>
      <c r="K115" s="185"/>
      <c r="L115" s="185"/>
    </row>
    <row r="116" spans="1:12" ht="15.75" thickBot="1">
      <c r="A116" s="915" t="s">
        <v>492</v>
      </c>
      <c r="B116" s="1288">
        <v>64171</v>
      </c>
      <c r="C116" s="1290" t="s">
        <v>493</v>
      </c>
      <c r="D116" s="1290" t="s">
        <v>500</v>
      </c>
      <c r="E116" s="1290" t="s">
        <v>506</v>
      </c>
      <c r="F116" s="561">
        <v>23169.199628425064</v>
      </c>
      <c r="G116" s="918" t="s">
        <v>1390</v>
      </c>
      <c r="H116" s="1288"/>
      <c r="I116" s="185" t="str">
        <f t="shared" si="1"/>
        <v>1898306</v>
      </c>
      <c r="J116" s="185"/>
      <c r="K116" s="185"/>
      <c r="L116" s="185"/>
    </row>
    <row r="117" spans="1:12" ht="15.75" thickBot="1">
      <c r="A117" s="915" t="s">
        <v>492</v>
      </c>
      <c r="B117" s="1288">
        <v>64171</v>
      </c>
      <c r="C117" s="1290" t="s">
        <v>493</v>
      </c>
      <c r="D117" s="1290" t="s">
        <v>501</v>
      </c>
      <c r="E117" s="1290" t="s">
        <v>506</v>
      </c>
      <c r="F117" s="561">
        <v>12634.450207320508</v>
      </c>
      <c r="G117" s="918" t="s">
        <v>2065</v>
      </c>
      <c r="H117" s="1288"/>
      <c r="I117" s="185" t="str">
        <f t="shared" si="1"/>
        <v>1898307</v>
      </c>
      <c r="J117" s="185"/>
      <c r="K117" s="185"/>
      <c r="L117" s="185"/>
    </row>
    <row r="118" spans="1:12" ht="15.75" thickBot="1">
      <c r="A118" s="915" t="s">
        <v>492</v>
      </c>
      <c r="B118" s="1288">
        <v>64171</v>
      </c>
      <c r="C118" s="1289" t="s">
        <v>493</v>
      </c>
      <c r="D118" s="1289" t="s">
        <v>502</v>
      </c>
      <c r="E118" s="1289" t="s">
        <v>506</v>
      </c>
      <c r="F118" s="561">
        <v>20155.288154328242</v>
      </c>
      <c r="G118" s="918" t="s">
        <v>1391</v>
      </c>
      <c r="H118" s="1288"/>
      <c r="I118" s="185" t="str">
        <f t="shared" si="1"/>
        <v>1898308</v>
      </c>
      <c r="J118" s="185"/>
      <c r="K118" s="185"/>
      <c r="L118" s="185"/>
    </row>
    <row r="119" spans="1:12" ht="15.75" thickBot="1">
      <c r="A119" s="915" t="s">
        <v>492</v>
      </c>
      <c r="B119" s="1288">
        <v>64171</v>
      </c>
      <c r="C119" s="1290" t="s">
        <v>493</v>
      </c>
      <c r="D119" s="1290" t="s">
        <v>503</v>
      </c>
      <c r="E119" s="1290" t="s">
        <v>506</v>
      </c>
      <c r="F119" s="561">
        <v>14575.210220654029</v>
      </c>
      <c r="G119" s="918" t="s">
        <v>2066</v>
      </c>
      <c r="H119" s="1288"/>
      <c r="I119" s="185" t="str">
        <f t="shared" si="1"/>
        <v>1898309</v>
      </c>
      <c r="J119" s="185"/>
      <c r="K119" s="185"/>
      <c r="L119" s="185"/>
    </row>
    <row r="120" spans="1:12" ht="15.75" thickBot="1">
      <c r="A120" s="915" t="s">
        <v>492</v>
      </c>
      <c r="B120" s="1288">
        <v>64171</v>
      </c>
      <c r="C120" s="1289" t="s">
        <v>493</v>
      </c>
      <c r="D120" s="1289" t="s">
        <v>504</v>
      </c>
      <c r="E120" s="1289" t="s">
        <v>506</v>
      </c>
      <c r="F120" s="561">
        <v>29973.53833973594</v>
      </c>
      <c r="G120" s="918" t="s">
        <v>2067</v>
      </c>
      <c r="H120" s="1288"/>
      <c r="I120" s="185" t="str">
        <f t="shared" si="1"/>
        <v>1898310</v>
      </c>
      <c r="J120" s="185"/>
      <c r="K120" s="185"/>
      <c r="L120" s="185"/>
    </row>
    <row r="121" spans="1:12" ht="15.75" thickBot="1">
      <c r="A121" s="915" t="s">
        <v>492</v>
      </c>
      <c r="B121" s="1288">
        <v>64171</v>
      </c>
      <c r="C121" s="1290" t="s">
        <v>493</v>
      </c>
      <c r="D121" s="1290" t="s">
        <v>494</v>
      </c>
      <c r="E121" s="1290" t="s">
        <v>507</v>
      </c>
      <c r="F121" s="1309">
        <v>38595.450638978567</v>
      </c>
      <c r="G121" s="918" t="s">
        <v>2062</v>
      </c>
      <c r="H121" s="1288"/>
      <c r="I121" s="185" t="str">
        <f t="shared" si="1"/>
        <v>1898301</v>
      </c>
      <c r="J121" s="185"/>
      <c r="K121" s="185"/>
      <c r="L121" s="185"/>
    </row>
    <row r="122" spans="1:12" ht="15.75" thickBot="1">
      <c r="A122" s="915" t="s">
        <v>492</v>
      </c>
      <c r="B122" s="1288">
        <v>64171</v>
      </c>
      <c r="C122" s="1289" t="s">
        <v>493</v>
      </c>
      <c r="D122" s="1289" t="s">
        <v>496</v>
      </c>
      <c r="E122" s="1289" t="s">
        <v>507</v>
      </c>
      <c r="F122" s="1308">
        <v>17665.459953892048</v>
      </c>
      <c r="G122" s="918" t="s">
        <v>2063</v>
      </c>
      <c r="H122" s="1288"/>
      <c r="I122" s="185" t="str">
        <f t="shared" si="1"/>
        <v>1898302</v>
      </c>
      <c r="J122" s="185"/>
      <c r="K122" s="185"/>
      <c r="L122" s="185"/>
    </row>
    <row r="123" spans="1:12" ht="15.75" thickBot="1">
      <c r="A123" s="915" t="s">
        <v>492</v>
      </c>
      <c r="B123" s="1288">
        <v>64171</v>
      </c>
      <c r="C123" s="1289" t="s">
        <v>493</v>
      </c>
      <c r="D123" s="1289" t="s">
        <v>498</v>
      </c>
      <c r="E123" s="1289" t="s">
        <v>507</v>
      </c>
      <c r="F123" s="1309">
        <v>3041.751125882724</v>
      </c>
      <c r="G123" s="918" t="s">
        <v>1389</v>
      </c>
      <c r="H123" s="1288"/>
      <c r="I123" s="185" t="str">
        <f t="shared" si="1"/>
        <v>1898304</v>
      </c>
      <c r="J123" s="185"/>
      <c r="K123" s="185"/>
      <c r="L123" s="185"/>
    </row>
    <row r="124" spans="1:12" ht="15.75" thickBot="1">
      <c r="A124" s="915" t="s">
        <v>492</v>
      </c>
      <c r="B124" s="1288">
        <v>64171</v>
      </c>
      <c r="C124" s="1290" t="s">
        <v>493</v>
      </c>
      <c r="D124" s="1290" t="s">
        <v>499</v>
      </c>
      <c r="E124" s="1290" t="s">
        <v>507</v>
      </c>
      <c r="F124" s="1308">
        <v>15990.123161881147</v>
      </c>
      <c r="G124" s="918" t="s">
        <v>2064</v>
      </c>
      <c r="H124" s="1288"/>
      <c r="I124" s="185" t="str">
        <f t="shared" si="1"/>
        <v>1898305</v>
      </c>
      <c r="J124" s="185"/>
      <c r="K124" s="185"/>
      <c r="L124" s="185"/>
    </row>
    <row r="125" spans="1:12" ht="15.75" thickBot="1">
      <c r="A125" s="915" t="s">
        <v>492</v>
      </c>
      <c r="B125" s="1288">
        <v>64171</v>
      </c>
      <c r="C125" s="1289" t="s">
        <v>493</v>
      </c>
      <c r="D125" s="1289" t="s">
        <v>500</v>
      </c>
      <c r="E125" s="1289" t="s">
        <v>507</v>
      </c>
      <c r="F125" s="1309">
        <v>7218.0490869288933</v>
      </c>
      <c r="G125" s="918" t="s">
        <v>1390</v>
      </c>
      <c r="H125" s="1288"/>
      <c r="I125" s="185" t="str">
        <f t="shared" si="1"/>
        <v>1898306</v>
      </c>
      <c r="J125" s="185"/>
      <c r="K125" s="185"/>
      <c r="L125" s="185"/>
    </row>
    <row r="126" spans="1:12" ht="15.75" thickBot="1">
      <c r="A126" s="915" t="s">
        <v>492</v>
      </c>
      <c r="B126" s="1288">
        <v>64171</v>
      </c>
      <c r="C126" s="1290" t="s">
        <v>493</v>
      </c>
      <c r="D126" s="1290" t="s">
        <v>501</v>
      </c>
      <c r="E126" s="1290" t="s">
        <v>507</v>
      </c>
      <c r="F126" s="1308">
        <v>4830.2665549737467</v>
      </c>
      <c r="G126" s="918" t="s">
        <v>2065</v>
      </c>
      <c r="H126" s="1288"/>
      <c r="I126" s="185" t="str">
        <f t="shared" si="1"/>
        <v>1898307</v>
      </c>
      <c r="J126" s="185"/>
      <c r="K126" s="185"/>
      <c r="L126" s="185"/>
    </row>
    <row r="127" spans="1:12" s="68" customFormat="1" ht="15.75" thickBot="1">
      <c r="A127" s="915" t="s">
        <v>492</v>
      </c>
      <c r="B127" s="1288">
        <v>64171</v>
      </c>
      <c r="C127" s="1289" t="s">
        <v>493</v>
      </c>
      <c r="D127" s="1289" t="s">
        <v>502</v>
      </c>
      <c r="E127" s="1289" t="s">
        <v>507</v>
      </c>
      <c r="F127" s="1309">
        <v>10157.043633567948</v>
      </c>
      <c r="G127" s="918" t="s">
        <v>1391</v>
      </c>
      <c r="H127" s="1288"/>
      <c r="I127" s="185" t="str">
        <f t="shared" si="1"/>
        <v>1898308</v>
      </c>
    </row>
    <row r="128" spans="1:12" s="68" customFormat="1" ht="15.75" thickBot="1">
      <c r="A128" s="915" t="s">
        <v>492</v>
      </c>
      <c r="B128" s="1288">
        <v>64171</v>
      </c>
      <c r="C128" s="1290" t="s">
        <v>493</v>
      </c>
      <c r="D128" s="1290" t="s">
        <v>503</v>
      </c>
      <c r="E128" s="1290" t="s">
        <v>507</v>
      </c>
      <c r="F128" s="1308">
        <v>23091.51097150605</v>
      </c>
      <c r="G128" s="918" t="s">
        <v>2066</v>
      </c>
      <c r="H128" s="1288"/>
      <c r="I128" s="185" t="str">
        <f t="shared" si="1"/>
        <v>1898309</v>
      </c>
    </row>
    <row r="129" spans="1:12" s="68" customFormat="1" ht="15.75" thickBot="1">
      <c r="A129" s="915" t="s">
        <v>492</v>
      </c>
      <c r="B129" s="1288">
        <v>64171</v>
      </c>
      <c r="C129" s="1290" t="s">
        <v>493</v>
      </c>
      <c r="D129" s="1290" t="s">
        <v>494</v>
      </c>
      <c r="E129" s="1290" t="s">
        <v>992</v>
      </c>
      <c r="F129" s="1309">
        <v>70793.038730073866</v>
      </c>
      <c r="G129" s="918" t="s">
        <v>2062</v>
      </c>
      <c r="H129" s="1288"/>
      <c r="I129" s="185" t="str">
        <f t="shared" si="1"/>
        <v>1898301</v>
      </c>
    </row>
    <row r="130" spans="1:12" s="68" customFormat="1" ht="15.75" thickBot="1">
      <c r="A130" s="915" t="s">
        <v>492</v>
      </c>
      <c r="B130" s="1288">
        <v>64171</v>
      </c>
      <c r="C130" s="1289" t="s">
        <v>493</v>
      </c>
      <c r="D130" s="1289" t="s">
        <v>496</v>
      </c>
      <c r="E130" s="1289" t="s">
        <v>992</v>
      </c>
      <c r="F130" s="1308">
        <v>-20696.693892840347</v>
      </c>
      <c r="G130" s="918" t="s">
        <v>2063</v>
      </c>
      <c r="H130" s="1288"/>
      <c r="I130" s="185" t="str">
        <f t="shared" ref="I130:I193" si="2">RIGHT(D130,7)</f>
        <v>1898302</v>
      </c>
    </row>
    <row r="131" spans="1:12" s="68" customFormat="1" ht="15.75" thickBot="1">
      <c r="A131" s="915" t="s">
        <v>492</v>
      </c>
      <c r="B131" s="1288">
        <v>64171</v>
      </c>
      <c r="C131" s="1290" t="s">
        <v>493</v>
      </c>
      <c r="D131" s="1290" t="s">
        <v>497</v>
      </c>
      <c r="E131" s="1290" t="s">
        <v>992</v>
      </c>
      <c r="F131" s="1309">
        <v>268570.53245957941</v>
      </c>
      <c r="G131" s="918" t="s">
        <v>1388</v>
      </c>
      <c r="H131" s="1288"/>
      <c r="I131" s="185" t="str">
        <f t="shared" si="2"/>
        <v>1898303</v>
      </c>
    </row>
    <row r="132" spans="1:12" ht="15.75" thickBot="1">
      <c r="A132" s="915" t="s">
        <v>492</v>
      </c>
      <c r="B132" s="1288">
        <v>64171</v>
      </c>
      <c r="C132" s="1289" t="s">
        <v>493</v>
      </c>
      <c r="D132" s="1289" t="s">
        <v>498</v>
      </c>
      <c r="E132" s="1289" t="s">
        <v>992</v>
      </c>
      <c r="F132" s="1308">
        <v>2358.6056751563383</v>
      </c>
      <c r="G132" s="918" t="s">
        <v>1389</v>
      </c>
      <c r="H132" s="1288"/>
      <c r="I132" s="185" t="str">
        <f t="shared" si="2"/>
        <v>1898304</v>
      </c>
      <c r="J132" s="185"/>
      <c r="K132" s="185"/>
      <c r="L132" s="185"/>
    </row>
    <row r="133" spans="1:12" ht="15.75" thickBot="1">
      <c r="A133" s="915" t="s">
        <v>492</v>
      </c>
      <c r="B133" s="1288">
        <v>64171</v>
      </c>
      <c r="C133" s="1290" t="s">
        <v>493</v>
      </c>
      <c r="D133" s="1290" t="s">
        <v>499</v>
      </c>
      <c r="E133" s="1290" t="s">
        <v>992</v>
      </c>
      <c r="F133" s="1309">
        <v>326.77198305729189</v>
      </c>
      <c r="G133" s="918" t="s">
        <v>2064</v>
      </c>
      <c r="H133" s="1288"/>
      <c r="I133" s="185" t="str">
        <f t="shared" si="2"/>
        <v>1898305</v>
      </c>
      <c r="J133" s="185"/>
      <c r="K133" s="185"/>
      <c r="L133" s="185"/>
    </row>
    <row r="134" spans="1:12" ht="15.75" thickBot="1">
      <c r="A134" s="915" t="s">
        <v>492</v>
      </c>
      <c r="B134" s="1288">
        <v>64171</v>
      </c>
      <c r="C134" s="1289" t="s">
        <v>493</v>
      </c>
      <c r="D134" s="1289" t="s">
        <v>500</v>
      </c>
      <c r="E134" s="1289" t="s">
        <v>992</v>
      </c>
      <c r="F134" s="1308">
        <v>6202.5211378914755</v>
      </c>
      <c r="G134" s="918" t="s">
        <v>1390</v>
      </c>
      <c r="H134" s="1288"/>
      <c r="I134" s="185" t="str">
        <f t="shared" si="2"/>
        <v>1898306</v>
      </c>
      <c r="J134" s="185"/>
      <c r="K134" s="185"/>
      <c r="L134" s="185"/>
    </row>
    <row r="135" spans="1:12" ht="15.75" thickBot="1">
      <c r="A135" s="915" t="s">
        <v>492</v>
      </c>
      <c r="B135" s="1288">
        <v>64171</v>
      </c>
      <c r="C135" s="1290" t="s">
        <v>493</v>
      </c>
      <c r="D135" s="1290" t="s">
        <v>501</v>
      </c>
      <c r="E135" s="1290" t="s">
        <v>992</v>
      </c>
      <c r="F135" s="1309">
        <v>2154.8887756696172</v>
      </c>
      <c r="G135" s="918" t="s">
        <v>2065</v>
      </c>
      <c r="H135" s="1288"/>
      <c r="I135" s="185" t="str">
        <f t="shared" si="2"/>
        <v>1898307</v>
      </c>
      <c r="J135" s="185"/>
      <c r="K135" s="185"/>
      <c r="L135" s="185"/>
    </row>
    <row r="136" spans="1:12" ht="15.75" thickBot="1">
      <c r="A136" s="915" t="s">
        <v>492</v>
      </c>
      <c r="B136" s="1288">
        <v>64171</v>
      </c>
      <c r="C136" s="1289" t="s">
        <v>493</v>
      </c>
      <c r="D136" s="1289" t="s">
        <v>502</v>
      </c>
      <c r="E136" s="1289" t="s">
        <v>992</v>
      </c>
      <c r="F136" s="1308">
        <v>7789.7668673081471</v>
      </c>
      <c r="G136" s="918" t="s">
        <v>1391</v>
      </c>
      <c r="H136" s="1288"/>
      <c r="I136" s="185" t="str">
        <f t="shared" si="2"/>
        <v>1898308</v>
      </c>
      <c r="J136" s="185"/>
      <c r="K136" s="185"/>
      <c r="L136" s="185"/>
    </row>
    <row r="137" spans="1:12" ht="15.75" thickBot="1">
      <c r="A137" s="915" t="s">
        <v>492</v>
      </c>
      <c r="B137" s="1288">
        <v>64171</v>
      </c>
      <c r="C137" s="1290" t="s">
        <v>493</v>
      </c>
      <c r="D137" s="1290" t="s">
        <v>503</v>
      </c>
      <c r="E137" s="1290" t="s">
        <v>992</v>
      </c>
      <c r="F137" s="1309">
        <v>18858.640164761691</v>
      </c>
      <c r="G137" s="918" t="s">
        <v>2066</v>
      </c>
      <c r="H137" s="1288"/>
      <c r="I137" s="185" t="str">
        <f t="shared" si="2"/>
        <v>1898309</v>
      </c>
      <c r="J137" s="185"/>
      <c r="K137" s="185"/>
      <c r="L137" s="185"/>
    </row>
    <row r="138" spans="1:12" ht="15.75" thickBot="1">
      <c r="A138" s="915" t="s">
        <v>492</v>
      </c>
      <c r="B138" s="1288">
        <v>64171</v>
      </c>
      <c r="C138" s="1290" t="s">
        <v>493</v>
      </c>
      <c r="D138" s="1290" t="s">
        <v>494</v>
      </c>
      <c r="E138" s="1290" t="s">
        <v>2221</v>
      </c>
      <c r="F138" s="1309">
        <v>8598.0244465998258</v>
      </c>
      <c r="G138" s="918" t="s">
        <v>2062</v>
      </c>
      <c r="H138" s="1288"/>
      <c r="I138" s="185" t="str">
        <f t="shared" si="2"/>
        <v>1898301</v>
      </c>
      <c r="J138" s="185"/>
      <c r="K138" s="185"/>
      <c r="L138" s="185"/>
    </row>
    <row r="139" spans="1:12" ht="15.75" thickBot="1">
      <c r="A139" s="915" t="s">
        <v>492</v>
      </c>
      <c r="B139" s="1288">
        <v>64171</v>
      </c>
      <c r="C139" s="1290" t="s">
        <v>493</v>
      </c>
      <c r="D139" s="1290" t="s">
        <v>496</v>
      </c>
      <c r="E139" s="1290" t="s">
        <v>2221</v>
      </c>
      <c r="F139" s="1309">
        <v>3621.4192905478699</v>
      </c>
      <c r="G139" s="918" t="s">
        <v>2063</v>
      </c>
      <c r="H139" s="1288"/>
      <c r="I139" s="185" t="str">
        <f t="shared" si="2"/>
        <v>1898302</v>
      </c>
      <c r="J139" s="185"/>
      <c r="K139" s="185"/>
      <c r="L139" s="185"/>
    </row>
    <row r="140" spans="1:12" ht="15.75" thickBot="1">
      <c r="A140" s="915" t="s">
        <v>492</v>
      </c>
      <c r="B140" s="1288">
        <v>64171</v>
      </c>
      <c r="C140" s="1289" t="s">
        <v>493</v>
      </c>
      <c r="D140" s="1289" t="s">
        <v>497</v>
      </c>
      <c r="E140" s="1289" t="s">
        <v>2221</v>
      </c>
      <c r="F140" s="1308">
        <v>14382.570463740418</v>
      </c>
      <c r="G140" s="918" t="s">
        <v>1388</v>
      </c>
      <c r="H140" s="1288"/>
      <c r="I140" s="185" t="str">
        <f t="shared" si="2"/>
        <v>1898303</v>
      </c>
      <c r="J140" s="185"/>
      <c r="K140" s="185"/>
      <c r="L140" s="185"/>
    </row>
    <row r="141" spans="1:12" ht="15.75" thickBot="1">
      <c r="A141" s="915" t="s">
        <v>492</v>
      </c>
      <c r="B141" s="1288">
        <v>64171</v>
      </c>
      <c r="C141" s="1289" t="s">
        <v>493</v>
      </c>
      <c r="D141" s="1289" t="s">
        <v>498</v>
      </c>
      <c r="E141" s="1289" t="s">
        <v>2221</v>
      </c>
      <c r="F141" s="1308">
        <v>2248.9030856141826</v>
      </c>
      <c r="G141" s="918" t="s">
        <v>1389</v>
      </c>
      <c r="H141" s="1288"/>
      <c r="I141" s="185" t="str">
        <f t="shared" si="2"/>
        <v>1898304</v>
      </c>
      <c r="J141" s="185"/>
      <c r="K141" s="185"/>
      <c r="L141" s="185"/>
    </row>
    <row r="142" spans="1:12" ht="15.75" thickBot="1">
      <c r="A142" s="915" t="s">
        <v>492</v>
      </c>
      <c r="B142" s="1288">
        <v>64171</v>
      </c>
      <c r="C142" s="1290" t="s">
        <v>493</v>
      </c>
      <c r="D142" s="1290" t="s">
        <v>501</v>
      </c>
      <c r="E142" s="1290" t="s">
        <v>2221</v>
      </c>
      <c r="F142" s="1309">
        <v>1289.7874423715957</v>
      </c>
      <c r="G142" s="918" t="s">
        <v>2065</v>
      </c>
      <c r="H142" s="1288"/>
      <c r="I142" s="185" t="str">
        <f t="shared" si="2"/>
        <v>1898307</v>
      </c>
      <c r="J142" s="185"/>
      <c r="K142" s="185"/>
      <c r="L142" s="185"/>
    </row>
    <row r="143" spans="1:12" s="68" customFormat="1" ht="15.75" thickBot="1">
      <c r="A143" s="199" t="s">
        <v>492</v>
      </c>
      <c r="B143" s="1311">
        <v>64171</v>
      </c>
      <c r="C143" s="1312" t="s">
        <v>493</v>
      </c>
      <c r="D143" s="1312" t="s">
        <v>502</v>
      </c>
      <c r="E143" s="1312" t="s">
        <v>2221</v>
      </c>
      <c r="F143" s="1313">
        <v>6843.8666048493005</v>
      </c>
      <c r="G143" s="203" t="s">
        <v>1391</v>
      </c>
      <c r="H143" s="1311"/>
      <c r="I143" s="185" t="str">
        <f t="shared" si="2"/>
        <v>1898308</v>
      </c>
    </row>
    <row r="144" spans="1:12" ht="15.75" thickBot="1">
      <c r="A144" s="915" t="s">
        <v>492</v>
      </c>
      <c r="B144" s="1288">
        <v>64171</v>
      </c>
      <c r="C144" s="1289" t="s">
        <v>493</v>
      </c>
      <c r="D144" s="1289" t="s">
        <v>494</v>
      </c>
      <c r="E144" s="1289" t="s">
        <v>976</v>
      </c>
      <c r="F144" s="1308">
        <v>222031.36413629138</v>
      </c>
      <c r="G144" s="918" t="s">
        <v>2062</v>
      </c>
      <c r="H144" s="1288"/>
      <c r="I144" s="185" t="str">
        <f t="shared" si="2"/>
        <v>1898301</v>
      </c>
      <c r="J144" s="185"/>
      <c r="K144" s="185"/>
      <c r="L144" s="185"/>
    </row>
    <row r="145" spans="1:12" ht="15.75" thickBot="1">
      <c r="A145" s="915" t="s">
        <v>492</v>
      </c>
      <c r="B145" s="1288">
        <v>64171</v>
      </c>
      <c r="C145" s="1290" t="s">
        <v>493</v>
      </c>
      <c r="D145" s="1290" t="s">
        <v>496</v>
      </c>
      <c r="E145" s="1290" t="s">
        <v>976</v>
      </c>
      <c r="F145" s="1309">
        <v>30725590.275271058</v>
      </c>
      <c r="G145" s="918" t="s">
        <v>2063</v>
      </c>
      <c r="H145" s="1288"/>
      <c r="I145" s="185" t="str">
        <f t="shared" si="2"/>
        <v>1898302</v>
      </c>
      <c r="J145" s="185"/>
      <c r="K145" s="185"/>
      <c r="L145" s="185"/>
    </row>
    <row r="146" spans="1:12" ht="15.75" thickBot="1">
      <c r="A146" s="915" t="s">
        <v>492</v>
      </c>
      <c r="B146" s="1288">
        <v>64171</v>
      </c>
      <c r="C146" s="1289" t="s">
        <v>493</v>
      </c>
      <c r="D146" s="1289" t="s">
        <v>497</v>
      </c>
      <c r="E146" s="1289" t="s">
        <v>976</v>
      </c>
      <c r="F146" s="1308">
        <v>38878052.607752636</v>
      </c>
      <c r="G146" s="918" t="s">
        <v>1388</v>
      </c>
      <c r="H146" s="1288"/>
      <c r="I146" s="185" t="str">
        <f t="shared" si="2"/>
        <v>1898303</v>
      </c>
      <c r="J146" s="185"/>
      <c r="K146" s="185"/>
      <c r="L146" s="185"/>
    </row>
    <row r="147" spans="1:12" ht="15.75" thickBot="1">
      <c r="A147" s="915" t="s">
        <v>492</v>
      </c>
      <c r="B147" s="1288">
        <v>64171</v>
      </c>
      <c r="C147" s="1290" t="s">
        <v>493</v>
      </c>
      <c r="D147" s="1290" t="s">
        <v>498</v>
      </c>
      <c r="E147" s="1290" t="s">
        <v>976</v>
      </c>
      <c r="F147" s="1309">
        <v>14150005.437365409</v>
      </c>
      <c r="G147" s="918" t="s">
        <v>1389</v>
      </c>
      <c r="H147" s="1288"/>
      <c r="I147" s="185" t="str">
        <f t="shared" si="2"/>
        <v>1898304</v>
      </c>
      <c r="J147" s="185"/>
      <c r="K147" s="185"/>
      <c r="L147" s="185"/>
    </row>
    <row r="148" spans="1:12" ht="15.75" thickBot="1">
      <c r="A148" s="915" t="s">
        <v>492</v>
      </c>
      <c r="B148" s="1288">
        <v>64171</v>
      </c>
      <c r="C148" s="1289" t="s">
        <v>493</v>
      </c>
      <c r="D148" s="1289" t="s">
        <v>499</v>
      </c>
      <c r="E148" s="1289" t="s">
        <v>976</v>
      </c>
      <c r="F148" s="1308">
        <v>12149018.491630465</v>
      </c>
      <c r="G148" s="918" t="s">
        <v>2064</v>
      </c>
      <c r="H148" s="1288"/>
      <c r="I148" s="185" t="str">
        <f t="shared" si="2"/>
        <v>1898305</v>
      </c>
      <c r="J148" s="185"/>
      <c r="K148" s="185"/>
      <c r="L148" s="185"/>
    </row>
    <row r="149" spans="1:12" ht="15.75" thickBot="1">
      <c r="A149" s="915" t="s">
        <v>492</v>
      </c>
      <c r="B149" s="1288">
        <v>64171</v>
      </c>
      <c r="C149" s="1290" t="s">
        <v>493</v>
      </c>
      <c r="D149" s="1290" t="s">
        <v>500</v>
      </c>
      <c r="E149" s="1290" t="s">
        <v>976</v>
      </c>
      <c r="F149" s="1309">
        <v>43456459.53558214</v>
      </c>
      <c r="G149" s="918" t="s">
        <v>1390</v>
      </c>
      <c r="H149" s="1288"/>
      <c r="I149" s="185" t="str">
        <f t="shared" si="2"/>
        <v>1898306</v>
      </c>
      <c r="J149" s="185"/>
      <c r="K149" s="185"/>
      <c r="L149" s="185"/>
    </row>
    <row r="150" spans="1:12" ht="15.75" thickBot="1">
      <c r="A150" s="915" t="s">
        <v>492</v>
      </c>
      <c r="B150" s="1288">
        <v>64171</v>
      </c>
      <c r="C150" s="1289" t="s">
        <v>493</v>
      </c>
      <c r="D150" s="1289" t="s">
        <v>501</v>
      </c>
      <c r="E150" s="1289" t="s">
        <v>976</v>
      </c>
      <c r="F150" s="1308">
        <v>2709149.0339645832</v>
      </c>
      <c r="G150" s="918" t="s">
        <v>2065</v>
      </c>
      <c r="H150" s="1288"/>
      <c r="I150" s="185" t="str">
        <f t="shared" si="2"/>
        <v>1898307</v>
      </c>
      <c r="J150" s="185"/>
      <c r="K150" s="185"/>
      <c r="L150" s="185"/>
    </row>
    <row r="151" spans="1:12" ht="15.75" thickBot="1">
      <c r="A151" s="915" t="s">
        <v>492</v>
      </c>
      <c r="B151" s="1288">
        <v>64171</v>
      </c>
      <c r="C151" s="1290" t="s">
        <v>493</v>
      </c>
      <c r="D151" s="1290" t="s">
        <v>502</v>
      </c>
      <c r="E151" s="1290" t="s">
        <v>976</v>
      </c>
      <c r="F151" s="1309">
        <v>10273981.619856425</v>
      </c>
      <c r="G151" s="918" t="s">
        <v>1391</v>
      </c>
      <c r="H151" s="1288"/>
      <c r="I151" s="185" t="str">
        <f t="shared" si="2"/>
        <v>1898308</v>
      </c>
      <c r="J151" s="185"/>
      <c r="K151" s="185"/>
      <c r="L151" s="185"/>
    </row>
    <row r="152" spans="1:12" ht="15.75" thickBot="1">
      <c r="A152" s="915" t="s">
        <v>492</v>
      </c>
      <c r="B152" s="1288">
        <v>64171</v>
      </c>
      <c r="C152" s="1289" t="s">
        <v>493</v>
      </c>
      <c r="D152" s="1289" t="s">
        <v>503</v>
      </c>
      <c r="E152" s="1289" t="s">
        <v>976</v>
      </c>
      <c r="F152" s="1308">
        <v>20115921.316599999</v>
      </c>
      <c r="G152" s="918" t="s">
        <v>2066</v>
      </c>
      <c r="H152" s="1288"/>
      <c r="I152" s="185" t="str">
        <f t="shared" si="2"/>
        <v>1898309</v>
      </c>
      <c r="J152" s="185"/>
      <c r="K152" s="185"/>
      <c r="L152" s="185"/>
    </row>
    <row r="153" spans="1:12" ht="15.75" thickBot="1">
      <c r="A153" s="915" t="s">
        <v>492</v>
      </c>
      <c r="B153" s="1288">
        <v>64171</v>
      </c>
      <c r="C153" s="1290" t="s">
        <v>493</v>
      </c>
      <c r="D153" s="1290" t="s">
        <v>505</v>
      </c>
      <c r="E153" s="1290" t="s">
        <v>976</v>
      </c>
      <c r="F153" s="1309">
        <v>17893087.218766265</v>
      </c>
      <c r="G153" s="918" t="s">
        <v>2068</v>
      </c>
      <c r="H153" s="1288"/>
      <c r="I153" s="185" t="str">
        <f t="shared" si="2"/>
        <v>1898311</v>
      </c>
      <c r="J153" s="185"/>
      <c r="K153" s="185"/>
      <c r="L153" s="185"/>
    </row>
    <row r="154" spans="1:12" ht="15.75" thickBot="1">
      <c r="A154" s="915" t="s">
        <v>492</v>
      </c>
      <c r="B154" s="1288">
        <v>64171</v>
      </c>
      <c r="C154" s="1289" t="s">
        <v>493</v>
      </c>
      <c r="D154" s="1289" t="s">
        <v>496</v>
      </c>
      <c r="E154" s="1289" t="s">
        <v>977</v>
      </c>
      <c r="F154" s="1308">
        <v>7996015.183815375</v>
      </c>
      <c r="G154" s="918" t="s">
        <v>2063</v>
      </c>
      <c r="H154" s="1288"/>
      <c r="I154" s="185" t="str">
        <f t="shared" si="2"/>
        <v>1898302</v>
      </c>
      <c r="J154" s="185"/>
      <c r="K154" s="185"/>
      <c r="L154" s="185"/>
    </row>
    <row r="155" spans="1:12" ht="15.75" thickBot="1">
      <c r="A155" s="915" t="s">
        <v>492</v>
      </c>
      <c r="B155" s="1288">
        <v>64171</v>
      </c>
      <c r="C155" s="1290" t="s">
        <v>493</v>
      </c>
      <c r="D155" s="1290" t="s">
        <v>497</v>
      </c>
      <c r="E155" s="1290" t="s">
        <v>977</v>
      </c>
      <c r="F155" s="1309">
        <v>20063413.743981536</v>
      </c>
      <c r="G155" s="918" t="s">
        <v>1388</v>
      </c>
      <c r="H155" s="1288"/>
      <c r="I155" s="185" t="str">
        <f t="shared" si="2"/>
        <v>1898303</v>
      </c>
      <c r="J155" s="185"/>
      <c r="K155" s="185"/>
      <c r="L155" s="185"/>
    </row>
    <row r="156" spans="1:12" ht="15.75" thickBot="1">
      <c r="A156" s="915" t="s">
        <v>492</v>
      </c>
      <c r="B156" s="1288">
        <v>64171</v>
      </c>
      <c r="C156" s="1289" t="s">
        <v>493</v>
      </c>
      <c r="D156" s="1289" t="s">
        <v>498</v>
      </c>
      <c r="E156" s="1289" t="s">
        <v>977</v>
      </c>
      <c r="F156" s="1308">
        <v>18837366.289125532</v>
      </c>
      <c r="G156" s="918" t="s">
        <v>1389</v>
      </c>
      <c r="H156" s="1288"/>
      <c r="I156" s="185" t="str">
        <f t="shared" si="2"/>
        <v>1898304</v>
      </c>
      <c r="J156" s="185"/>
      <c r="K156" s="185"/>
      <c r="L156" s="185"/>
    </row>
    <row r="157" spans="1:12" ht="15.75" thickBot="1">
      <c r="A157" s="915" t="s">
        <v>492</v>
      </c>
      <c r="B157" s="1288">
        <v>64171</v>
      </c>
      <c r="C157" s="1290" t="s">
        <v>493</v>
      </c>
      <c r="D157" s="1290" t="s">
        <v>499</v>
      </c>
      <c r="E157" s="1290" t="s">
        <v>977</v>
      </c>
      <c r="F157" s="1309">
        <v>16389766.374790862</v>
      </c>
      <c r="G157" s="918" t="s">
        <v>2064</v>
      </c>
      <c r="H157" s="1288"/>
      <c r="I157" s="185" t="str">
        <f t="shared" si="2"/>
        <v>1898305</v>
      </c>
      <c r="J157" s="185"/>
      <c r="K157" s="185"/>
      <c r="L157" s="185"/>
    </row>
    <row r="158" spans="1:12" ht="15.75" thickBot="1">
      <c r="A158" s="915" t="s">
        <v>492</v>
      </c>
      <c r="B158" s="1288">
        <v>64171</v>
      </c>
      <c r="C158" s="1289" t="s">
        <v>493</v>
      </c>
      <c r="D158" s="1289" t="s">
        <v>500</v>
      </c>
      <c r="E158" s="1289" t="s">
        <v>977</v>
      </c>
      <c r="F158" s="1308">
        <v>7764473.4791069813</v>
      </c>
      <c r="G158" s="918" t="s">
        <v>1390</v>
      </c>
      <c r="H158" s="1288"/>
      <c r="I158" s="185" t="str">
        <f t="shared" si="2"/>
        <v>1898306</v>
      </c>
      <c r="J158" s="185"/>
      <c r="K158" s="185"/>
      <c r="L158" s="185"/>
    </row>
    <row r="159" spans="1:12" ht="15.75" thickBot="1">
      <c r="A159" s="915" t="s">
        <v>492</v>
      </c>
      <c r="B159" s="1288">
        <v>64171</v>
      </c>
      <c r="C159" s="1290" t="s">
        <v>493</v>
      </c>
      <c r="D159" s="1290" t="s">
        <v>501</v>
      </c>
      <c r="E159" s="1290" t="s">
        <v>977</v>
      </c>
      <c r="F159" s="1309">
        <v>8330241.710549416</v>
      </c>
      <c r="G159" s="918" t="s">
        <v>2065</v>
      </c>
      <c r="H159" s="1288"/>
      <c r="I159" s="185" t="str">
        <f t="shared" si="2"/>
        <v>1898307</v>
      </c>
      <c r="J159" s="185"/>
      <c r="K159" s="185"/>
      <c r="L159" s="185"/>
    </row>
    <row r="160" spans="1:12" ht="15.75" thickBot="1">
      <c r="A160" s="915" t="s">
        <v>492</v>
      </c>
      <c r="B160" s="1288">
        <v>64171</v>
      </c>
      <c r="C160" s="1289" t="s">
        <v>493</v>
      </c>
      <c r="D160" s="1289" t="s">
        <v>502</v>
      </c>
      <c r="E160" s="1289" t="s">
        <v>977</v>
      </c>
      <c r="F160" s="1308">
        <v>4855176.4783183932</v>
      </c>
      <c r="G160" s="918" t="s">
        <v>1391</v>
      </c>
      <c r="H160" s="1288"/>
      <c r="I160" s="185" t="str">
        <f t="shared" si="2"/>
        <v>1898308</v>
      </c>
      <c r="J160" s="185"/>
      <c r="K160" s="185"/>
      <c r="L160" s="185"/>
    </row>
    <row r="161" spans="1:12" ht="15.75" thickBot="1">
      <c r="A161" s="915" t="s">
        <v>492</v>
      </c>
      <c r="B161" s="1288">
        <v>64171</v>
      </c>
      <c r="C161" s="1290" t="s">
        <v>493</v>
      </c>
      <c r="D161" s="1290" t="s">
        <v>503</v>
      </c>
      <c r="E161" s="1290" t="s">
        <v>977</v>
      </c>
      <c r="F161" s="1309">
        <v>11813902.830613</v>
      </c>
      <c r="G161" s="918" t="s">
        <v>2066</v>
      </c>
      <c r="H161" s="1288"/>
      <c r="I161" s="185" t="str">
        <f t="shared" si="2"/>
        <v>1898309</v>
      </c>
      <c r="J161" s="185"/>
      <c r="K161" s="185"/>
      <c r="L161" s="185"/>
    </row>
    <row r="162" spans="1:12" ht="15.75" thickBot="1">
      <c r="A162" s="915" t="s">
        <v>492</v>
      </c>
      <c r="B162" s="1288">
        <v>64171</v>
      </c>
      <c r="C162" s="1289" t="s">
        <v>493</v>
      </c>
      <c r="D162" s="1289" t="s">
        <v>502</v>
      </c>
      <c r="E162" s="1289" t="s">
        <v>981</v>
      </c>
      <c r="F162" s="1308">
        <v>7068.2642990500599</v>
      </c>
      <c r="G162" s="918" t="s">
        <v>1391</v>
      </c>
      <c r="H162" s="1288"/>
      <c r="I162" s="185" t="str">
        <f t="shared" si="2"/>
        <v>1898308</v>
      </c>
      <c r="J162" s="185"/>
      <c r="K162" s="185"/>
      <c r="L162" s="185"/>
    </row>
    <row r="163" spans="1:12" ht="15.75" thickBot="1">
      <c r="A163" s="915" t="s">
        <v>492</v>
      </c>
      <c r="B163" s="1288">
        <v>64171</v>
      </c>
      <c r="C163" s="1290" t="s">
        <v>493</v>
      </c>
      <c r="D163" s="1290" t="s">
        <v>503</v>
      </c>
      <c r="E163" s="1290" t="s">
        <v>981</v>
      </c>
      <c r="F163" s="1309">
        <v>18894.540499999999</v>
      </c>
      <c r="G163" s="918" t="s">
        <v>2066</v>
      </c>
      <c r="H163" s="1288"/>
      <c r="I163" s="185" t="str">
        <f t="shared" si="2"/>
        <v>1898309</v>
      </c>
      <c r="J163" s="185"/>
      <c r="K163" s="185"/>
      <c r="L163" s="185"/>
    </row>
    <row r="164" spans="1:12" ht="15.75" thickBot="1">
      <c r="A164" s="915" t="s">
        <v>492</v>
      </c>
      <c r="B164" s="1288">
        <v>64171</v>
      </c>
      <c r="C164" s="1290" t="s">
        <v>493</v>
      </c>
      <c r="D164" s="1290" t="s">
        <v>496</v>
      </c>
      <c r="E164" s="1290" t="s">
        <v>993</v>
      </c>
      <c r="F164" s="1309">
        <v>420874.24295409751</v>
      </c>
      <c r="G164" s="918" t="s">
        <v>2063</v>
      </c>
      <c r="H164" s="1288"/>
      <c r="I164" s="185" t="str">
        <f t="shared" si="2"/>
        <v>1898302</v>
      </c>
      <c r="J164" s="185"/>
      <c r="K164" s="185"/>
      <c r="L164" s="185"/>
    </row>
    <row r="165" spans="1:12" ht="15.75" thickBot="1">
      <c r="A165" s="915" t="s">
        <v>492</v>
      </c>
      <c r="B165" s="1288">
        <v>64171</v>
      </c>
      <c r="C165" s="1290" t="s">
        <v>493</v>
      </c>
      <c r="D165" s="1290" t="s">
        <v>497</v>
      </c>
      <c r="E165" s="1290" t="s">
        <v>993</v>
      </c>
      <c r="F165" s="1309">
        <v>713504.44611162134</v>
      </c>
      <c r="G165" s="918" t="s">
        <v>1388</v>
      </c>
      <c r="H165" s="1288"/>
      <c r="I165" s="185" t="str">
        <f t="shared" si="2"/>
        <v>1898303</v>
      </c>
      <c r="J165" s="185"/>
      <c r="K165" s="185"/>
      <c r="L165" s="185"/>
    </row>
    <row r="166" spans="1:12" ht="15.75" thickBot="1">
      <c r="A166" s="915" t="s">
        <v>492</v>
      </c>
      <c r="B166" s="1288">
        <v>64171</v>
      </c>
      <c r="C166" s="1290" t="s">
        <v>493</v>
      </c>
      <c r="D166" s="1290" t="s">
        <v>498</v>
      </c>
      <c r="E166" s="1290" t="s">
        <v>993</v>
      </c>
      <c r="F166" s="1309">
        <v>355798.83329999994</v>
      </c>
      <c r="G166" s="918" t="s">
        <v>1389</v>
      </c>
      <c r="H166" s="1288"/>
      <c r="I166" s="185" t="str">
        <f t="shared" si="2"/>
        <v>1898304</v>
      </c>
      <c r="J166" s="185"/>
      <c r="K166" s="185"/>
      <c r="L166" s="185"/>
    </row>
    <row r="167" spans="1:12" ht="15.75" thickBot="1">
      <c r="A167" s="915" t="s">
        <v>492</v>
      </c>
      <c r="B167" s="1288">
        <v>64171</v>
      </c>
      <c r="C167" s="1290" t="s">
        <v>493</v>
      </c>
      <c r="D167" s="1290" t="s">
        <v>499</v>
      </c>
      <c r="E167" s="1290" t="s">
        <v>993</v>
      </c>
      <c r="F167" s="1309">
        <v>292987.37683751067</v>
      </c>
      <c r="G167" s="918" t="s">
        <v>2064</v>
      </c>
      <c r="H167" s="1288"/>
      <c r="I167" s="185" t="str">
        <f t="shared" si="2"/>
        <v>1898305</v>
      </c>
      <c r="J167" s="185"/>
      <c r="K167" s="185"/>
      <c r="L167" s="185"/>
    </row>
    <row r="168" spans="1:12" ht="15.75" thickBot="1">
      <c r="A168" s="915" t="s">
        <v>492</v>
      </c>
      <c r="B168" s="1288">
        <v>64171</v>
      </c>
      <c r="C168" s="1289" t="s">
        <v>493</v>
      </c>
      <c r="D168" s="1289" t="s">
        <v>500</v>
      </c>
      <c r="E168" s="1289" t="s">
        <v>993</v>
      </c>
      <c r="F168" s="1308">
        <v>361237.1924</v>
      </c>
      <c r="G168" s="918" t="s">
        <v>1390</v>
      </c>
      <c r="H168" s="1288"/>
      <c r="I168" s="185" t="str">
        <f t="shared" si="2"/>
        <v>1898306</v>
      </c>
      <c r="J168" s="185"/>
      <c r="K168" s="185"/>
      <c r="L168" s="185"/>
    </row>
    <row r="169" spans="1:12" ht="15.75" thickBot="1">
      <c r="A169" s="915" t="s">
        <v>492</v>
      </c>
      <c r="B169" s="1288">
        <v>64171</v>
      </c>
      <c r="C169" s="1290" t="s">
        <v>493</v>
      </c>
      <c r="D169" s="1290" t="s">
        <v>501</v>
      </c>
      <c r="E169" s="1290" t="s">
        <v>993</v>
      </c>
      <c r="F169" s="1309">
        <v>496560.35392683622</v>
      </c>
      <c r="G169" s="918" t="s">
        <v>2065</v>
      </c>
      <c r="H169" s="1288"/>
      <c r="I169" s="185" t="str">
        <f t="shared" si="2"/>
        <v>1898307</v>
      </c>
      <c r="J169" s="185"/>
      <c r="K169" s="185"/>
      <c r="L169" s="185"/>
    </row>
    <row r="170" spans="1:12" ht="15.75" thickBot="1">
      <c r="A170" s="915" t="s">
        <v>492</v>
      </c>
      <c r="B170" s="1288">
        <v>64171</v>
      </c>
      <c r="C170" s="1289" t="s">
        <v>493</v>
      </c>
      <c r="D170" s="1289" t="s">
        <v>502</v>
      </c>
      <c r="E170" s="1289" t="s">
        <v>993</v>
      </c>
      <c r="F170" s="1308">
        <v>213482.6698</v>
      </c>
      <c r="G170" s="918" t="s">
        <v>1391</v>
      </c>
      <c r="H170" s="1288"/>
      <c r="I170" s="185" t="str">
        <f t="shared" si="2"/>
        <v>1898308</v>
      </c>
      <c r="J170" s="185"/>
      <c r="K170" s="185"/>
      <c r="L170" s="185"/>
    </row>
    <row r="171" spans="1:12" ht="15.75" thickBot="1">
      <c r="A171" s="915" t="s">
        <v>492</v>
      </c>
      <c r="B171" s="1288">
        <v>64171</v>
      </c>
      <c r="C171" s="1290" t="s">
        <v>493</v>
      </c>
      <c r="D171" s="1290" t="s">
        <v>503</v>
      </c>
      <c r="E171" s="1290" t="s">
        <v>993</v>
      </c>
      <c r="F171" s="1309">
        <v>214246.17859999998</v>
      </c>
      <c r="G171" s="918" t="s">
        <v>2066</v>
      </c>
      <c r="H171" s="1288"/>
      <c r="I171" s="185" t="str">
        <f t="shared" si="2"/>
        <v>1898309</v>
      </c>
      <c r="J171" s="185"/>
      <c r="K171" s="185"/>
      <c r="L171" s="185"/>
    </row>
    <row r="172" spans="1:12" ht="15.75" thickBot="1">
      <c r="A172" s="915" t="s">
        <v>492</v>
      </c>
      <c r="B172" s="1288">
        <v>64171</v>
      </c>
      <c r="C172" s="1290" t="s">
        <v>493</v>
      </c>
      <c r="D172" s="1290" t="s">
        <v>494</v>
      </c>
      <c r="E172" s="1290" t="s">
        <v>991</v>
      </c>
      <c r="F172" s="1309">
        <v>8881.6660592739154</v>
      </c>
      <c r="G172" s="918" t="s">
        <v>2062</v>
      </c>
      <c r="H172" s="1288"/>
      <c r="I172" s="185" t="str">
        <f t="shared" si="2"/>
        <v>1898301</v>
      </c>
      <c r="J172" s="185"/>
      <c r="K172" s="185"/>
      <c r="L172" s="185"/>
    </row>
    <row r="173" spans="1:12" ht="15.75" thickBot="1">
      <c r="A173" s="915" t="s">
        <v>492</v>
      </c>
      <c r="B173" s="1288">
        <v>64171</v>
      </c>
      <c r="C173" s="1289" t="s">
        <v>493</v>
      </c>
      <c r="D173" s="1289" t="s">
        <v>497</v>
      </c>
      <c r="E173" s="1289" t="s">
        <v>991</v>
      </c>
      <c r="F173" s="1308">
        <v>4806545.8499999996</v>
      </c>
      <c r="G173" s="918" t="s">
        <v>1388</v>
      </c>
      <c r="H173" s="1288"/>
      <c r="I173" s="185" t="str">
        <f t="shared" si="2"/>
        <v>1898303</v>
      </c>
      <c r="J173" s="185"/>
      <c r="K173" s="185"/>
      <c r="L173" s="185"/>
    </row>
    <row r="174" spans="1:12" ht="15.75" thickBot="1">
      <c r="A174" s="915" t="s">
        <v>492</v>
      </c>
      <c r="B174" s="1288">
        <v>64171</v>
      </c>
      <c r="C174" s="1290" t="s">
        <v>493</v>
      </c>
      <c r="D174" s="1290" t="s">
        <v>498</v>
      </c>
      <c r="E174" s="1290" t="s">
        <v>991</v>
      </c>
      <c r="F174" s="1309">
        <v>1095013.8</v>
      </c>
      <c r="G174" s="918" t="s">
        <v>1389</v>
      </c>
      <c r="H174" s="1288"/>
      <c r="I174" s="185" t="str">
        <f t="shared" si="2"/>
        <v>1898304</v>
      </c>
      <c r="J174" s="185"/>
      <c r="K174" s="185"/>
      <c r="L174" s="185"/>
    </row>
    <row r="175" spans="1:12" ht="15.75" thickBot="1">
      <c r="A175" s="915" t="s">
        <v>492</v>
      </c>
      <c r="B175" s="1288">
        <v>64171</v>
      </c>
      <c r="C175" s="1290" t="s">
        <v>493</v>
      </c>
      <c r="D175" s="1290" t="s">
        <v>500</v>
      </c>
      <c r="E175" s="1290" t="s">
        <v>991</v>
      </c>
      <c r="F175" s="1309">
        <v>4395273.1499999994</v>
      </c>
      <c r="G175" s="918" t="s">
        <v>1390</v>
      </c>
      <c r="H175" s="1288"/>
      <c r="I175" s="185" t="str">
        <f t="shared" si="2"/>
        <v>1898306</v>
      </c>
      <c r="J175" s="185"/>
      <c r="K175" s="185"/>
      <c r="L175" s="185"/>
    </row>
    <row r="176" spans="1:12" ht="15.75" thickBot="1">
      <c r="A176" s="915" t="s">
        <v>492</v>
      </c>
      <c r="B176" s="1288">
        <v>64171</v>
      </c>
      <c r="C176" s="1289" t="s">
        <v>493</v>
      </c>
      <c r="D176" s="1289" t="s">
        <v>501</v>
      </c>
      <c r="E176" s="1289" t="s">
        <v>991</v>
      </c>
      <c r="F176" s="1308">
        <v>1449545.55</v>
      </c>
      <c r="G176" s="918" t="s">
        <v>2065</v>
      </c>
      <c r="H176" s="1288"/>
      <c r="I176" s="185" t="str">
        <f t="shared" si="2"/>
        <v>1898307</v>
      </c>
      <c r="J176" s="185"/>
      <c r="K176" s="185"/>
      <c r="L176" s="185"/>
    </row>
    <row r="177" spans="1:12" ht="15.75" thickBot="1">
      <c r="A177" s="915" t="s">
        <v>492</v>
      </c>
      <c r="B177" s="1288">
        <v>64171</v>
      </c>
      <c r="C177" s="1290" t="s">
        <v>493</v>
      </c>
      <c r="D177" s="1290" t="s">
        <v>502</v>
      </c>
      <c r="E177" s="1290" t="s">
        <v>991</v>
      </c>
      <c r="F177" s="1309">
        <v>564681.89999999991</v>
      </c>
      <c r="G177" s="918" t="s">
        <v>1391</v>
      </c>
      <c r="H177" s="1288"/>
      <c r="I177" s="185" t="str">
        <f t="shared" si="2"/>
        <v>1898308</v>
      </c>
      <c r="J177" s="185"/>
      <c r="K177" s="185"/>
      <c r="L177" s="185"/>
    </row>
    <row r="178" spans="1:12" ht="15.75" thickBot="1">
      <c r="A178" s="915" t="s">
        <v>492</v>
      </c>
      <c r="B178" s="1288">
        <v>64171</v>
      </c>
      <c r="C178" s="1289" t="s">
        <v>493</v>
      </c>
      <c r="D178" s="1289" t="s">
        <v>497</v>
      </c>
      <c r="E178" s="1289" t="s">
        <v>506</v>
      </c>
      <c r="F178" s="1308">
        <v>1351854.98064</v>
      </c>
      <c r="G178" s="918" t="s">
        <v>1388</v>
      </c>
      <c r="H178" s="1288"/>
      <c r="I178" s="185" t="str">
        <f t="shared" si="2"/>
        <v>1898303</v>
      </c>
      <c r="J178" s="185"/>
      <c r="K178" s="185"/>
      <c r="L178" s="185"/>
    </row>
    <row r="179" spans="1:12" ht="15.75" thickBot="1">
      <c r="A179" s="915" t="s">
        <v>492</v>
      </c>
      <c r="B179" s="1288">
        <v>64171</v>
      </c>
      <c r="C179" s="1290" t="s">
        <v>493</v>
      </c>
      <c r="D179" s="1290" t="s">
        <v>498</v>
      </c>
      <c r="E179" s="1290" t="s">
        <v>506</v>
      </c>
      <c r="F179" s="1309">
        <v>106700</v>
      </c>
      <c r="G179" s="918" t="s">
        <v>1389</v>
      </c>
      <c r="H179" s="1288"/>
      <c r="I179" s="185" t="str">
        <f t="shared" si="2"/>
        <v>1898304</v>
      </c>
      <c r="J179" s="185"/>
      <c r="K179" s="185"/>
      <c r="L179" s="185"/>
    </row>
    <row r="180" spans="1:12" ht="15.75" thickBot="1">
      <c r="A180" s="915" t="s">
        <v>492</v>
      </c>
      <c r="B180" s="1288">
        <v>64171</v>
      </c>
      <c r="C180" s="1290" t="s">
        <v>493</v>
      </c>
      <c r="D180" s="1290" t="s">
        <v>500</v>
      </c>
      <c r="E180" s="1290" t="s">
        <v>506</v>
      </c>
      <c r="F180" s="1309">
        <v>441100</v>
      </c>
      <c r="G180" s="918" t="s">
        <v>1390</v>
      </c>
      <c r="H180" s="1288"/>
      <c r="I180" s="185" t="str">
        <f t="shared" si="2"/>
        <v>1898306</v>
      </c>
      <c r="J180" s="185"/>
      <c r="K180" s="185"/>
      <c r="L180" s="185"/>
    </row>
    <row r="181" spans="1:12" ht="15.75" thickBot="1">
      <c r="A181" s="915" t="s">
        <v>492</v>
      </c>
      <c r="B181" s="1288">
        <v>64171</v>
      </c>
      <c r="C181" s="1290" t="s">
        <v>493</v>
      </c>
      <c r="D181" s="1290" t="s">
        <v>501</v>
      </c>
      <c r="E181" s="1290" t="s">
        <v>506</v>
      </c>
      <c r="F181" s="1309">
        <v>1281400</v>
      </c>
      <c r="G181" s="918" t="s">
        <v>2065</v>
      </c>
      <c r="H181" s="1288"/>
      <c r="I181" s="185" t="str">
        <f t="shared" si="2"/>
        <v>1898307</v>
      </c>
      <c r="J181" s="185"/>
      <c r="K181" s="185"/>
      <c r="L181" s="185"/>
    </row>
    <row r="182" spans="1:12" ht="15.75" thickBot="1">
      <c r="A182" s="915" t="s">
        <v>492</v>
      </c>
      <c r="B182" s="1288">
        <v>64171</v>
      </c>
      <c r="C182" s="1290" t="s">
        <v>493</v>
      </c>
      <c r="D182" s="1290" t="s">
        <v>502</v>
      </c>
      <c r="E182" s="1290" t="s">
        <v>506</v>
      </c>
      <c r="F182" s="1309">
        <v>250000</v>
      </c>
      <c r="G182" s="918" t="s">
        <v>1391</v>
      </c>
      <c r="H182" s="1288"/>
      <c r="I182" s="185" t="str">
        <f t="shared" si="2"/>
        <v>1898308</v>
      </c>
      <c r="J182" s="185"/>
      <c r="K182" s="185"/>
      <c r="L182" s="185"/>
    </row>
    <row r="183" spans="1:12" ht="15.75" thickBot="1">
      <c r="A183" s="915" t="s">
        <v>492</v>
      </c>
      <c r="B183" s="1288">
        <v>64171</v>
      </c>
      <c r="C183" s="1289" t="s">
        <v>493</v>
      </c>
      <c r="D183" s="1289" t="s">
        <v>496</v>
      </c>
      <c r="E183" s="1289" t="s">
        <v>510</v>
      </c>
      <c r="F183" s="1308">
        <v>12243.709090909089</v>
      </c>
      <c r="G183" s="918" t="s">
        <v>2063</v>
      </c>
      <c r="H183" s="1288"/>
      <c r="I183" s="185" t="str">
        <f t="shared" si="2"/>
        <v>1898302</v>
      </c>
      <c r="J183" s="185"/>
      <c r="K183" s="185"/>
      <c r="L183" s="185"/>
    </row>
    <row r="184" spans="1:12" ht="15.75" thickBot="1">
      <c r="A184" s="915" t="s">
        <v>492</v>
      </c>
      <c r="B184" s="1288">
        <v>64171</v>
      </c>
      <c r="C184" s="1290" t="s">
        <v>493</v>
      </c>
      <c r="D184" s="1290" t="s">
        <v>497</v>
      </c>
      <c r="E184" s="1290" t="s">
        <v>510</v>
      </c>
      <c r="F184" s="1309">
        <v>2576402.7199436366</v>
      </c>
      <c r="G184" s="918" t="s">
        <v>1388</v>
      </c>
      <c r="H184" s="1288"/>
      <c r="I184" s="185" t="str">
        <f t="shared" si="2"/>
        <v>1898303</v>
      </c>
      <c r="J184" s="185"/>
      <c r="K184" s="185"/>
      <c r="L184" s="185"/>
    </row>
    <row r="185" spans="1:12" ht="15.75" thickBot="1">
      <c r="A185" s="915" t="s">
        <v>492</v>
      </c>
      <c r="B185" s="1288">
        <v>64171</v>
      </c>
      <c r="C185" s="1289" t="s">
        <v>493</v>
      </c>
      <c r="D185" s="1289" t="s">
        <v>498</v>
      </c>
      <c r="E185" s="1289" t="s">
        <v>510</v>
      </c>
      <c r="F185" s="1308">
        <v>939814.23636363633</v>
      </c>
      <c r="G185" s="918" t="s">
        <v>1389</v>
      </c>
      <c r="H185" s="1288"/>
      <c r="I185" s="185" t="str">
        <f t="shared" si="2"/>
        <v>1898304</v>
      </c>
      <c r="J185" s="185"/>
      <c r="K185" s="185"/>
      <c r="L185" s="185"/>
    </row>
    <row r="186" spans="1:12" ht="15.75" thickBot="1">
      <c r="A186" s="915" t="s">
        <v>492</v>
      </c>
      <c r="B186" s="1288">
        <v>64171</v>
      </c>
      <c r="C186" s="1290" t="s">
        <v>493</v>
      </c>
      <c r="D186" s="1290" t="s">
        <v>499</v>
      </c>
      <c r="E186" s="1290" t="s">
        <v>510</v>
      </c>
      <c r="F186" s="1309">
        <v>22366.481818181819</v>
      </c>
      <c r="G186" s="918" t="s">
        <v>2064</v>
      </c>
      <c r="H186" s="1288"/>
      <c r="I186" s="185" t="str">
        <f t="shared" si="2"/>
        <v>1898305</v>
      </c>
      <c r="J186" s="185"/>
      <c r="K186" s="185"/>
      <c r="L186" s="185"/>
    </row>
    <row r="187" spans="1:12" ht="15.75" thickBot="1">
      <c r="A187" s="915" t="s">
        <v>492</v>
      </c>
      <c r="B187" s="1288">
        <v>64171</v>
      </c>
      <c r="C187" s="1289" t="s">
        <v>493</v>
      </c>
      <c r="D187" s="1289" t="s">
        <v>500</v>
      </c>
      <c r="E187" s="1289" t="s">
        <v>510</v>
      </c>
      <c r="F187" s="1308">
        <v>76363.581818181818</v>
      </c>
      <c r="G187" s="918" t="s">
        <v>1390</v>
      </c>
      <c r="H187" s="1288"/>
      <c r="I187" s="185" t="str">
        <f t="shared" si="2"/>
        <v>1898306</v>
      </c>
      <c r="J187" s="185"/>
      <c r="K187" s="185"/>
      <c r="L187" s="185"/>
    </row>
    <row r="188" spans="1:12" ht="15.75" thickBot="1">
      <c r="A188" s="915" t="s">
        <v>492</v>
      </c>
      <c r="B188" s="1288">
        <v>64171</v>
      </c>
      <c r="C188" s="1290" t="s">
        <v>493</v>
      </c>
      <c r="D188" s="1290" t="s">
        <v>501</v>
      </c>
      <c r="E188" s="1290" t="s">
        <v>510</v>
      </c>
      <c r="F188" s="1309">
        <v>3762391.1909090905</v>
      </c>
      <c r="G188" s="918" t="s">
        <v>2065</v>
      </c>
      <c r="H188" s="1288"/>
      <c r="I188" s="185" t="str">
        <f t="shared" si="2"/>
        <v>1898307</v>
      </c>
      <c r="J188" s="185"/>
      <c r="K188" s="185"/>
      <c r="L188" s="185"/>
    </row>
    <row r="189" spans="1:12" ht="15.75" thickBot="1">
      <c r="A189" s="915" t="s">
        <v>492</v>
      </c>
      <c r="B189" s="1288">
        <v>64171</v>
      </c>
      <c r="C189" s="1289" t="s">
        <v>493</v>
      </c>
      <c r="D189" s="1289" t="s">
        <v>502</v>
      </c>
      <c r="E189" s="1289" t="s">
        <v>510</v>
      </c>
      <c r="F189" s="1308">
        <v>35525.045871818184</v>
      </c>
      <c r="G189" s="918" t="s">
        <v>1391</v>
      </c>
      <c r="H189" s="1288"/>
      <c r="I189" s="185" t="str">
        <f t="shared" si="2"/>
        <v>1898308</v>
      </c>
      <c r="J189" s="185"/>
      <c r="K189" s="185"/>
      <c r="L189" s="185"/>
    </row>
    <row r="190" spans="1:12" ht="15.75" thickBot="1">
      <c r="A190" s="915" t="s">
        <v>492</v>
      </c>
      <c r="B190" s="1288">
        <v>64171</v>
      </c>
      <c r="C190" s="1289" t="s">
        <v>493</v>
      </c>
      <c r="D190" s="1289" t="s">
        <v>503</v>
      </c>
      <c r="E190" s="1289" t="s">
        <v>510</v>
      </c>
      <c r="F190" s="1308">
        <v>85916.37401454545</v>
      </c>
      <c r="G190" s="918" t="s">
        <v>2066</v>
      </c>
      <c r="H190" s="1288"/>
      <c r="I190" s="185" t="str">
        <f t="shared" si="2"/>
        <v>1898309</v>
      </c>
      <c r="J190" s="185"/>
      <c r="K190" s="185"/>
      <c r="L190" s="185"/>
    </row>
    <row r="191" spans="1:12" ht="15.75" thickBot="1">
      <c r="A191" s="915" t="s">
        <v>492</v>
      </c>
      <c r="B191" s="1288">
        <v>64171</v>
      </c>
      <c r="C191" s="1289" t="s">
        <v>493</v>
      </c>
      <c r="D191" s="1289" t="s">
        <v>496</v>
      </c>
      <c r="E191" s="1289" t="s">
        <v>1360</v>
      </c>
      <c r="F191" s="1308">
        <v>1039090.7999999999</v>
      </c>
      <c r="G191" s="918" t="s">
        <v>2063</v>
      </c>
      <c r="H191" s="1288"/>
      <c r="I191" s="185" t="str">
        <f t="shared" si="2"/>
        <v>1898302</v>
      </c>
      <c r="J191" s="185"/>
      <c r="K191" s="185"/>
      <c r="L191" s="185"/>
    </row>
    <row r="192" spans="1:12" ht="15.75" thickBot="1">
      <c r="A192" s="915" t="s">
        <v>492</v>
      </c>
      <c r="B192" s="1288">
        <v>64171</v>
      </c>
      <c r="C192" s="1290" t="s">
        <v>493</v>
      </c>
      <c r="D192" s="1290" t="s">
        <v>497</v>
      </c>
      <c r="E192" s="1290" t="s">
        <v>1360</v>
      </c>
      <c r="F192" s="1309">
        <v>926040.65454545442</v>
      </c>
      <c r="G192" s="918" t="s">
        <v>1388</v>
      </c>
      <c r="H192" s="1288"/>
      <c r="I192" s="185" t="str">
        <f t="shared" si="2"/>
        <v>1898303</v>
      </c>
      <c r="J192" s="185"/>
      <c r="K192" s="185"/>
      <c r="L192" s="185"/>
    </row>
    <row r="193" spans="1:12" ht="15.75" thickBot="1">
      <c r="A193" s="915" t="s">
        <v>492</v>
      </c>
      <c r="B193" s="1288">
        <v>64171</v>
      </c>
      <c r="C193" s="1290" t="s">
        <v>493</v>
      </c>
      <c r="D193" s="1290" t="s">
        <v>500</v>
      </c>
      <c r="E193" s="1290" t="s">
        <v>1360</v>
      </c>
      <c r="F193" s="1309">
        <v>1044764.7818181819</v>
      </c>
      <c r="G193" s="918" t="s">
        <v>1390</v>
      </c>
      <c r="H193" s="1288"/>
      <c r="I193" s="185" t="str">
        <f t="shared" si="2"/>
        <v>1898306</v>
      </c>
      <c r="J193" s="185"/>
      <c r="K193" s="185"/>
      <c r="L193" s="185"/>
    </row>
    <row r="194" spans="1:12" ht="15.75" thickBot="1">
      <c r="A194" s="915" t="s">
        <v>492</v>
      </c>
      <c r="B194" s="1288">
        <v>64171</v>
      </c>
      <c r="C194" s="1289" t="s">
        <v>493</v>
      </c>
      <c r="D194" s="1289" t="s">
        <v>501</v>
      </c>
      <c r="E194" s="1289" t="s">
        <v>1360</v>
      </c>
      <c r="F194" s="1308">
        <v>343636.2</v>
      </c>
      <c r="G194" s="918" t="s">
        <v>2065</v>
      </c>
      <c r="H194" s="1288"/>
      <c r="I194" s="185" t="str">
        <f t="shared" ref="I194:I238" si="3">RIGHT(D194,7)</f>
        <v>1898307</v>
      </c>
      <c r="J194" s="185"/>
      <c r="K194" s="185"/>
      <c r="L194" s="185"/>
    </row>
    <row r="195" spans="1:12" ht="15.75" thickBot="1">
      <c r="A195" s="915" t="s">
        <v>492</v>
      </c>
      <c r="B195" s="1288">
        <v>64171</v>
      </c>
      <c r="C195" s="1290" t="s">
        <v>493</v>
      </c>
      <c r="D195" s="1290" t="s">
        <v>502</v>
      </c>
      <c r="E195" s="1290" t="s">
        <v>1360</v>
      </c>
      <c r="F195" s="1309">
        <v>1539236.8090909091</v>
      </c>
      <c r="G195" s="918" t="s">
        <v>1391</v>
      </c>
      <c r="H195" s="1288"/>
      <c r="I195" s="185" t="str">
        <f t="shared" si="3"/>
        <v>1898308</v>
      </c>
      <c r="J195" s="185"/>
      <c r="K195" s="185"/>
      <c r="L195" s="185"/>
    </row>
    <row r="196" spans="1:12" ht="15.75" thickBot="1">
      <c r="A196" s="915" t="s">
        <v>492</v>
      </c>
      <c r="B196" s="1288">
        <v>64171</v>
      </c>
      <c r="C196" s="1289" t="s">
        <v>493</v>
      </c>
      <c r="D196" s="1289" t="s">
        <v>498</v>
      </c>
      <c r="E196" s="1289" t="s">
        <v>507</v>
      </c>
      <c r="F196" s="1308">
        <v>138636.25</v>
      </c>
      <c r="G196" s="918" t="s">
        <v>1389</v>
      </c>
      <c r="H196" s="1288"/>
      <c r="I196" s="185" t="str">
        <f t="shared" si="3"/>
        <v>1898304</v>
      </c>
      <c r="J196" s="185"/>
      <c r="K196" s="185"/>
      <c r="L196" s="185"/>
    </row>
    <row r="197" spans="1:12" ht="15.75" thickBot="1">
      <c r="A197" s="915" t="s">
        <v>492</v>
      </c>
      <c r="B197" s="1288">
        <v>64171</v>
      </c>
      <c r="C197" s="1290" t="s">
        <v>493</v>
      </c>
      <c r="D197" s="1290" t="s">
        <v>500</v>
      </c>
      <c r="E197" s="1290" t="s">
        <v>507</v>
      </c>
      <c r="F197" s="1309">
        <v>315000</v>
      </c>
      <c r="G197" s="918" t="s">
        <v>1390</v>
      </c>
      <c r="H197" s="1288"/>
      <c r="I197" s="185" t="str">
        <f t="shared" si="3"/>
        <v>1898306</v>
      </c>
      <c r="J197" s="185"/>
      <c r="K197" s="185"/>
      <c r="L197" s="185"/>
    </row>
    <row r="198" spans="1:12" ht="15.75" thickBot="1">
      <c r="A198" s="915" t="s">
        <v>492</v>
      </c>
      <c r="B198" s="1288">
        <v>64171</v>
      </c>
      <c r="C198" s="1289" t="s">
        <v>493</v>
      </c>
      <c r="D198" s="1289" t="s">
        <v>501</v>
      </c>
      <c r="E198" s="1289" t="s">
        <v>507</v>
      </c>
      <c r="F198" s="1308">
        <v>383863.5</v>
      </c>
      <c r="G198" s="918" t="s">
        <v>2065</v>
      </c>
      <c r="H198" s="1288"/>
      <c r="I198" s="185" t="str">
        <f t="shared" si="3"/>
        <v>1898307</v>
      </c>
      <c r="J198" s="185"/>
      <c r="K198" s="185"/>
      <c r="L198" s="185"/>
    </row>
    <row r="199" spans="1:12" ht="15.75" thickBot="1">
      <c r="A199" s="915" t="s">
        <v>492</v>
      </c>
      <c r="B199" s="1288">
        <v>64171</v>
      </c>
      <c r="C199" s="1289" t="s">
        <v>493</v>
      </c>
      <c r="D199" s="1289" t="s">
        <v>497</v>
      </c>
      <c r="E199" s="1289" t="s">
        <v>995</v>
      </c>
      <c r="F199" s="1308">
        <v>120000</v>
      </c>
      <c r="G199" s="918" t="s">
        <v>1388</v>
      </c>
      <c r="H199" s="1288"/>
      <c r="I199" s="185" t="str">
        <f t="shared" si="3"/>
        <v>1898303</v>
      </c>
      <c r="J199" s="185"/>
      <c r="K199" s="185"/>
      <c r="L199" s="185"/>
    </row>
    <row r="200" spans="1:12" ht="15.75" thickBot="1">
      <c r="A200" s="915" t="s">
        <v>492</v>
      </c>
      <c r="B200" s="1288">
        <v>64171</v>
      </c>
      <c r="C200" s="1289" t="s">
        <v>493</v>
      </c>
      <c r="D200" s="1289" t="s">
        <v>498</v>
      </c>
      <c r="E200" s="1289" t="s">
        <v>995</v>
      </c>
      <c r="F200" s="1308">
        <v>1520500</v>
      </c>
      <c r="G200" s="918" t="s">
        <v>1389</v>
      </c>
      <c r="H200" s="1288"/>
      <c r="I200" s="185" t="str">
        <f t="shared" si="3"/>
        <v>1898304</v>
      </c>
      <c r="J200" s="185"/>
      <c r="K200" s="185"/>
      <c r="L200" s="185"/>
    </row>
    <row r="201" spans="1:12" ht="15.75" thickBot="1">
      <c r="A201" s="915" t="s">
        <v>492</v>
      </c>
      <c r="B201" s="1288">
        <v>64171</v>
      </c>
      <c r="C201" s="1290" t="s">
        <v>493</v>
      </c>
      <c r="D201" s="1290" t="s">
        <v>500</v>
      </c>
      <c r="E201" s="1290" t="s">
        <v>995</v>
      </c>
      <c r="F201" s="1309">
        <v>3618787.55</v>
      </c>
      <c r="G201" s="918" t="s">
        <v>1390</v>
      </c>
      <c r="H201" s="1288"/>
      <c r="I201" s="185" t="str">
        <f t="shared" si="3"/>
        <v>1898306</v>
      </c>
      <c r="J201" s="185"/>
      <c r="K201" s="185"/>
      <c r="L201" s="185"/>
    </row>
    <row r="202" spans="1:12" ht="15.75" thickBot="1">
      <c r="A202" s="915" t="s">
        <v>492</v>
      </c>
      <c r="B202" s="1288">
        <v>64171</v>
      </c>
      <c r="C202" s="1289" t="s">
        <v>493</v>
      </c>
      <c r="D202" s="1289" t="s">
        <v>501</v>
      </c>
      <c r="E202" s="1289" t="s">
        <v>995</v>
      </c>
      <c r="F202" s="1308">
        <v>11255954.85</v>
      </c>
      <c r="G202" s="918" t="s">
        <v>2065</v>
      </c>
      <c r="H202" s="1288"/>
      <c r="I202" s="185" t="str">
        <f t="shared" si="3"/>
        <v>1898307</v>
      </c>
      <c r="J202" s="185"/>
      <c r="K202" s="185"/>
      <c r="L202" s="185"/>
    </row>
    <row r="203" spans="1:12" ht="15.75" thickBot="1">
      <c r="A203" s="915" t="s">
        <v>492</v>
      </c>
      <c r="B203" s="1288">
        <v>64171</v>
      </c>
      <c r="C203" s="1290" t="s">
        <v>493</v>
      </c>
      <c r="D203" s="1290" t="s">
        <v>502</v>
      </c>
      <c r="E203" s="1290" t="s">
        <v>995</v>
      </c>
      <c r="F203" s="1309">
        <v>515000</v>
      </c>
      <c r="G203" s="918" t="s">
        <v>1391</v>
      </c>
      <c r="H203" s="1288"/>
      <c r="I203" s="185" t="str">
        <f t="shared" si="3"/>
        <v>1898308</v>
      </c>
      <c r="J203" s="185"/>
      <c r="K203" s="185"/>
      <c r="L203" s="185"/>
    </row>
    <row r="204" spans="1:12" ht="15.75" thickBot="1">
      <c r="A204" s="915" t="s">
        <v>492</v>
      </c>
      <c r="B204" s="1288">
        <v>64171</v>
      </c>
      <c r="C204" s="1289" t="s">
        <v>493</v>
      </c>
      <c r="D204" s="1289" t="s">
        <v>496</v>
      </c>
      <c r="E204" s="1289" t="s">
        <v>1103</v>
      </c>
      <c r="F204" s="1308">
        <v>3322632.2144185095</v>
      </c>
      <c r="G204" s="918" t="s">
        <v>2063</v>
      </c>
      <c r="H204" s="1288"/>
      <c r="I204" s="185" t="str">
        <f t="shared" si="3"/>
        <v>1898302</v>
      </c>
      <c r="J204" s="185"/>
      <c r="K204" s="185"/>
      <c r="L204" s="185"/>
    </row>
    <row r="205" spans="1:12" ht="15.75" thickBot="1">
      <c r="A205" s="915" t="s">
        <v>492</v>
      </c>
      <c r="B205" s="1288">
        <v>64171</v>
      </c>
      <c r="C205" s="1290" t="s">
        <v>493</v>
      </c>
      <c r="D205" s="1290" t="s">
        <v>497</v>
      </c>
      <c r="E205" s="1290" t="s">
        <v>1103</v>
      </c>
      <c r="F205" s="1309">
        <v>5439697.5628978619</v>
      </c>
      <c r="G205" s="918" t="s">
        <v>1388</v>
      </c>
      <c r="H205" s="1288"/>
      <c r="I205" s="185" t="str">
        <f t="shared" si="3"/>
        <v>1898303</v>
      </c>
      <c r="J205" s="185"/>
      <c r="K205" s="185"/>
      <c r="L205" s="185"/>
    </row>
    <row r="206" spans="1:12" ht="15.75" thickBot="1">
      <c r="A206" s="915" t="s">
        <v>492</v>
      </c>
      <c r="B206" s="1288">
        <v>64171</v>
      </c>
      <c r="C206" s="1289" t="s">
        <v>493</v>
      </c>
      <c r="D206" s="1289" t="s">
        <v>498</v>
      </c>
      <c r="E206" s="1289" t="s">
        <v>1103</v>
      </c>
      <c r="F206" s="1308">
        <v>663095.64283937705</v>
      </c>
      <c r="G206" s="918" t="s">
        <v>1389</v>
      </c>
      <c r="H206" s="1288"/>
      <c r="I206" s="185" t="str">
        <f t="shared" si="3"/>
        <v>1898304</v>
      </c>
      <c r="J206" s="185"/>
      <c r="K206" s="185"/>
      <c r="L206" s="185"/>
    </row>
    <row r="207" spans="1:12" ht="15.75" thickBot="1">
      <c r="A207" s="915" t="s">
        <v>492</v>
      </c>
      <c r="B207" s="1288">
        <v>64171</v>
      </c>
      <c r="C207" s="1290" t="s">
        <v>493</v>
      </c>
      <c r="D207" s="1290" t="s">
        <v>499</v>
      </c>
      <c r="E207" s="1290" t="s">
        <v>1103</v>
      </c>
      <c r="F207" s="1309">
        <v>1864292.4041455234</v>
      </c>
      <c r="G207" s="918" t="s">
        <v>2064</v>
      </c>
      <c r="H207" s="1288"/>
      <c r="I207" s="185" t="str">
        <f t="shared" si="3"/>
        <v>1898305</v>
      </c>
      <c r="J207" s="185"/>
      <c r="K207" s="185"/>
      <c r="L207" s="185"/>
    </row>
    <row r="208" spans="1:12" ht="15.75" thickBot="1">
      <c r="A208" s="915" t="s">
        <v>492</v>
      </c>
      <c r="B208" s="1288">
        <v>64171</v>
      </c>
      <c r="C208" s="1289" t="s">
        <v>493</v>
      </c>
      <c r="D208" s="1289" t="s">
        <v>500</v>
      </c>
      <c r="E208" s="1289" t="s">
        <v>1103</v>
      </c>
      <c r="F208" s="1308">
        <v>1855174.2477689455</v>
      </c>
      <c r="G208" s="918" t="s">
        <v>1390</v>
      </c>
      <c r="H208" s="1288"/>
      <c r="I208" s="185" t="str">
        <f t="shared" si="3"/>
        <v>1898306</v>
      </c>
      <c r="J208" s="185"/>
      <c r="K208" s="185"/>
      <c r="L208" s="185"/>
    </row>
    <row r="209" spans="1:12" s="68" customFormat="1" ht="15.75" thickBot="1">
      <c r="A209" s="915" t="s">
        <v>492</v>
      </c>
      <c r="B209" s="1288">
        <v>64171</v>
      </c>
      <c r="C209" s="1290" t="s">
        <v>493</v>
      </c>
      <c r="D209" s="1290" t="s">
        <v>501</v>
      </c>
      <c r="E209" s="1290" t="s">
        <v>1103</v>
      </c>
      <c r="F209" s="1309">
        <v>3458605.9293847615</v>
      </c>
      <c r="G209" s="918" t="s">
        <v>2065</v>
      </c>
      <c r="H209" s="1288"/>
      <c r="I209" s="185" t="str">
        <f t="shared" si="3"/>
        <v>1898307</v>
      </c>
    </row>
    <row r="210" spans="1:12" s="68" customFormat="1" ht="15.75" thickBot="1">
      <c r="A210" s="915" t="s">
        <v>492</v>
      </c>
      <c r="B210" s="1288">
        <v>64171</v>
      </c>
      <c r="C210" s="1289" t="s">
        <v>493</v>
      </c>
      <c r="D210" s="1289" t="s">
        <v>502</v>
      </c>
      <c r="E210" s="1289" t="s">
        <v>1103</v>
      </c>
      <c r="F210" s="1308">
        <v>863696.43118947942</v>
      </c>
      <c r="G210" s="918" t="s">
        <v>1391</v>
      </c>
      <c r="H210" s="1288"/>
      <c r="I210" s="185" t="str">
        <f t="shared" si="3"/>
        <v>1898308</v>
      </c>
    </row>
    <row r="211" spans="1:12" s="68" customFormat="1" ht="15.75" thickBot="1">
      <c r="A211" s="915" t="s">
        <v>492</v>
      </c>
      <c r="B211" s="1288">
        <v>64171</v>
      </c>
      <c r="C211" s="1290" t="s">
        <v>493</v>
      </c>
      <c r="D211" s="1290" t="s">
        <v>503</v>
      </c>
      <c r="E211" s="1290" t="s">
        <v>1103</v>
      </c>
      <c r="F211" s="1309">
        <v>576460</v>
      </c>
      <c r="G211" s="918" t="s">
        <v>2066</v>
      </c>
      <c r="H211" s="1288"/>
      <c r="I211" s="185" t="str">
        <f t="shared" si="3"/>
        <v>1898309</v>
      </c>
    </row>
    <row r="212" spans="1:12" s="68" customFormat="1" ht="15.75" thickBot="1">
      <c r="A212" s="915" t="s">
        <v>492</v>
      </c>
      <c r="B212" s="1288">
        <v>64171</v>
      </c>
      <c r="C212" s="1289" t="s">
        <v>493</v>
      </c>
      <c r="D212" s="1289" t="s">
        <v>505</v>
      </c>
      <c r="E212" s="1289" t="s">
        <v>1103</v>
      </c>
      <c r="F212" s="1308">
        <v>14801.894992980253</v>
      </c>
      <c r="G212" s="918" t="s">
        <v>2068</v>
      </c>
      <c r="H212" s="1288"/>
      <c r="I212" s="185" t="str">
        <f t="shared" si="3"/>
        <v>1898311</v>
      </c>
    </row>
    <row r="213" spans="1:12" s="68" customFormat="1" ht="15.75" thickBot="1">
      <c r="A213" s="915" t="s">
        <v>492</v>
      </c>
      <c r="B213" s="1288">
        <v>64171</v>
      </c>
      <c r="C213" s="1290" t="s">
        <v>493</v>
      </c>
      <c r="D213" s="1290" t="s">
        <v>496</v>
      </c>
      <c r="E213" s="1290" t="s">
        <v>976</v>
      </c>
      <c r="F213" s="1309">
        <v>1312502.5311780318</v>
      </c>
      <c r="G213" s="918" t="s">
        <v>2063</v>
      </c>
      <c r="H213" s="1288"/>
      <c r="I213" s="185" t="str">
        <f t="shared" si="3"/>
        <v>1898302</v>
      </c>
    </row>
    <row r="214" spans="1:12" s="68" customFormat="1" ht="15.75" thickBot="1">
      <c r="A214" s="915" t="s">
        <v>492</v>
      </c>
      <c r="B214" s="1288">
        <v>64171</v>
      </c>
      <c r="C214" s="1289" t="s">
        <v>493</v>
      </c>
      <c r="D214" s="1289" t="s">
        <v>497</v>
      </c>
      <c r="E214" s="1289" t="s">
        <v>976</v>
      </c>
      <c r="F214" s="1308">
        <v>2114899.0676656845</v>
      </c>
      <c r="G214" s="918" t="s">
        <v>1388</v>
      </c>
      <c r="H214" s="1288"/>
      <c r="I214" s="185" t="str">
        <f t="shared" si="3"/>
        <v>1898303</v>
      </c>
    </row>
    <row r="215" spans="1:12" ht="15.75" thickBot="1">
      <c r="A215" s="915" t="s">
        <v>492</v>
      </c>
      <c r="B215" s="1288">
        <v>64171</v>
      </c>
      <c r="C215" s="1290" t="s">
        <v>493</v>
      </c>
      <c r="D215" s="1290" t="s">
        <v>498</v>
      </c>
      <c r="E215" s="1290" t="s">
        <v>976</v>
      </c>
      <c r="F215" s="1309">
        <v>604826.75744909258</v>
      </c>
      <c r="G215" s="918" t="s">
        <v>1389</v>
      </c>
      <c r="H215" s="1288"/>
      <c r="I215" s="185" t="str">
        <f t="shared" si="3"/>
        <v>1898304</v>
      </c>
      <c r="J215" s="185"/>
      <c r="K215" s="185"/>
      <c r="L215" s="185"/>
    </row>
    <row r="216" spans="1:12" ht="15.75" thickBot="1">
      <c r="A216" s="915" t="s">
        <v>492</v>
      </c>
      <c r="B216" s="1288">
        <v>64171</v>
      </c>
      <c r="C216" s="1289" t="s">
        <v>493</v>
      </c>
      <c r="D216" s="1289" t="s">
        <v>499</v>
      </c>
      <c r="E216" s="1289" t="s">
        <v>976</v>
      </c>
      <c r="F216" s="1308">
        <v>947237.80304882117</v>
      </c>
      <c r="G216" s="918" t="s">
        <v>2064</v>
      </c>
      <c r="H216" s="1288"/>
      <c r="I216" s="185" t="str">
        <f t="shared" si="3"/>
        <v>1898305</v>
      </c>
      <c r="J216" s="185"/>
      <c r="K216" s="185"/>
      <c r="L216" s="185"/>
    </row>
    <row r="217" spans="1:12" ht="15.75" thickBot="1">
      <c r="A217" s="915" t="s">
        <v>492</v>
      </c>
      <c r="B217" s="1288">
        <v>64171</v>
      </c>
      <c r="C217" s="1290" t="s">
        <v>493</v>
      </c>
      <c r="D217" s="1290" t="s">
        <v>500</v>
      </c>
      <c r="E217" s="1290" t="s">
        <v>976</v>
      </c>
      <c r="F217" s="1309">
        <v>2375638.4406613866</v>
      </c>
      <c r="G217" s="918" t="s">
        <v>1390</v>
      </c>
      <c r="H217" s="1288"/>
      <c r="I217" s="185" t="str">
        <f t="shared" si="3"/>
        <v>1898306</v>
      </c>
      <c r="J217" s="185"/>
      <c r="K217" s="185"/>
      <c r="L217" s="185"/>
    </row>
    <row r="218" spans="1:12" ht="15.75" thickBot="1">
      <c r="A218" s="915" t="s">
        <v>492</v>
      </c>
      <c r="B218" s="1288">
        <v>64171</v>
      </c>
      <c r="C218" s="1289" t="s">
        <v>493</v>
      </c>
      <c r="D218" s="1289" t="s">
        <v>501</v>
      </c>
      <c r="E218" s="1289" t="s">
        <v>976</v>
      </c>
      <c r="F218" s="1308">
        <v>415241.05068747723</v>
      </c>
      <c r="G218" s="918" t="s">
        <v>2065</v>
      </c>
      <c r="H218" s="1288"/>
      <c r="I218" s="185" t="str">
        <f t="shared" si="3"/>
        <v>1898307</v>
      </c>
      <c r="J218" s="185"/>
      <c r="K218" s="185"/>
      <c r="L218" s="185"/>
    </row>
    <row r="219" spans="1:12" ht="15.75" thickBot="1">
      <c r="A219" s="915" t="s">
        <v>492</v>
      </c>
      <c r="B219" s="1288">
        <v>64171</v>
      </c>
      <c r="C219" s="1290" t="s">
        <v>493</v>
      </c>
      <c r="D219" s="1290" t="s">
        <v>502</v>
      </c>
      <c r="E219" s="1290" t="s">
        <v>976</v>
      </c>
      <c r="F219" s="1309">
        <v>364397.78858180949</v>
      </c>
      <c r="G219" s="918" t="s">
        <v>1391</v>
      </c>
      <c r="H219" s="1288"/>
      <c r="I219" s="185" t="str">
        <f t="shared" si="3"/>
        <v>1898308</v>
      </c>
      <c r="J219" s="185"/>
      <c r="K219" s="185"/>
      <c r="L219" s="185"/>
    </row>
    <row r="220" spans="1:12" ht="15.75" thickBot="1">
      <c r="A220" s="915" t="s">
        <v>492</v>
      </c>
      <c r="B220" s="1288">
        <v>64171</v>
      </c>
      <c r="C220" s="1289" t="s">
        <v>493</v>
      </c>
      <c r="D220" s="1289" t="s">
        <v>503</v>
      </c>
      <c r="E220" s="1289" t="s">
        <v>976</v>
      </c>
      <c r="F220" s="1308">
        <v>956689</v>
      </c>
      <c r="G220" s="918" t="s">
        <v>2066</v>
      </c>
      <c r="H220" s="1288"/>
      <c r="I220" s="185" t="str">
        <f t="shared" si="3"/>
        <v>1898309</v>
      </c>
      <c r="J220" s="185"/>
      <c r="K220" s="185"/>
      <c r="L220" s="185"/>
    </row>
    <row r="221" spans="1:12" ht="15.75" thickBot="1">
      <c r="A221" s="915" t="s">
        <v>492</v>
      </c>
      <c r="B221" s="1288">
        <v>64171</v>
      </c>
      <c r="C221" s="1290" t="s">
        <v>493</v>
      </c>
      <c r="D221" s="1290" t="s">
        <v>496</v>
      </c>
      <c r="E221" s="1290" t="s">
        <v>979</v>
      </c>
      <c r="F221" s="1309">
        <v>-715625</v>
      </c>
      <c r="G221" s="918" t="s">
        <v>2063</v>
      </c>
      <c r="H221" s="1288"/>
      <c r="I221" s="185" t="str">
        <f t="shared" si="3"/>
        <v>1898302</v>
      </c>
      <c r="J221" s="185"/>
      <c r="K221" s="185"/>
      <c r="L221" s="185"/>
    </row>
    <row r="222" spans="1:12" ht="15.75" thickBot="1">
      <c r="A222" s="915" t="s">
        <v>492</v>
      </c>
      <c r="B222" s="1288">
        <v>64171</v>
      </c>
      <c r="C222" s="1289" t="s">
        <v>493</v>
      </c>
      <c r="D222" s="1289" t="s">
        <v>497</v>
      </c>
      <c r="E222" s="1289" t="s">
        <v>979</v>
      </c>
      <c r="F222" s="1308">
        <v>-881250</v>
      </c>
      <c r="G222" s="918" t="s">
        <v>1388</v>
      </c>
      <c r="H222" s="1288"/>
      <c r="I222" s="185" t="str">
        <f t="shared" si="3"/>
        <v>1898303</v>
      </c>
      <c r="J222" s="185"/>
      <c r="K222" s="185"/>
      <c r="L222" s="185"/>
    </row>
    <row r="223" spans="1:12" ht="15.75" thickBot="1">
      <c r="A223" s="915" t="s">
        <v>492</v>
      </c>
      <c r="B223" s="1288">
        <v>64171</v>
      </c>
      <c r="C223" s="1290" t="s">
        <v>493</v>
      </c>
      <c r="D223" s="1290" t="s">
        <v>498</v>
      </c>
      <c r="E223" s="1290" t="s">
        <v>979</v>
      </c>
      <c r="F223" s="1309">
        <v>-109375</v>
      </c>
      <c r="G223" s="918" t="s">
        <v>1389</v>
      </c>
      <c r="H223" s="1288"/>
      <c r="I223" s="185" t="str">
        <f t="shared" si="3"/>
        <v>1898304</v>
      </c>
      <c r="J223" s="185"/>
      <c r="K223" s="185"/>
      <c r="L223" s="185"/>
    </row>
    <row r="224" spans="1:12" ht="15.75" thickBot="1">
      <c r="A224" s="915" t="s">
        <v>492</v>
      </c>
      <c r="B224" s="1288">
        <v>64171</v>
      </c>
      <c r="C224" s="1289" t="s">
        <v>493</v>
      </c>
      <c r="D224" s="1289" t="s">
        <v>499</v>
      </c>
      <c r="E224" s="1289" t="s">
        <v>979</v>
      </c>
      <c r="F224" s="1308">
        <v>-590625</v>
      </c>
      <c r="G224" s="918" t="s">
        <v>2064</v>
      </c>
      <c r="H224" s="1288"/>
      <c r="I224" s="185" t="str">
        <f t="shared" si="3"/>
        <v>1898305</v>
      </c>
      <c r="J224" s="185"/>
      <c r="K224" s="185"/>
      <c r="L224" s="185"/>
    </row>
    <row r="225" spans="1:12" s="68" customFormat="1" ht="15.75" thickBot="1">
      <c r="A225" s="915" t="s">
        <v>492</v>
      </c>
      <c r="B225" s="1288">
        <v>64171</v>
      </c>
      <c r="C225" s="1290" t="s">
        <v>493</v>
      </c>
      <c r="D225" s="1290" t="s">
        <v>500</v>
      </c>
      <c r="E225" s="1290" t="s">
        <v>979</v>
      </c>
      <c r="F225" s="1309">
        <v>-631250</v>
      </c>
      <c r="G225" s="918" t="s">
        <v>1390</v>
      </c>
      <c r="H225" s="1288"/>
      <c r="I225" s="185" t="str">
        <f t="shared" si="3"/>
        <v>1898306</v>
      </c>
    </row>
    <row r="226" spans="1:12" ht="15.75" thickBot="1">
      <c r="A226" s="915" t="s">
        <v>492</v>
      </c>
      <c r="B226" s="1288">
        <v>64171</v>
      </c>
      <c r="C226" s="1289" t="s">
        <v>493</v>
      </c>
      <c r="D226" s="1289" t="s">
        <v>501</v>
      </c>
      <c r="E226" s="1289" t="s">
        <v>979</v>
      </c>
      <c r="F226" s="1308">
        <v>-93750</v>
      </c>
      <c r="G226" s="918" t="s">
        <v>2065</v>
      </c>
      <c r="H226" s="1288"/>
      <c r="I226" s="185" t="str">
        <f t="shared" si="3"/>
        <v>1898307</v>
      </c>
      <c r="J226" s="185"/>
      <c r="K226" s="185"/>
      <c r="L226" s="185"/>
    </row>
    <row r="227" spans="1:12" ht="15.75" thickBot="1">
      <c r="A227" s="915" t="s">
        <v>492</v>
      </c>
      <c r="B227" s="1288">
        <v>64171</v>
      </c>
      <c r="C227" s="1290" t="s">
        <v>493</v>
      </c>
      <c r="D227" s="1290" t="s">
        <v>494</v>
      </c>
      <c r="E227" s="1290" t="s">
        <v>976</v>
      </c>
      <c r="F227" s="1309">
        <v>10030265</v>
      </c>
      <c r="G227" s="918" t="s">
        <v>2062</v>
      </c>
      <c r="H227" s="1288"/>
      <c r="I227" s="185" t="str">
        <f t="shared" si="3"/>
        <v>1898301</v>
      </c>
      <c r="J227" s="185"/>
      <c r="K227" s="185"/>
      <c r="L227" s="185"/>
    </row>
    <row r="228" spans="1:12" ht="15.75" thickBot="1">
      <c r="A228" s="915" t="s">
        <v>492</v>
      </c>
      <c r="B228" s="1288">
        <v>64171</v>
      </c>
      <c r="C228" s="1289" t="s">
        <v>493</v>
      </c>
      <c r="D228" s="1289" t="s">
        <v>496</v>
      </c>
      <c r="E228" s="1289" t="s">
        <v>976</v>
      </c>
      <c r="F228" s="1308">
        <v>20519138</v>
      </c>
      <c r="G228" s="918" t="s">
        <v>2063</v>
      </c>
      <c r="H228" s="1288"/>
      <c r="I228" s="185" t="str">
        <f t="shared" si="3"/>
        <v>1898302</v>
      </c>
      <c r="J228" s="185"/>
      <c r="K228" s="185"/>
      <c r="L228" s="185"/>
    </row>
    <row r="229" spans="1:12" ht="15.75" thickBot="1">
      <c r="A229" s="915" t="s">
        <v>492</v>
      </c>
      <c r="B229" s="1288">
        <v>64171</v>
      </c>
      <c r="C229" s="1290" t="s">
        <v>493</v>
      </c>
      <c r="D229" s="1290" t="s">
        <v>497</v>
      </c>
      <c r="E229" s="1290" t="s">
        <v>976</v>
      </c>
      <c r="F229" s="1309">
        <v>33466698</v>
      </c>
      <c r="G229" s="918" t="s">
        <v>1388</v>
      </c>
      <c r="H229" s="1288"/>
      <c r="I229" s="185" t="str">
        <f t="shared" si="3"/>
        <v>1898303</v>
      </c>
      <c r="J229" s="185"/>
      <c r="K229" s="185"/>
      <c r="L229" s="185"/>
    </row>
    <row r="230" spans="1:12" ht="15.75" thickBot="1">
      <c r="A230" s="915" t="s">
        <v>492</v>
      </c>
      <c r="B230" s="1288">
        <v>64171</v>
      </c>
      <c r="C230" s="1289" t="s">
        <v>493</v>
      </c>
      <c r="D230" s="1289" t="s">
        <v>498</v>
      </c>
      <c r="E230" s="1289" t="s">
        <v>976</v>
      </c>
      <c r="F230" s="1308">
        <v>9614524</v>
      </c>
      <c r="G230" s="918" t="s">
        <v>1389</v>
      </c>
      <c r="H230" s="1288"/>
      <c r="I230" s="185" t="str">
        <f t="shared" si="3"/>
        <v>1898304</v>
      </c>
      <c r="J230" s="185"/>
      <c r="K230" s="185"/>
      <c r="L230" s="185"/>
    </row>
    <row r="231" spans="1:12" ht="15.75" thickBot="1">
      <c r="A231" s="915" t="s">
        <v>492</v>
      </c>
      <c r="B231" s="1288">
        <v>64171</v>
      </c>
      <c r="C231" s="1290" t="s">
        <v>493</v>
      </c>
      <c r="D231" s="1290" t="s">
        <v>499</v>
      </c>
      <c r="E231" s="1290" t="s">
        <v>976</v>
      </c>
      <c r="F231" s="1309">
        <v>7749018</v>
      </c>
      <c r="G231" s="918" t="s">
        <v>2064</v>
      </c>
      <c r="H231" s="1288"/>
      <c r="I231" s="185" t="str">
        <f t="shared" si="3"/>
        <v>1898305</v>
      </c>
      <c r="J231" s="185"/>
      <c r="K231" s="185"/>
      <c r="L231" s="185"/>
    </row>
    <row r="232" spans="1:12" ht="15.75" thickBot="1">
      <c r="A232" s="915" t="s">
        <v>492</v>
      </c>
      <c r="B232" s="1288">
        <v>64171</v>
      </c>
      <c r="C232" s="1289" t="s">
        <v>493</v>
      </c>
      <c r="D232" s="1289" t="s">
        <v>500</v>
      </c>
      <c r="E232" s="1289" t="s">
        <v>976</v>
      </c>
      <c r="F232" s="1308">
        <v>39642769</v>
      </c>
      <c r="G232" s="918" t="s">
        <v>1390</v>
      </c>
      <c r="H232" s="1288"/>
      <c r="I232" s="185" t="str">
        <f t="shared" si="3"/>
        <v>1898306</v>
      </c>
      <c r="J232" s="185"/>
      <c r="K232" s="185"/>
      <c r="L232" s="185"/>
    </row>
    <row r="233" spans="1:12" ht="15.75" thickBot="1">
      <c r="A233" s="915" t="s">
        <v>492</v>
      </c>
      <c r="B233" s="1288">
        <v>64171</v>
      </c>
      <c r="C233" s="1290" t="s">
        <v>493</v>
      </c>
      <c r="D233" s="1290" t="s">
        <v>501</v>
      </c>
      <c r="E233" s="1290" t="s">
        <v>976</v>
      </c>
      <c r="F233" s="1309">
        <v>15195075</v>
      </c>
      <c r="G233" s="918" t="s">
        <v>2065</v>
      </c>
      <c r="H233" s="1288"/>
      <c r="I233" s="185" t="str">
        <f t="shared" si="3"/>
        <v>1898307</v>
      </c>
      <c r="J233" s="185"/>
      <c r="K233" s="185"/>
      <c r="L233" s="185"/>
    </row>
    <row r="234" spans="1:12" ht="15.75" thickBot="1">
      <c r="A234" s="915" t="s">
        <v>492</v>
      </c>
      <c r="B234" s="1288">
        <v>64171</v>
      </c>
      <c r="C234" s="1289" t="s">
        <v>493</v>
      </c>
      <c r="D234" s="1289" t="s">
        <v>502</v>
      </c>
      <c r="E234" s="1289" t="s">
        <v>976</v>
      </c>
      <c r="F234" s="1308">
        <v>37825679</v>
      </c>
      <c r="G234" s="918" t="s">
        <v>1391</v>
      </c>
      <c r="H234" s="1288"/>
      <c r="I234" s="185" t="str">
        <f t="shared" si="3"/>
        <v>1898308</v>
      </c>
      <c r="J234" s="185"/>
      <c r="K234" s="185"/>
      <c r="L234" s="185"/>
    </row>
    <row r="235" spans="1:12" ht="15.75" thickBot="1">
      <c r="A235" s="915" t="s">
        <v>492</v>
      </c>
      <c r="B235" s="1288">
        <v>64171</v>
      </c>
      <c r="C235" s="1290" t="s">
        <v>493</v>
      </c>
      <c r="D235" s="1290" t="s">
        <v>503</v>
      </c>
      <c r="E235" s="1290" t="s">
        <v>976</v>
      </c>
      <c r="F235" s="1309">
        <v>9598307</v>
      </c>
      <c r="G235" s="918" t="s">
        <v>2066</v>
      </c>
      <c r="H235" s="1288"/>
      <c r="I235" s="185" t="str">
        <f t="shared" si="3"/>
        <v>1898309</v>
      </c>
      <c r="J235" s="185"/>
      <c r="K235" s="185"/>
      <c r="L235" s="185"/>
    </row>
    <row r="236" spans="1:12" ht="15.75" thickBot="1">
      <c r="A236" s="915" t="s">
        <v>492</v>
      </c>
      <c r="B236" s="1288">
        <v>64171</v>
      </c>
      <c r="C236" s="1289" t="s">
        <v>493</v>
      </c>
      <c r="D236" s="1289" t="s">
        <v>505</v>
      </c>
      <c r="E236" s="1289" t="s">
        <v>976</v>
      </c>
      <c r="F236" s="1308">
        <v>2865790</v>
      </c>
      <c r="G236" s="918" t="s">
        <v>2068</v>
      </c>
      <c r="H236" s="1288"/>
      <c r="I236" s="185" t="str">
        <f t="shared" si="3"/>
        <v>1898311</v>
      </c>
      <c r="J236" s="185"/>
      <c r="K236" s="185"/>
      <c r="L236" s="185"/>
    </row>
    <row r="237" spans="1:12" ht="15.75" thickBot="1">
      <c r="A237" s="915" t="s">
        <v>492</v>
      </c>
      <c r="B237" s="1288">
        <v>64171</v>
      </c>
      <c r="C237" s="1289" t="s">
        <v>493</v>
      </c>
      <c r="D237" s="1289" t="s">
        <v>503</v>
      </c>
      <c r="E237" s="1289" t="s">
        <v>977</v>
      </c>
      <c r="F237" s="1308">
        <v>837382</v>
      </c>
      <c r="G237" s="918" t="s">
        <v>2066</v>
      </c>
      <c r="H237" s="1288"/>
      <c r="I237" s="185" t="str">
        <f t="shared" si="3"/>
        <v>1898309</v>
      </c>
      <c r="J237" s="185"/>
      <c r="K237" s="185"/>
      <c r="L237" s="185"/>
    </row>
    <row r="238" spans="1:12" ht="15.75" thickBot="1">
      <c r="A238" s="188" t="s">
        <v>224</v>
      </c>
      <c r="B238" s="189">
        <v>33111</v>
      </c>
      <c r="C238" s="197"/>
      <c r="D238" s="190" t="s">
        <v>494</v>
      </c>
      <c r="E238" s="197"/>
      <c r="F238" s="1310"/>
      <c r="G238" s="198" t="s">
        <v>2062</v>
      </c>
      <c r="H238" s="189"/>
      <c r="I238" s="185" t="str">
        <f t="shared" si="3"/>
        <v>1898301</v>
      </c>
      <c r="J238" s="185"/>
      <c r="K238" s="185"/>
      <c r="L238" s="185"/>
    </row>
  </sheetData>
  <mergeCells count="1">
    <mergeCell ref="K2:W2"/>
  </mergeCells>
  <pageMargins left="0.7" right="0.7" top="0.75" bottom="0.75" header="0.3" footer="0.3"/>
  <pageSetup paperSize="9" orientation="portrait" horizontalDpi="300" verticalDpi="300"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O160"/>
  <sheetViews>
    <sheetView workbookViewId="0">
      <selection activeCell="G25" sqref="G25"/>
    </sheetView>
  </sheetViews>
  <sheetFormatPr defaultRowHeight="15"/>
  <cols>
    <col min="9" max="9" width="17" customWidth="1"/>
    <col min="12" max="12" width="14.28515625" customWidth="1"/>
  </cols>
  <sheetData>
    <row r="3" spans="4:15">
      <c r="D3" s="185"/>
      <c r="E3" s="185"/>
      <c r="F3" s="185"/>
      <c r="G3" s="185"/>
      <c r="H3" s="185"/>
      <c r="I3" s="185"/>
      <c r="J3" s="185"/>
      <c r="K3" s="185"/>
      <c r="L3" s="185"/>
      <c r="M3" s="185"/>
      <c r="N3" s="185"/>
      <c r="O3" s="185"/>
    </row>
    <row r="4" spans="4:15" ht="15.75" thickBot="1">
      <c r="D4" s="194" t="s">
        <v>492</v>
      </c>
      <c r="E4" s="190">
        <v>64171</v>
      </c>
      <c r="F4" s="190" t="s">
        <v>493</v>
      </c>
      <c r="G4" s="190" t="s">
        <v>494</v>
      </c>
      <c r="H4" s="190" t="s">
        <v>976</v>
      </c>
      <c r="I4" s="195">
        <v>-26996209</v>
      </c>
      <c r="J4" s="196">
        <v>1898301</v>
      </c>
      <c r="K4" s="190"/>
      <c r="L4" s="1197">
        <f>-I4</f>
        <v>26996209</v>
      </c>
      <c r="M4" s="185"/>
      <c r="N4" s="185"/>
      <c r="O4" s="185"/>
    </row>
    <row r="5" spans="4:15" ht="15.75" thickBot="1">
      <c r="D5" s="188" t="s">
        <v>492</v>
      </c>
      <c r="E5" s="189">
        <v>64171</v>
      </c>
      <c r="F5" s="193" t="s">
        <v>493</v>
      </c>
      <c r="G5" s="193" t="s">
        <v>496</v>
      </c>
      <c r="H5" s="193" t="s">
        <v>976</v>
      </c>
      <c r="I5" s="191">
        <v>-40741820</v>
      </c>
      <c r="J5" s="192">
        <v>1898302</v>
      </c>
      <c r="K5" s="189"/>
      <c r="L5" s="1197">
        <f t="shared" ref="L5:L68" si="0">-I5</f>
        <v>40741820</v>
      </c>
      <c r="M5" s="185"/>
      <c r="N5" s="185"/>
      <c r="O5" s="185"/>
    </row>
    <row r="6" spans="4:15" ht="15.75" thickBot="1">
      <c r="D6" s="188" t="s">
        <v>492</v>
      </c>
      <c r="E6" s="189">
        <v>64171</v>
      </c>
      <c r="F6" s="190" t="s">
        <v>493</v>
      </c>
      <c r="G6" s="190" t="s">
        <v>497</v>
      </c>
      <c r="H6" s="190" t="s">
        <v>976</v>
      </c>
      <c r="I6" s="191">
        <v>-19289530</v>
      </c>
      <c r="J6" s="192">
        <v>1898303</v>
      </c>
      <c r="K6" s="189"/>
      <c r="L6" s="1197">
        <f t="shared" si="0"/>
        <v>19289530</v>
      </c>
      <c r="M6" s="185"/>
      <c r="N6" s="185"/>
      <c r="O6" s="185"/>
    </row>
    <row r="7" spans="4:15" ht="15.75" thickBot="1">
      <c r="D7" s="188" t="s">
        <v>492</v>
      </c>
      <c r="E7" s="189">
        <v>64171</v>
      </c>
      <c r="F7" s="193" t="s">
        <v>493</v>
      </c>
      <c r="G7" s="193" t="s">
        <v>498</v>
      </c>
      <c r="H7" s="193" t="s">
        <v>976</v>
      </c>
      <c r="I7" s="191">
        <v>-9356158</v>
      </c>
      <c r="J7" s="192">
        <v>1898304</v>
      </c>
      <c r="K7" s="189"/>
      <c r="L7" s="1197">
        <f t="shared" si="0"/>
        <v>9356158</v>
      </c>
      <c r="M7" s="185"/>
      <c r="N7" s="185"/>
      <c r="O7" s="185"/>
    </row>
    <row r="8" spans="4:15" ht="15.75" thickBot="1">
      <c r="D8" s="188" t="s">
        <v>492</v>
      </c>
      <c r="E8" s="189">
        <v>64171</v>
      </c>
      <c r="F8" s="190" t="s">
        <v>493</v>
      </c>
      <c r="G8" s="190" t="s">
        <v>499</v>
      </c>
      <c r="H8" s="190" t="s">
        <v>976</v>
      </c>
      <c r="I8" s="191">
        <v>-7791907</v>
      </c>
      <c r="J8" s="192">
        <v>1898305</v>
      </c>
      <c r="K8" s="189"/>
      <c r="L8" s="1197">
        <f t="shared" si="0"/>
        <v>7791907</v>
      </c>
      <c r="M8" s="185"/>
      <c r="N8" s="185"/>
      <c r="O8" s="185"/>
    </row>
    <row r="9" spans="4:15" ht="15.75" thickBot="1">
      <c r="D9" s="188" t="s">
        <v>492</v>
      </c>
      <c r="E9" s="189">
        <v>64171</v>
      </c>
      <c r="F9" s="193" t="s">
        <v>493</v>
      </c>
      <c r="G9" s="193" t="s">
        <v>500</v>
      </c>
      <c r="H9" s="193" t="s">
        <v>976</v>
      </c>
      <c r="I9" s="191">
        <v>-12449101</v>
      </c>
      <c r="J9" s="192">
        <v>1898306</v>
      </c>
      <c r="K9" s="189"/>
      <c r="L9" s="1197">
        <f t="shared" si="0"/>
        <v>12449101</v>
      </c>
      <c r="M9" s="185"/>
      <c r="N9" s="185"/>
      <c r="O9" s="185"/>
    </row>
    <row r="10" spans="4:15" ht="15.75" thickBot="1">
      <c r="D10" s="188" t="s">
        <v>492</v>
      </c>
      <c r="E10" s="189">
        <v>64171</v>
      </c>
      <c r="F10" s="190" t="s">
        <v>493</v>
      </c>
      <c r="G10" s="190" t="s">
        <v>501</v>
      </c>
      <c r="H10" s="190" t="s">
        <v>976</v>
      </c>
      <c r="I10" s="191">
        <v>-5607740</v>
      </c>
      <c r="J10" s="192">
        <v>1898307</v>
      </c>
      <c r="K10" s="189"/>
      <c r="L10" s="1197">
        <f t="shared" si="0"/>
        <v>5607740</v>
      </c>
      <c r="M10" s="185"/>
      <c r="N10" s="185"/>
      <c r="O10" s="185"/>
    </row>
    <row r="11" spans="4:15" ht="15.75" thickBot="1">
      <c r="D11" s="188" t="s">
        <v>492</v>
      </c>
      <c r="E11" s="189">
        <v>64171</v>
      </c>
      <c r="F11" s="193" t="s">
        <v>493</v>
      </c>
      <c r="G11" s="193" t="s">
        <v>502</v>
      </c>
      <c r="H11" s="193" t="s">
        <v>976</v>
      </c>
      <c r="I11" s="191">
        <v>-10883017</v>
      </c>
      <c r="J11" s="192">
        <v>1898308</v>
      </c>
      <c r="K11" s="189"/>
      <c r="L11" s="1197">
        <f t="shared" si="0"/>
        <v>10883017</v>
      </c>
      <c r="M11" s="185"/>
      <c r="N11" s="185"/>
      <c r="O11" s="185"/>
    </row>
    <row r="12" spans="4:15" ht="15.75" thickBot="1">
      <c r="D12" s="188" t="s">
        <v>492</v>
      </c>
      <c r="E12" s="189">
        <v>64171</v>
      </c>
      <c r="F12" s="190" t="s">
        <v>493</v>
      </c>
      <c r="G12" s="190" t="s">
        <v>503</v>
      </c>
      <c r="H12" s="190" t="s">
        <v>976</v>
      </c>
      <c r="I12" s="191">
        <v>-22872434</v>
      </c>
      <c r="J12" s="192">
        <v>1898309</v>
      </c>
      <c r="K12" s="189"/>
      <c r="L12" s="1197">
        <f t="shared" si="0"/>
        <v>22872434</v>
      </c>
      <c r="M12" s="185"/>
      <c r="N12" s="185"/>
      <c r="O12" s="185"/>
    </row>
    <row r="13" spans="4:15" ht="15.75" thickBot="1">
      <c r="D13" s="188" t="s">
        <v>492</v>
      </c>
      <c r="E13" s="189">
        <v>64171</v>
      </c>
      <c r="F13" s="193" t="s">
        <v>493</v>
      </c>
      <c r="G13" s="193" t="s">
        <v>504</v>
      </c>
      <c r="H13" s="193" t="s">
        <v>976</v>
      </c>
      <c r="I13" s="191">
        <v>-2112</v>
      </c>
      <c r="J13" s="192">
        <v>1898310</v>
      </c>
      <c r="K13" s="189"/>
      <c r="L13" s="1197">
        <f t="shared" si="0"/>
        <v>2112</v>
      </c>
      <c r="M13" s="185"/>
      <c r="N13" s="185"/>
      <c r="O13" s="185"/>
    </row>
    <row r="14" spans="4:15" ht="15.75" thickBot="1">
      <c r="D14" s="188" t="s">
        <v>492</v>
      </c>
      <c r="E14" s="189">
        <v>64171</v>
      </c>
      <c r="F14" s="190" t="s">
        <v>493</v>
      </c>
      <c r="G14" s="190" t="s">
        <v>505</v>
      </c>
      <c r="H14" s="190" t="s">
        <v>976</v>
      </c>
      <c r="I14" s="191">
        <v>-7486093</v>
      </c>
      <c r="J14" s="192">
        <v>1898311</v>
      </c>
      <c r="K14" s="189"/>
      <c r="L14" s="1197">
        <f t="shared" si="0"/>
        <v>7486093</v>
      </c>
      <c r="M14" s="185"/>
      <c r="N14" s="185"/>
      <c r="O14" s="185"/>
    </row>
    <row r="15" spans="4:15" ht="15.75" thickBot="1">
      <c r="D15" s="188" t="s">
        <v>492</v>
      </c>
      <c r="E15" s="189">
        <v>64171</v>
      </c>
      <c r="F15" s="193" t="s">
        <v>493</v>
      </c>
      <c r="G15" s="193" t="s">
        <v>494</v>
      </c>
      <c r="H15" s="193" t="s">
        <v>977</v>
      </c>
      <c r="I15" s="191">
        <v>-25293889</v>
      </c>
      <c r="J15" s="192">
        <v>1898301</v>
      </c>
      <c r="K15" s="189"/>
      <c r="L15" s="1197">
        <f t="shared" si="0"/>
        <v>25293889</v>
      </c>
      <c r="M15" s="185"/>
      <c r="N15" s="185"/>
      <c r="O15" s="185"/>
    </row>
    <row r="16" spans="4:15" ht="15.75" thickBot="1">
      <c r="D16" s="188" t="s">
        <v>492</v>
      </c>
      <c r="E16" s="189">
        <v>64171</v>
      </c>
      <c r="F16" s="190" t="s">
        <v>493</v>
      </c>
      <c r="G16" s="190" t="s">
        <v>496</v>
      </c>
      <c r="H16" s="190" t="s">
        <v>977</v>
      </c>
      <c r="I16" s="191">
        <v>-23011730</v>
      </c>
      <c r="J16" s="192">
        <v>1898302</v>
      </c>
      <c r="K16" s="189"/>
      <c r="L16" s="1197">
        <f t="shared" si="0"/>
        <v>23011730</v>
      </c>
      <c r="M16" s="185"/>
      <c r="N16" s="185"/>
      <c r="O16" s="185"/>
    </row>
    <row r="17" spans="4:15" ht="15.75" thickBot="1">
      <c r="D17" s="188" t="s">
        <v>492</v>
      </c>
      <c r="E17" s="189">
        <v>64171</v>
      </c>
      <c r="F17" s="193" t="s">
        <v>493</v>
      </c>
      <c r="G17" s="193" t="s">
        <v>497</v>
      </c>
      <c r="H17" s="193" t="s">
        <v>977</v>
      </c>
      <c r="I17" s="191">
        <v>-31146918</v>
      </c>
      <c r="J17" s="192">
        <v>1898303</v>
      </c>
      <c r="K17" s="189"/>
      <c r="L17" s="1197">
        <f t="shared" si="0"/>
        <v>31146918</v>
      </c>
      <c r="M17" s="185"/>
      <c r="N17" s="185"/>
      <c r="O17" s="185"/>
    </row>
    <row r="18" spans="4:15" ht="15.75" thickBot="1">
      <c r="D18" s="188" t="s">
        <v>492</v>
      </c>
      <c r="E18" s="189">
        <v>64171</v>
      </c>
      <c r="F18" s="190" t="s">
        <v>493</v>
      </c>
      <c r="G18" s="190" t="s">
        <v>498</v>
      </c>
      <c r="H18" s="190" t="s">
        <v>977</v>
      </c>
      <c r="I18" s="191">
        <v>-11708785</v>
      </c>
      <c r="J18" s="192">
        <v>1898304</v>
      </c>
      <c r="K18" s="189"/>
      <c r="L18" s="1197">
        <f t="shared" si="0"/>
        <v>11708785</v>
      </c>
      <c r="M18" s="185"/>
      <c r="N18" s="185"/>
      <c r="O18" s="185"/>
    </row>
    <row r="19" spans="4:15" ht="15.75" thickBot="1">
      <c r="D19" s="188" t="s">
        <v>492</v>
      </c>
      <c r="E19" s="189">
        <v>64171</v>
      </c>
      <c r="F19" s="193" t="s">
        <v>493</v>
      </c>
      <c r="G19" s="193" t="s">
        <v>499</v>
      </c>
      <c r="H19" s="193" t="s">
        <v>977</v>
      </c>
      <c r="I19" s="191">
        <v>-8766995</v>
      </c>
      <c r="J19" s="192">
        <v>1898305</v>
      </c>
      <c r="K19" s="189"/>
      <c r="L19" s="1197">
        <f t="shared" si="0"/>
        <v>8766995</v>
      </c>
      <c r="M19" s="185"/>
      <c r="N19" s="185"/>
      <c r="O19" s="185"/>
    </row>
    <row r="20" spans="4:15" ht="15.75" thickBot="1">
      <c r="D20" s="188" t="s">
        <v>492</v>
      </c>
      <c r="E20" s="189">
        <v>64171</v>
      </c>
      <c r="F20" s="190" t="s">
        <v>493</v>
      </c>
      <c r="G20" s="190" t="s">
        <v>500</v>
      </c>
      <c r="H20" s="190" t="s">
        <v>977</v>
      </c>
      <c r="I20" s="191">
        <v>-12431613</v>
      </c>
      <c r="J20" s="192">
        <v>1898306</v>
      </c>
      <c r="K20" s="189"/>
      <c r="L20" s="1197">
        <f t="shared" si="0"/>
        <v>12431613</v>
      </c>
      <c r="M20" s="185"/>
      <c r="N20" s="185"/>
      <c r="O20" s="185"/>
    </row>
    <row r="21" spans="4:15" ht="15.75" thickBot="1">
      <c r="D21" s="188" t="s">
        <v>492</v>
      </c>
      <c r="E21" s="189">
        <v>64171</v>
      </c>
      <c r="F21" s="193" t="s">
        <v>493</v>
      </c>
      <c r="G21" s="193" t="s">
        <v>501</v>
      </c>
      <c r="H21" s="193" t="s">
        <v>977</v>
      </c>
      <c r="I21" s="191">
        <v>-8245329</v>
      </c>
      <c r="J21" s="192">
        <v>1898307</v>
      </c>
      <c r="K21" s="189"/>
      <c r="L21" s="1197">
        <f t="shared" si="0"/>
        <v>8245329</v>
      </c>
      <c r="M21" s="185"/>
      <c r="N21" s="185"/>
      <c r="O21" s="185"/>
    </row>
    <row r="22" spans="4:15" ht="15.75" thickBot="1">
      <c r="D22" s="188" t="s">
        <v>492</v>
      </c>
      <c r="E22" s="189">
        <v>64171</v>
      </c>
      <c r="F22" s="190" t="s">
        <v>493</v>
      </c>
      <c r="G22" s="190" t="s">
        <v>502</v>
      </c>
      <c r="H22" s="190" t="s">
        <v>977</v>
      </c>
      <c r="I22" s="191">
        <v>-7257189</v>
      </c>
      <c r="J22" s="192">
        <v>1898308</v>
      </c>
      <c r="K22" s="189"/>
      <c r="L22" s="1197">
        <f t="shared" si="0"/>
        <v>7257189</v>
      </c>
      <c r="M22" s="185"/>
      <c r="N22" s="185"/>
      <c r="O22" s="185"/>
    </row>
    <row r="23" spans="4:15" ht="15.75" thickBot="1">
      <c r="D23" s="188" t="s">
        <v>492</v>
      </c>
      <c r="E23" s="189">
        <v>64171</v>
      </c>
      <c r="F23" s="193" t="s">
        <v>493</v>
      </c>
      <c r="G23" s="193" t="s">
        <v>503</v>
      </c>
      <c r="H23" s="193" t="s">
        <v>977</v>
      </c>
      <c r="I23" s="191">
        <v>-16081402</v>
      </c>
      <c r="J23" s="192">
        <v>1898309</v>
      </c>
      <c r="K23" s="189"/>
      <c r="L23" s="1197">
        <f t="shared" si="0"/>
        <v>16081402</v>
      </c>
      <c r="M23" s="185"/>
      <c r="N23" s="185"/>
      <c r="O23" s="185"/>
    </row>
    <row r="24" spans="4:15" ht="15.75" thickBot="1">
      <c r="D24" s="188" t="s">
        <v>492</v>
      </c>
      <c r="E24" s="189">
        <v>64171</v>
      </c>
      <c r="F24" s="190" t="s">
        <v>493</v>
      </c>
      <c r="G24" s="190" t="s">
        <v>504</v>
      </c>
      <c r="H24" s="190" t="s">
        <v>977</v>
      </c>
      <c r="I24" s="191">
        <v>-30976</v>
      </c>
      <c r="J24" s="192">
        <v>1898310</v>
      </c>
      <c r="K24" s="189"/>
      <c r="L24" s="1197">
        <f t="shared" si="0"/>
        <v>30976</v>
      </c>
      <c r="M24" s="185"/>
      <c r="N24" s="185"/>
      <c r="O24" s="185"/>
    </row>
    <row r="25" spans="4:15" ht="15.75" thickBot="1">
      <c r="D25" s="188" t="s">
        <v>492</v>
      </c>
      <c r="E25" s="189">
        <v>64171</v>
      </c>
      <c r="F25" s="193" t="s">
        <v>493</v>
      </c>
      <c r="G25" s="193" t="s">
        <v>494</v>
      </c>
      <c r="H25" s="193" t="s">
        <v>978</v>
      </c>
      <c r="I25" s="191">
        <v>-85635</v>
      </c>
      <c r="J25" s="192">
        <v>1898301</v>
      </c>
      <c r="K25" s="189"/>
      <c r="L25" s="1197">
        <f t="shared" si="0"/>
        <v>85635</v>
      </c>
      <c r="M25" s="185"/>
      <c r="N25" s="185"/>
      <c r="O25" s="185"/>
    </row>
    <row r="26" spans="4:15" ht="15.75" thickBot="1">
      <c r="D26" s="188" t="s">
        <v>492</v>
      </c>
      <c r="E26" s="189">
        <v>64171</v>
      </c>
      <c r="F26" s="190" t="s">
        <v>493</v>
      </c>
      <c r="G26" s="190" t="s">
        <v>500</v>
      </c>
      <c r="H26" s="190" t="s">
        <v>978</v>
      </c>
      <c r="I26" s="191">
        <v>-201800</v>
      </c>
      <c r="J26" s="192">
        <v>1898306</v>
      </c>
      <c r="K26" s="189"/>
      <c r="L26" s="1197">
        <f t="shared" si="0"/>
        <v>201800</v>
      </c>
      <c r="M26" s="185"/>
      <c r="N26" s="185"/>
      <c r="O26" s="185"/>
    </row>
    <row r="27" spans="4:15" ht="15.75" thickBot="1">
      <c r="D27" s="188" t="s">
        <v>492</v>
      </c>
      <c r="E27" s="189">
        <v>64171</v>
      </c>
      <c r="F27" s="193" t="s">
        <v>493</v>
      </c>
      <c r="G27" s="193" t="s">
        <v>502</v>
      </c>
      <c r="H27" s="193" t="s">
        <v>978</v>
      </c>
      <c r="I27" s="191">
        <v>-58438</v>
      </c>
      <c r="J27" s="192">
        <v>1898308</v>
      </c>
      <c r="K27" s="189"/>
      <c r="L27" s="1197">
        <f t="shared" si="0"/>
        <v>58438</v>
      </c>
      <c r="M27" s="185"/>
      <c r="N27" s="185"/>
      <c r="O27" s="185"/>
    </row>
    <row r="28" spans="4:15" ht="15.75" thickBot="1">
      <c r="D28" s="188" t="s">
        <v>492</v>
      </c>
      <c r="E28" s="189">
        <v>64171</v>
      </c>
      <c r="F28" s="190" t="s">
        <v>493</v>
      </c>
      <c r="G28" s="190" t="s">
        <v>504</v>
      </c>
      <c r="H28" s="190" t="s">
        <v>978</v>
      </c>
      <c r="I28" s="191">
        <v>-145924</v>
      </c>
      <c r="J28" s="192">
        <v>1898310</v>
      </c>
      <c r="K28" s="189"/>
      <c r="L28" s="1197">
        <f t="shared" si="0"/>
        <v>145924</v>
      </c>
      <c r="M28" s="185"/>
      <c r="N28" s="185"/>
      <c r="O28" s="185"/>
    </row>
    <row r="29" spans="4:15" ht="15.75" thickBot="1">
      <c r="D29" s="188" t="s">
        <v>492</v>
      </c>
      <c r="E29" s="189">
        <v>64171</v>
      </c>
      <c r="F29" s="193" t="s">
        <v>493</v>
      </c>
      <c r="G29" s="193" t="s">
        <v>494</v>
      </c>
      <c r="H29" s="193" t="s">
        <v>979</v>
      </c>
      <c r="I29" s="191">
        <v>-6319967</v>
      </c>
      <c r="J29" s="192">
        <v>1898301</v>
      </c>
      <c r="K29" s="189"/>
      <c r="L29" s="1197">
        <f t="shared" si="0"/>
        <v>6319967</v>
      </c>
      <c r="M29" s="185"/>
      <c r="N29" s="185"/>
      <c r="O29" s="185"/>
    </row>
    <row r="30" spans="4:15" ht="15.75" thickBot="1">
      <c r="D30" s="188" t="s">
        <v>492</v>
      </c>
      <c r="E30" s="189">
        <v>64171</v>
      </c>
      <c r="F30" s="190" t="s">
        <v>493</v>
      </c>
      <c r="G30" s="190" t="s">
        <v>496</v>
      </c>
      <c r="H30" s="190" t="s">
        <v>979</v>
      </c>
      <c r="I30" s="191">
        <v>-4205074</v>
      </c>
      <c r="J30" s="192">
        <v>1898302</v>
      </c>
      <c r="K30" s="189"/>
      <c r="L30" s="1197">
        <f t="shared" si="0"/>
        <v>4205074</v>
      </c>
      <c r="M30" s="185"/>
      <c r="N30" s="185"/>
      <c r="O30" s="185"/>
    </row>
    <row r="31" spans="4:15" ht="15.75" thickBot="1">
      <c r="D31" s="188" t="s">
        <v>492</v>
      </c>
      <c r="E31" s="189">
        <v>64171</v>
      </c>
      <c r="F31" s="193" t="s">
        <v>493</v>
      </c>
      <c r="G31" s="193" t="s">
        <v>497</v>
      </c>
      <c r="H31" s="193" t="s">
        <v>979</v>
      </c>
      <c r="I31" s="191">
        <v>-9152065</v>
      </c>
      <c r="J31" s="192">
        <v>1898303</v>
      </c>
      <c r="K31" s="189"/>
      <c r="L31" s="1197">
        <f t="shared" si="0"/>
        <v>9152065</v>
      </c>
      <c r="M31" s="185"/>
      <c r="N31" s="185"/>
      <c r="O31" s="185"/>
    </row>
    <row r="32" spans="4:15" ht="15.75" thickBot="1">
      <c r="D32" s="188" t="s">
        <v>492</v>
      </c>
      <c r="E32" s="189">
        <v>64171</v>
      </c>
      <c r="F32" s="190" t="s">
        <v>493</v>
      </c>
      <c r="G32" s="190" t="s">
        <v>498</v>
      </c>
      <c r="H32" s="190" t="s">
        <v>979</v>
      </c>
      <c r="I32" s="191">
        <v>-2705915</v>
      </c>
      <c r="J32" s="192">
        <v>1898304</v>
      </c>
      <c r="K32" s="189"/>
      <c r="L32" s="1197">
        <f t="shared" si="0"/>
        <v>2705915</v>
      </c>
      <c r="M32" s="185"/>
      <c r="N32" s="185"/>
      <c r="O32" s="185"/>
    </row>
    <row r="33" spans="4:15" ht="15.75" thickBot="1">
      <c r="D33" s="188" t="s">
        <v>492</v>
      </c>
      <c r="E33" s="189">
        <v>64171</v>
      </c>
      <c r="F33" s="193" t="s">
        <v>493</v>
      </c>
      <c r="G33" s="193" t="s">
        <v>499</v>
      </c>
      <c r="H33" s="193" t="s">
        <v>979</v>
      </c>
      <c r="I33" s="191">
        <v>-2166441</v>
      </c>
      <c r="J33" s="192">
        <v>1898305</v>
      </c>
      <c r="K33" s="189"/>
      <c r="L33" s="1197">
        <f t="shared" si="0"/>
        <v>2166441</v>
      </c>
      <c r="M33" s="185"/>
      <c r="N33" s="185"/>
      <c r="O33" s="185"/>
    </row>
    <row r="34" spans="4:15" ht="15.75" thickBot="1">
      <c r="D34" s="188" t="s">
        <v>492</v>
      </c>
      <c r="E34" s="189">
        <v>64171</v>
      </c>
      <c r="F34" s="190" t="s">
        <v>493</v>
      </c>
      <c r="G34" s="190" t="s">
        <v>500</v>
      </c>
      <c r="H34" s="190" t="s">
        <v>979</v>
      </c>
      <c r="I34" s="191">
        <v>-2315571</v>
      </c>
      <c r="J34" s="192">
        <v>1898306</v>
      </c>
      <c r="K34" s="189"/>
      <c r="L34" s="1197">
        <f t="shared" si="0"/>
        <v>2315571</v>
      </c>
      <c r="M34" s="185"/>
      <c r="N34" s="185"/>
      <c r="O34" s="185"/>
    </row>
    <row r="35" spans="4:15" ht="15.75" thickBot="1">
      <c r="D35" s="188" t="s">
        <v>492</v>
      </c>
      <c r="E35" s="189">
        <v>64171</v>
      </c>
      <c r="F35" s="193" t="s">
        <v>493</v>
      </c>
      <c r="G35" s="193" t="s">
        <v>501</v>
      </c>
      <c r="H35" s="193" t="s">
        <v>979</v>
      </c>
      <c r="I35" s="191">
        <v>-2534814</v>
      </c>
      <c r="J35" s="192">
        <v>1898307</v>
      </c>
      <c r="K35" s="189"/>
      <c r="L35" s="1197">
        <f t="shared" si="0"/>
        <v>2534814</v>
      </c>
      <c r="M35" s="185"/>
      <c r="N35" s="185"/>
      <c r="O35" s="185"/>
    </row>
    <row r="36" spans="4:15" ht="15.75" thickBot="1">
      <c r="D36" s="188" t="s">
        <v>492</v>
      </c>
      <c r="E36" s="189">
        <v>64171</v>
      </c>
      <c r="F36" s="190" t="s">
        <v>493</v>
      </c>
      <c r="G36" s="190" t="s">
        <v>502</v>
      </c>
      <c r="H36" s="190" t="s">
        <v>979</v>
      </c>
      <c r="I36" s="191">
        <v>-1472166</v>
      </c>
      <c r="J36" s="192">
        <v>1898308</v>
      </c>
      <c r="K36" s="189"/>
      <c r="L36" s="1197">
        <f t="shared" si="0"/>
        <v>1472166</v>
      </c>
      <c r="M36" s="185"/>
      <c r="N36" s="185"/>
      <c r="O36" s="185"/>
    </row>
    <row r="37" spans="4:15" ht="15.75" thickBot="1">
      <c r="D37" s="188" t="s">
        <v>492</v>
      </c>
      <c r="E37" s="189">
        <v>64171</v>
      </c>
      <c r="F37" s="193" t="s">
        <v>493</v>
      </c>
      <c r="G37" s="193" t="s">
        <v>503</v>
      </c>
      <c r="H37" s="193" t="s">
        <v>979</v>
      </c>
      <c r="I37" s="191">
        <v>-4077323</v>
      </c>
      <c r="J37" s="192">
        <v>1898309</v>
      </c>
      <c r="K37" s="189"/>
      <c r="L37" s="1197">
        <f t="shared" si="0"/>
        <v>4077323</v>
      </c>
      <c r="M37" s="185"/>
      <c r="N37" s="185"/>
      <c r="O37" s="185"/>
    </row>
    <row r="38" spans="4:15" ht="15.75" thickBot="1">
      <c r="D38" s="188" t="s">
        <v>492</v>
      </c>
      <c r="E38" s="189">
        <v>64171</v>
      </c>
      <c r="F38" s="190" t="s">
        <v>493</v>
      </c>
      <c r="G38" s="190" t="s">
        <v>494</v>
      </c>
      <c r="H38" s="190" t="s">
        <v>980</v>
      </c>
      <c r="I38" s="191">
        <v>-309341</v>
      </c>
      <c r="J38" s="192">
        <v>1898301</v>
      </c>
      <c r="K38" s="189"/>
      <c r="L38" s="1197">
        <f t="shared" si="0"/>
        <v>309341</v>
      </c>
      <c r="M38" s="185"/>
      <c r="N38" s="185"/>
      <c r="O38" s="185"/>
    </row>
    <row r="39" spans="4:15" ht="15.75" thickBot="1">
      <c r="D39" s="188" t="s">
        <v>492</v>
      </c>
      <c r="E39" s="189">
        <v>64171</v>
      </c>
      <c r="F39" s="193" t="s">
        <v>493</v>
      </c>
      <c r="G39" s="193" t="s">
        <v>496</v>
      </c>
      <c r="H39" s="193" t="s">
        <v>980</v>
      </c>
      <c r="I39" s="191">
        <v>-428106</v>
      </c>
      <c r="J39" s="192">
        <v>1898302</v>
      </c>
      <c r="K39" s="189"/>
      <c r="L39" s="1197">
        <f t="shared" si="0"/>
        <v>428106</v>
      </c>
      <c r="M39" s="185"/>
      <c r="N39" s="185"/>
      <c r="O39" s="185"/>
    </row>
    <row r="40" spans="4:15" ht="15.75" thickBot="1">
      <c r="D40" s="188" t="s">
        <v>492</v>
      </c>
      <c r="E40" s="189">
        <v>64171</v>
      </c>
      <c r="F40" s="190" t="s">
        <v>493</v>
      </c>
      <c r="G40" s="190" t="s">
        <v>497</v>
      </c>
      <c r="H40" s="190" t="s">
        <v>980</v>
      </c>
      <c r="I40" s="191">
        <v>-326485</v>
      </c>
      <c r="J40" s="192">
        <v>1898303</v>
      </c>
      <c r="K40" s="189"/>
      <c r="L40" s="1197">
        <f t="shared" si="0"/>
        <v>326485</v>
      </c>
      <c r="M40" s="185"/>
      <c r="N40" s="185"/>
      <c r="O40" s="185"/>
    </row>
    <row r="41" spans="4:15" ht="15.75" thickBot="1">
      <c r="D41" s="188" t="s">
        <v>492</v>
      </c>
      <c r="E41" s="189">
        <v>64171</v>
      </c>
      <c r="F41" s="193" t="s">
        <v>493</v>
      </c>
      <c r="G41" s="193" t="s">
        <v>498</v>
      </c>
      <c r="H41" s="193" t="s">
        <v>980</v>
      </c>
      <c r="I41" s="191">
        <v>-100916</v>
      </c>
      <c r="J41" s="192">
        <v>1898304</v>
      </c>
      <c r="K41" s="189"/>
      <c r="L41" s="1197">
        <f t="shared" si="0"/>
        <v>100916</v>
      </c>
      <c r="M41" s="185"/>
      <c r="N41" s="185"/>
      <c r="O41" s="185"/>
    </row>
    <row r="42" spans="4:15" ht="15.75" thickBot="1">
      <c r="D42" s="188" t="s">
        <v>492</v>
      </c>
      <c r="E42" s="189">
        <v>64171</v>
      </c>
      <c r="F42" s="190" t="s">
        <v>493</v>
      </c>
      <c r="G42" s="190" t="s">
        <v>499</v>
      </c>
      <c r="H42" s="190" t="s">
        <v>980</v>
      </c>
      <c r="I42" s="191">
        <v>-69231</v>
      </c>
      <c r="J42" s="192">
        <v>1898305</v>
      </c>
      <c r="K42" s="189"/>
      <c r="L42" s="1197">
        <f t="shared" si="0"/>
        <v>69231</v>
      </c>
      <c r="M42" s="185"/>
      <c r="N42" s="185"/>
      <c r="O42" s="185"/>
    </row>
    <row r="43" spans="4:15" ht="15.75" thickBot="1">
      <c r="D43" s="188" t="s">
        <v>492</v>
      </c>
      <c r="E43" s="189">
        <v>64171</v>
      </c>
      <c r="F43" s="193" t="s">
        <v>493</v>
      </c>
      <c r="G43" s="193" t="s">
        <v>500</v>
      </c>
      <c r="H43" s="193" t="s">
        <v>980</v>
      </c>
      <c r="I43" s="191">
        <v>-153035</v>
      </c>
      <c r="J43" s="192">
        <v>1898306</v>
      </c>
      <c r="K43" s="189"/>
      <c r="L43" s="1197">
        <f t="shared" si="0"/>
        <v>153035</v>
      </c>
      <c r="M43" s="185"/>
      <c r="N43" s="185"/>
      <c r="O43" s="185"/>
    </row>
    <row r="44" spans="4:15" ht="15.75" thickBot="1">
      <c r="D44" s="188" t="s">
        <v>492</v>
      </c>
      <c r="E44" s="189">
        <v>64171</v>
      </c>
      <c r="F44" s="190" t="s">
        <v>493</v>
      </c>
      <c r="G44" s="190" t="s">
        <v>501</v>
      </c>
      <c r="H44" s="190" t="s">
        <v>980</v>
      </c>
      <c r="I44" s="191">
        <v>-105270</v>
      </c>
      <c r="J44" s="192">
        <v>1898307</v>
      </c>
      <c r="K44" s="189"/>
      <c r="L44" s="1197">
        <f t="shared" si="0"/>
        <v>105270</v>
      </c>
      <c r="M44" s="185"/>
      <c r="N44" s="185"/>
      <c r="O44" s="185"/>
    </row>
    <row r="45" spans="4:15" ht="15.75" thickBot="1">
      <c r="D45" s="188" t="s">
        <v>492</v>
      </c>
      <c r="E45" s="189">
        <v>64171</v>
      </c>
      <c r="F45" s="193" t="s">
        <v>493</v>
      </c>
      <c r="G45" s="193" t="s">
        <v>502</v>
      </c>
      <c r="H45" s="193" t="s">
        <v>980</v>
      </c>
      <c r="I45" s="191">
        <v>-101639</v>
      </c>
      <c r="J45" s="192">
        <v>1898308</v>
      </c>
      <c r="K45" s="189"/>
      <c r="L45" s="1197">
        <f t="shared" si="0"/>
        <v>101639</v>
      </c>
      <c r="M45" s="185"/>
      <c r="N45" s="185"/>
      <c r="O45" s="185"/>
    </row>
    <row r="46" spans="4:15" ht="15.75" thickBot="1">
      <c r="D46" s="188" t="s">
        <v>492</v>
      </c>
      <c r="E46" s="189">
        <v>64171</v>
      </c>
      <c r="F46" s="190" t="s">
        <v>493</v>
      </c>
      <c r="G46" s="190" t="s">
        <v>503</v>
      </c>
      <c r="H46" s="190" t="s">
        <v>980</v>
      </c>
      <c r="I46" s="191">
        <v>-191286</v>
      </c>
      <c r="J46" s="192">
        <v>1898309</v>
      </c>
      <c r="K46" s="189"/>
      <c r="L46" s="1197">
        <f t="shared" si="0"/>
        <v>191286</v>
      </c>
      <c r="M46" s="185"/>
      <c r="N46" s="185"/>
      <c r="O46" s="185"/>
    </row>
    <row r="47" spans="4:15" ht="15.75" thickBot="1">
      <c r="D47" s="188" t="s">
        <v>492</v>
      </c>
      <c r="E47" s="189">
        <v>64171</v>
      </c>
      <c r="F47" s="193" t="s">
        <v>493</v>
      </c>
      <c r="G47" s="193" t="s">
        <v>494</v>
      </c>
      <c r="H47" s="193" t="s">
        <v>981</v>
      </c>
      <c r="I47" s="191">
        <v>-830611</v>
      </c>
      <c r="J47" s="192">
        <v>1898301</v>
      </c>
      <c r="K47" s="189"/>
      <c r="L47" s="1197">
        <f t="shared" si="0"/>
        <v>830611</v>
      </c>
      <c r="M47" s="185"/>
      <c r="N47" s="185"/>
      <c r="O47" s="185"/>
    </row>
    <row r="48" spans="4:15" ht="15.75" thickBot="1">
      <c r="D48" s="188" t="s">
        <v>492</v>
      </c>
      <c r="E48" s="189">
        <v>64171</v>
      </c>
      <c r="F48" s="190" t="s">
        <v>493</v>
      </c>
      <c r="G48" s="190" t="s">
        <v>496</v>
      </c>
      <c r="H48" s="190" t="s">
        <v>981</v>
      </c>
      <c r="I48" s="191">
        <v>-2374249</v>
      </c>
      <c r="J48" s="192">
        <v>1898302</v>
      </c>
      <c r="K48" s="189"/>
      <c r="L48" s="1197">
        <f t="shared" si="0"/>
        <v>2374249</v>
      </c>
      <c r="M48" s="185"/>
      <c r="N48" s="185"/>
      <c r="O48" s="185"/>
    </row>
    <row r="49" spans="4:15" ht="15.75" thickBot="1">
      <c r="D49" s="188" t="s">
        <v>492</v>
      </c>
      <c r="E49" s="189">
        <v>64171</v>
      </c>
      <c r="F49" s="193" t="s">
        <v>493</v>
      </c>
      <c r="G49" s="193" t="s">
        <v>497</v>
      </c>
      <c r="H49" s="193" t="s">
        <v>981</v>
      </c>
      <c r="I49" s="191">
        <v>-569728</v>
      </c>
      <c r="J49" s="192">
        <v>1898303</v>
      </c>
      <c r="K49" s="189"/>
      <c r="L49" s="1197">
        <f t="shared" si="0"/>
        <v>569728</v>
      </c>
      <c r="M49" s="185"/>
      <c r="N49" s="185"/>
      <c r="O49" s="185"/>
    </row>
    <row r="50" spans="4:15" ht="15.75" thickBot="1">
      <c r="D50" s="188" t="s">
        <v>492</v>
      </c>
      <c r="E50" s="189">
        <v>64171</v>
      </c>
      <c r="F50" s="190" t="s">
        <v>493</v>
      </c>
      <c r="G50" s="190" t="s">
        <v>498</v>
      </c>
      <c r="H50" s="190" t="s">
        <v>981</v>
      </c>
      <c r="I50" s="191">
        <v>-150178</v>
      </c>
      <c r="J50" s="192">
        <v>1898304</v>
      </c>
      <c r="K50" s="189"/>
      <c r="L50" s="1197">
        <f t="shared" si="0"/>
        <v>150178</v>
      </c>
      <c r="M50" s="185"/>
      <c r="N50" s="185"/>
      <c r="O50" s="185"/>
    </row>
    <row r="51" spans="4:15" ht="15.75" thickBot="1">
      <c r="D51" s="188" t="s">
        <v>492</v>
      </c>
      <c r="E51" s="189">
        <v>64171</v>
      </c>
      <c r="F51" s="193" t="s">
        <v>493</v>
      </c>
      <c r="G51" s="193" t="s">
        <v>499</v>
      </c>
      <c r="H51" s="193" t="s">
        <v>981</v>
      </c>
      <c r="I51" s="191">
        <v>-185453</v>
      </c>
      <c r="J51" s="192">
        <v>1898305</v>
      </c>
      <c r="K51" s="189"/>
      <c r="L51" s="1197">
        <f t="shared" si="0"/>
        <v>185453</v>
      </c>
      <c r="M51" s="185"/>
      <c r="N51" s="185"/>
      <c r="O51" s="185"/>
    </row>
    <row r="52" spans="4:15" ht="15.75" thickBot="1">
      <c r="D52" s="188" t="s">
        <v>492</v>
      </c>
      <c r="E52" s="189">
        <v>64171</v>
      </c>
      <c r="F52" s="190" t="s">
        <v>493</v>
      </c>
      <c r="G52" s="190" t="s">
        <v>500</v>
      </c>
      <c r="H52" s="190" t="s">
        <v>981</v>
      </c>
      <c r="I52" s="191">
        <v>-308158</v>
      </c>
      <c r="J52" s="192">
        <v>1898306</v>
      </c>
      <c r="K52" s="189"/>
      <c r="L52" s="1197">
        <f t="shared" si="0"/>
        <v>308158</v>
      </c>
      <c r="M52" s="185"/>
      <c r="N52" s="185"/>
      <c r="O52" s="185"/>
    </row>
    <row r="53" spans="4:15" ht="15.75" thickBot="1">
      <c r="D53" s="188" t="s">
        <v>492</v>
      </c>
      <c r="E53" s="189">
        <v>64171</v>
      </c>
      <c r="F53" s="193" t="s">
        <v>493</v>
      </c>
      <c r="G53" s="193" t="s">
        <v>501</v>
      </c>
      <c r="H53" s="193" t="s">
        <v>981</v>
      </c>
      <c r="I53" s="191">
        <v>-180294</v>
      </c>
      <c r="J53" s="192">
        <v>1898307</v>
      </c>
      <c r="K53" s="189"/>
      <c r="L53" s="1197">
        <f t="shared" si="0"/>
        <v>180294</v>
      </c>
      <c r="M53" s="185"/>
      <c r="N53" s="185"/>
      <c r="O53" s="185"/>
    </row>
    <row r="54" spans="4:15" ht="15.75" thickBot="1">
      <c r="D54" s="188" t="s">
        <v>492</v>
      </c>
      <c r="E54" s="189">
        <v>64171</v>
      </c>
      <c r="F54" s="190" t="s">
        <v>493</v>
      </c>
      <c r="G54" s="190" t="s">
        <v>502</v>
      </c>
      <c r="H54" s="190" t="s">
        <v>981</v>
      </c>
      <c r="I54" s="191">
        <v>-187014</v>
      </c>
      <c r="J54" s="192">
        <v>1898308</v>
      </c>
      <c r="K54" s="189"/>
      <c r="L54" s="1197">
        <f t="shared" si="0"/>
        <v>187014</v>
      </c>
      <c r="M54" s="185"/>
      <c r="N54" s="185"/>
      <c r="O54" s="185"/>
    </row>
    <row r="55" spans="4:15" ht="15.75" thickBot="1">
      <c r="D55" s="188" t="s">
        <v>492</v>
      </c>
      <c r="E55" s="189">
        <v>64171</v>
      </c>
      <c r="F55" s="193" t="s">
        <v>493</v>
      </c>
      <c r="G55" s="193" t="s">
        <v>503</v>
      </c>
      <c r="H55" s="193" t="s">
        <v>981</v>
      </c>
      <c r="I55" s="191">
        <v>-334800</v>
      </c>
      <c r="J55" s="192">
        <v>1898309</v>
      </c>
      <c r="K55" s="189"/>
      <c r="L55" s="1197">
        <f t="shared" si="0"/>
        <v>334800</v>
      </c>
      <c r="M55" s="185"/>
      <c r="N55" s="185"/>
      <c r="O55" s="185"/>
    </row>
    <row r="56" spans="4:15" ht="15.75" thickBot="1">
      <c r="D56" s="188" t="s">
        <v>492</v>
      </c>
      <c r="E56" s="189">
        <v>64171</v>
      </c>
      <c r="F56" s="190" t="s">
        <v>493</v>
      </c>
      <c r="G56" s="190" t="s">
        <v>494</v>
      </c>
      <c r="H56" s="190" t="s">
        <v>982</v>
      </c>
      <c r="I56" s="191">
        <v>-393904</v>
      </c>
      <c r="J56" s="192">
        <v>1898301</v>
      </c>
      <c r="K56" s="189"/>
      <c r="L56" s="1197">
        <f t="shared" si="0"/>
        <v>393904</v>
      </c>
      <c r="M56" s="185"/>
      <c r="N56" s="185"/>
      <c r="O56" s="185"/>
    </row>
    <row r="57" spans="4:15" ht="15.75" thickBot="1">
      <c r="D57" s="188" t="s">
        <v>492</v>
      </c>
      <c r="E57" s="189">
        <v>64171</v>
      </c>
      <c r="F57" s="193" t="s">
        <v>493</v>
      </c>
      <c r="G57" s="193" t="s">
        <v>496</v>
      </c>
      <c r="H57" s="193" t="s">
        <v>982</v>
      </c>
      <c r="I57" s="191">
        <v>-1082913</v>
      </c>
      <c r="J57" s="192">
        <v>1898302</v>
      </c>
      <c r="K57" s="189"/>
      <c r="L57" s="1197">
        <f t="shared" si="0"/>
        <v>1082913</v>
      </c>
      <c r="M57" s="185"/>
      <c r="N57" s="185"/>
      <c r="O57" s="185"/>
    </row>
    <row r="58" spans="4:15" ht="15.75" thickBot="1">
      <c r="D58" s="188" t="s">
        <v>492</v>
      </c>
      <c r="E58" s="189">
        <v>64171</v>
      </c>
      <c r="F58" s="190" t="s">
        <v>493</v>
      </c>
      <c r="G58" s="190" t="s">
        <v>497</v>
      </c>
      <c r="H58" s="190" t="s">
        <v>982</v>
      </c>
      <c r="I58" s="191">
        <v>-44622</v>
      </c>
      <c r="J58" s="192">
        <v>1898303</v>
      </c>
      <c r="K58" s="189"/>
      <c r="L58" s="1197">
        <f t="shared" si="0"/>
        <v>44622</v>
      </c>
      <c r="M58" s="185"/>
      <c r="N58" s="185"/>
      <c r="O58" s="185"/>
    </row>
    <row r="59" spans="4:15" ht="15.75" thickBot="1">
      <c r="D59" s="188" t="s">
        <v>492</v>
      </c>
      <c r="E59" s="189">
        <v>64171</v>
      </c>
      <c r="F59" s="193" t="s">
        <v>493</v>
      </c>
      <c r="G59" s="193" t="s">
        <v>498</v>
      </c>
      <c r="H59" s="193" t="s">
        <v>982</v>
      </c>
      <c r="I59" s="191">
        <v>-26416</v>
      </c>
      <c r="J59" s="192">
        <v>1898304</v>
      </c>
      <c r="K59" s="189"/>
      <c r="L59" s="1197">
        <f t="shared" si="0"/>
        <v>26416</v>
      </c>
      <c r="M59" s="185"/>
      <c r="N59" s="185"/>
      <c r="O59" s="185"/>
    </row>
    <row r="60" spans="4:15" ht="15.75" thickBot="1">
      <c r="D60" s="188" t="s">
        <v>492</v>
      </c>
      <c r="E60" s="189">
        <v>64171</v>
      </c>
      <c r="F60" s="190" t="s">
        <v>493</v>
      </c>
      <c r="G60" s="190" t="s">
        <v>499</v>
      </c>
      <c r="H60" s="190" t="s">
        <v>982</v>
      </c>
      <c r="I60" s="191">
        <v>-3670</v>
      </c>
      <c r="J60" s="192">
        <v>1898305</v>
      </c>
      <c r="K60" s="189"/>
      <c r="L60" s="1197">
        <f t="shared" si="0"/>
        <v>3670</v>
      </c>
      <c r="M60" s="185"/>
      <c r="N60" s="185"/>
      <c r="O60" s="185"/>
    </row>
    <row r="61" spans="4:15" ht="15.75" thickBot="1">
      <c r="D61" s="188" t="s">
        <v>492</v>
      </c>
      <c r="E61" s="189">
        <v>64171</v>
      </c>
      <c r="F61" s="193" t="s">
        <v>493</v>
      </c>
      <c r="G61" s="193" t="s">
        <v>500</v>
      </c>
      <c r="H61" s="193" t="s">
        <v>982</v>
      </c>
      <c r="I61" s="191">
        <v>-28642</v>
      </c>
      <c r="J61" s="192">
        <v>1898306</v>
      </c>
      <c r="K61" s="189"/>
      <c r="L61" s="1197">
        <f t="shared" si="0"/>
        <v>28642</v>
      </c>
      <c r="M61" s="185"/>
      <c r="N61" s="185"/>
      <c r="O61" s="185"/>
    </row>
    <row r="62" spans="4:15" ht="15.75" thickBot="1">
      <c r="D62" s="188" t="s">
        <v>492</v>
      </c>
      <c r="E62" s="189">
        <v>64171</v>
      </c>
      <c r="F62" s="190" t="s">
        <v>493</v>
      </c>
      <c r="G62" s="190" t="s">
        <v>501</v>
      </c>
      <c r="H62" s="190" t="s">
        <v>982</v>
      </c>
      <c r="I62" s="191">
        <v>-2549</v>
      </c>
      <c r="J62" s="192">
        <v>1898307</v>
      </c>
      <c r="K62" s="189"/>
      <c r="L62" s="1197">
        <f t="shared" si="0"/>
        <v>2549</v>
      </c>
      <c r="M62" s="185"/>
      <c r="N62" s="185"/>
      <c r="O62" s="185"/>
    </row>
    <row r="63" spans="4:15" ht="15.75" thickBot="1">
      <c r="D63" s="188" t="s">
        <v>492</v>
      </c>
      <c r="E63" s="189">
        <v>64171</v>
      </c>
      <c r="F63" s="193" t="s">
        <v>493</v>
      </c>
      <c r="G63" s="193" t="s">
        <v>502</v>
      </c>
      <c r="H63" s="193" t="s">
        <v>982</v>
      </c>
      <c r="I63" s="191">
        <v>-23330</v>
      </c>
      <c r="J63" s="192">
        <v>1898308</v>
      </c>
      <c r="K63" s="189"/>
      <c r="L63" s="1197">
        <f t="shared" si="0"/>
        <v>23330</v>
      </c>
      <c r="M63" s="185"/>
      <c r="N63" s="185"/>
      <c r="O63" s="185"/>
    </row>
    <row r="64" spans="4:15" ht="15.75" thickBot="1">
      <c r="D64" s="188" t="s">
        <v>492</v>
      </c>
      <c r="E64" s="189">
        <v>64171</v>
      </c>
      <c r="F64" s="190" t="s">
        <v>493</v>
      </c>
      <c r="G64" s="190" t="s">
        <v>503</v>
      </c>
      <c r="H64" s="190" t="s">
        <v>982</v>
      </c>
      <c r="I64" s="191">
        <v>-4866</v>
      </c>
      <c r="J64" s="192">
        <v>1898309</v>
      </c>
      <c r="K64" s="189"/>
      <c r="L64" s="1197">
        <f t="shared" si="0"/>
        <v>4866</v>
      </c>
      <c r="M64" s="185"/>
      <c r="N64" s="185"/>
      <c r="O64" s="185"/>
    </row>
    <row r="65" spans="4:15" ht="15.75" thickBot="1">
      <c r="D65" s="188" t="s">
        <v>492</v>
      </c>
      <c r="E65" s="189">
        <v>64171</v>
      </c>
      <c r="F65" s="193" t="s">
        <v>493</v>
      </c>
      <c r="G65" s="193" t="s">
        <v>504</v>
      </c>
      <c r="H65" s="193" t="s">
        <v>982</v>
      </c>
      <c r="I65" s="191">
        <v>-1963838</v>
      </c>
      <c r="J65" s="192">
        <v>1898310</v>
      </c>
      <c r="K65" s="189"/>
      <c r="L65" s="1197">
        <f t="shared" si="0"/>
        <v>1963838</v>
      </c>
      <c r="M65" s="185"/>
      <c r="N65" s="185"/>
      <c r="O65" s="185"/>
    </row>
    <row r="66" spans="4:15" ht="15.75" thickBot="1">
      <c r="D66" s="188" t="s">
        <v>492</v>
      </c>
      <c r="E66" s="189">
        <v>64171</v>
      </c>
      <c r="F66" s="190" t="s">
        <v>493</v>
      </c>
      <c r="G66" s="190" t="s">
        <v>494</v>
      </c>
      <c r="H66" s="190" t="s">
        <v>983</v>
      </c>
      <c r="I66" s="191">
        <v>-316465</v>
      </c>
      <c r="J66" s="192">
        <v>1898301</v>
      </c>
      <c r="K66" s="189"/>
      <c r="L66" s="1197">
        <f t="shared" si="0"/>
        <v>316465</v>
      </c>
      <c r="M66" s="185"/>
      <c r="N66" s="185"/>
      <c r="O66" s="185"/>
    </row>
    <row r="67" spans="4:15" ht="15.75" thickBot="1">
      <c r="D67" s="188" t="s">
        <v>492</v>
      </c>
      <c r="E67" s="189">
        <v>64171</v>
      </c>
      <c r="F67" s="193" t="s">
        <v>493</v>
      </c>
      <c r="G67" s="193" t="s">
        <v>500</v>
      </c>
      <c r="H67" s="193" t="s">
        <v>983</v>
      </c>
      <c r="I67" s="191">
        <v>-30991</v>
      </c>
      <c r="J67" s="192">
        <v>1898306</v>
      </c>
      <c r="K67" s="189"/>
      <c r="L67" s="1197">
        <f t="shared" si="0"/>
        <v>30991</v>
      </c>
      <c r="M67" s="185"/>
      <c r="N67" s="185"/>
      <c r="O67" s="185"/>
    </row>
    <row r="68" spans="4:15" ht="15.75" thickBot="1">
      <c r="D68" s="188" t="s">
        <v>492</v>
      </c>
      <c r="E68" s="189">
        <v>64171</v>
      </c>
      <c r="F68" s="190" t="s">
        <v>493</v>
      </c>
      <c r="G68" s="190" t="s">
        <v>504</v>
      </c>
      <c r="H68" s="190" t="s">
        <v>983</v>
      </c>
      <c r="I68" s="191">
        <v>-3284805</v>
      </c>
      <c r="J68" s="192">
        <v>1898310</v>
      </c>
      <c r="K68" s="189"/>
      <c r="L68" s="1197">
        <f t="shared" si="0"/>
        <v>3284805</v>
      </c>
      <c r="M68" s="185"/>
      <c r="N68" s="185"/>
      <c r="O68" s="185"/>
    </row>
    <row r="69" spans="4:15" ht="15.75" thickBot="1">
      <c r="D69" s="188" t="s">
        <v>492</v>
      </c>
      <c r="E69" s="189">
        <v>64171</v>
      </c>
      <c r="F69" s="193" t="s">
        <v>493</v>
      </c>
      <c r="G69" s="193" t="s">
        <v>494</v>
      </c>
      <c r="H69" s="193" t="s">
        <v>984</v>
      </c>
      <c r="I69" s="191">
        <v>-22637</v>
      </c>
      <c r="J69" s="192">
        <v>1898301</v>
      </c>
      <c r="K69" s="189"/>
      <c r="L69" s="1197">
        <f t="shared" ref="L69:L132" si="1">-I69</f>
        <v>22637</v>
      </c>
      <c r="M69" s="185"/>
      <c r="N69" s="185"/>
      <c r="O69" s="185"/>
    </row>
    <row r="70" spans="4:15" ht="15.75" thickBot="1">
      <c r="D70" s="188" t="s">
        <v>492</v>
      </c>
      <c r="E70" s="189">
        <v>64171</v>
      </c>
      <c r="F70" s="190" t="s">
        <v>493</v>
      </c>
      <c r="G70" s="190" t="s">
        <v>496</v>
      </c>
      <c r="H70" s="190" t="s">
        <v>984</v>
      </c>
      <c r="I70" s="191">
        <v>-3997</v>
      </c>
      <c r="J70" s="192">
        <v>1898302</v>
      </c>
      <c r="K70" s="189"/>
      <c r="L70" s="1197">
        <f t="shared" si="1"/>
        <v>3997</v>
      </c>
      <c r="M70" s="185"/>
      <c r="N70" s="185"/>
      <c r="O70" s="185"/>
    </row>
    <row r="71" spans="4:15" ht="15.75" thickBot="1">
      <c r="D71" s="188" t="s">
        <v>492</v>
      </c>
      <c r="E71" s="189">
        <v>64171</v>
      </c>
      <c r="F71" s="193" t="s">
        <v>493</v>
      </c>
      <c r="G71" s="193" t="s">
        <v>497</v>
      </c>
      <c r="H71" s="193" t="s">
        <v>984</v>
      </c>
      <c r="I71" s="191">
        <v>-25757</v>
      </c>
      <c r="J71" s="192">
        <v>1898303</v>
      </c>
      <c r="K71" s="189"/>
      <c r="L71" s="1197">
        <f t="shared" si="1"/>
        <v>25757</v>
      </c>
      <c r="M71" s="185"/>
      <c r="N71" s="185"/>
      <c r="O71" s="185"/>
    </row>
    <row r="72" spans="4:15" ht="15.75" thickBot="1">
      <c r="D72" s="188" t="s">
        <v>492</v>
      </c>
      <c r="E72" s="189">
        <v>64171</v>
      </c>
      <c r="F72" s="190" t="s">
        <v>493</v>
      </c>
      <c r="G72" s="190" t="s">
        <v>498</v>
      </c>
      <c r="H72" s="190" t="s">
        <v>984</v>
      </c>
      <c r="I72" s="1198">
        <v>-668</v>
      </c>
      <c r="J72" s="192">
        <v>1898304</v>
      </c>
      <c r="K72" s="189"/>
      <c r="L72" s="1197">
        <f t="shared" si="1"/>
        <v>668</v>
      </c>
      <c r="M72" s="185"/>
      <c r="N72" s="185"/>
      <c r="O72" s="185"/>
    </row>
    <row r="73" spans="4:15" ht="15.75" thickBot="1">
      <c r="D73" s="188" t="s">
        <v>492</v>
      </c>
      <c r="E73" s="189">
        <v>64171</v>
      </c>
      <c r="F73" s="193" t="s">
        <v>493</v>
      </c>
      <c r="G73" s="193" t="s">
        <v>499</v>
      </c>
      <c r="H73" s="193" t="s">
        <v>984</v>
      </c>
      <c r="I73" s="191">
        <v>-8112</v>
      </c>
      <c r="J73" s="192">
        <v>1898305</v>
      </c>
      <c r="K73" s="189"/>
      <c r="L73" s="1197">
        <f t="shared" si="1"/>
        <v>8112</v>
      </c>
      <c r="M73" s="185"/>
      <c r="N73" s="185"/>
      <c r="O73" s="185"/>
    </row>
    <row r="74" spans="4:15" ht="15.75" thickBot="1">
      <c r="D74" s="188" t="s">
        <v>492</v>
      </c>
      <c r="E74" s="189">
        <v>64171</v>
      </c>
      <c r="F74" s="190" t="s">
        <v>493</v>
      </c>
      <c r="G74" s="190" t="s">
        <v>504</v>
      </c>
      <c r="H74" s="190" t="s">
        <v>984</v>
      </c>
      <c r="I74" s="191">
        <v>-165975</v>
      </c>
      <c r="J74" s="192">
        <v>1898310</v>
      </c>
      <c r="K74" s="189"/>
      <c r="L74" s="1197">
        <f t="shared" si="1"/>
        <v>165975</v>
      </c>
      <c r="M74" s="185"/>
      <c r="N74" s="185"/>
      <c r="O74" s="185"/>
    </row>
    <row r="75" spans="4:15" ht="15.75" thickBot="1">
      <c r="D75" s="188" t="s">
        <v>492</v>
      </c>
      <c r="E75" s="189">
        <v>64171</v>
      </c>
      <c r="F75" s="193" t="s">
        <v>493</v>
      </c>
      <c r="G75" s="193" t="s">
        <v>494</v>
      </c>
      <c r="H75" s="193" t="s">
        <v>985</v>
      </c>
      <c r="I75" s="191">
        <v>-27927</v>
      </c>
      <c r="J75" s="192">
        <v>1898301</v>
      </c>
      <c r="K75" s="189"/>
      <c r="L75" s="1197">
        <f t="shared" si="1"/>
        <v>27927</v>
      </c>
      <c r="M75" s="185"/>
      <c r="N75" s="185"/>
      <c r="O75" s="185"/>
    </row>
    <row r="76" spans="4:15" ht="15.75" thickBot="1">
      <c r="D76" s="188" t="s">
        <v>492</v>
      </c>
      <c r="E76" s="189">
        <v>64171</v>
      </c>
      <c r="F76" s="190" t="s">
        <v>493</v>
      </c>
      <c r="G76" s="190" t="s">
        <v>496</v>
      </c>
      <c r="H76" s="190" t="s">
        <v>985</v>
      </c>
      <c r="I76" s="191">
        <v>-56291</v>
      </c>
      <c r="J76" s="192">
        <v>1898302</v>
      </c>
      <c r="K76" s="189"/>
      <c r="L76" s="1197">
        <f t="shared" si="1"/>
        <v>56291</v>
      </c>
      <c r="M76" s="185"/>
      <c r="N76" s="185"/>
      <c r="O76" s="185"/>
    </row>
    <row r="77" spans="4:15" ht="15.75" thickBot="1">
      <c r="D77" s="188" t="s">
        <v>492</v>
      </c>
      <c r="E77" s="189">
        <v>64171</v>
      </c>
      <c r="F77" s="193" t="s">
        <v>493</v>
      </c>
      <c r="G77" s="193" t="s">
        <v>497</v>
      </c>
      <c r="H77" s="193" t="s">
        <v>985</v>
      </c>
      <c r="I77" s="191">
        <v>-16280</v>
      </c>
      <c r="J77" s="192">
        <v>1898303</v>
      </c>
      <c r="K77" s="189"/>
      <c r="L77" s="1197">
        <f t="shared" si="1"/>
        <v>16280</v>
      </c>
      <c r="M77" s="185"/>
      <c r="N77" s="185"/>
      <c r="O77" s="185"/>
    </row>
    <row r="78" spans="4:15" ht="15.75" thickBot="1">
      <c r="D78" s="188" t="s">
        <v>492</v>
      </c>
      <c r="E78" s="189">
        <v>64171</v>
      </c>
      <c r="F78" s="190" t="s">
        <v>493</v>
      </c>
      <c r="G78" s="190" t="s">
        <v>498</v>
      </c>
      <c r="H78" s="190" t="s">
        <v>985</v>
      </c>
      <c r="I78" s="191">
        <v>-5978</v>
      </c>
      <c r="J78" s="192">
        <v>1898304</v>
      </c>
      <c r="K78" s="189"/>
      <c r="L78" s="1197">
        <f t="shared" si="1"/>
        <v>5978</v>
      </c>
      <c r="M78" s="185"/>
      <c r="N78" s="185"/>
      <c r="O78" s="185"/>
    </row>
    <row r="79" spans="4:15" ht="15.75" thickBot="1">
      <c r="D79" s="188" t="s">
        <v>492</v>
      </c>
      <c r="E79" s="189">
        <v>64171</v>
      </c>
      <c r="F79" s="193" t="s">
        <v>493</v>
      </c>
      <c r="G79" s="193" t="s">
        <v>499</v>
      </c>
      <c r="H79" s="193" t="s">
        <v>985</v>
      </c>
      <c r="I79" s="191">
        <v>-5089</v>
      </c>
      <c r="J79" s="192">
        <v>1898305</v>
      </c>
      <c r="K79" s="189"/>
      <c r="L79" s="1197">
        <f t="shared" si="1"/>
        <v>5089</v>
      </c>
      <c r="M79" s="185"/>
      <c r="N79" s="185"/>
      <c r="O79" s="185"/>
    </row>
    <row r="80" spans="4:15" ht="15.75" thickBot="1">
      <c r="D80" s="188" t="s">
        <v>492</v>
      </c>
      <c r="E80" s="189">
        <v>64171</v>
      </c>
      <c r="F80" s="190" t="s">
        <v>493</v>
      </c>
      <c r="G80" s="190" t="s">
        <v>500</v>
      </c>
      <c r="H80" s="190" t="s">
        <v>985</v>
      </c>
      <c r="I80" s="191">
        <v>-7820</v>
      </c>
      <c r="J80" s="192">
        <v>1898306</v>
      </c>
      <c r="K80" s="189"/>
      <c r="L80" s="1197">
        <f t="shared" si="1"/>
        <v>7820</v>
      </c>
      <c r="M80" s="185"/>
      <c r="N80" s="185"/>
      <c r="O80" s="185"/>
    </row>
    <row r="81" spans="4:15" ht="15.75" thickBot="1">
      <c r="D81" s="188" t="s">
        <v>492</v>
      </c>
      <c r="E81" s="189">
        <v>64171</v>
      </c>
      <c r="F81" s="193" t="s">
        <v>493</v>
      </c>
      <c r="G81" s="193" t="s">
        <v>501</v>
      </c>
      <c r="H81" s="193" t="s">
        <v>985</v>
      </c>
      <c r="I81" s="191">
        <v>-3278</v>
      </c>
      <c r="J81" s="192">
        <v>1898307</v>
      </c>
      <c r="K81" s="189"/>
      <c r="L81" s="1197">
        <f t="shared" si="1"/>
        <v>3278</v>
      </c>
      <c r="M81" s="185"/>
      <c r="N81" s="185"/>
      <c r="O81" s="185"/>
    </row>
    <row r="82" spans="4:15" ht="15.75" thickBot="1">
      <c r="D82" s="188" t="s">
        <v>492</v>
      </c>
      <c r="E82" s="189">
        <v>64171</v>
      </c>
      <c r="F82" s="190" t="s">
        <v>493</v>
      </c>
      <c r="G82" s="190" t="s">
        <v>502</v>
      </c>
      <c r="H82" s="190" t="s">
        <v>985</v>
      </c>
      <c r="I82" s="191">
        <v>-14116</v>
      </c>
      <c r="J82" s="192">
        <v>1898308</v>
      </c>
      <c r="K82" s="189"/>
      <c r="L82" s="1197">
        <f t="shared" si="1"/>
        <v>14116</v>
      </c>
      <c r="M82" s="185"/>
      <c r="N82" s="185"/>
      <c r="O82" s="185"/>
    </row>
    <row r="83" spans="4:15" ht="15.75" thickBot="1">
      <c r="D83" s="188" t="s">
        <v>492</v>
      </c>
      <c r="E83" s="189">
        <v>64171</v>
      </c>
      <c r="F83" s="193" t="s">
        <v>493</v>
      </c>
      <c r="G83" s="193" t="s">
        <v>503</v>
      </c>
      <c r="H83" s="193" t="s">
        <v>985</v>
      </c>
      <c r="I83" s="191">
        <v>-7089</v>
      </c>
      <c r="J83" s="192">
        <v>1898309</v>
      </c>
      <c r="K83" s="189"/>
      <c r="L83" s="1197">
        <f t="shared" si="1"/>
        <v>7089</v>
      </c>
      <c r="M83" s="185"/>
      <c r="N83" s="185"/>
      <c r="O83" s="185"/>
    </row>
    <row r="84" spans="4:15" ht="15.75" thickBot="1">
      <c r="D84" s="188" t="s">
        <v>492</v>
      </c>
      <c r="E84" s="189">
        <v>64171</v>
      </c>
      <c r="F84" s="190" t="s">
        <v>493</v>
      </c>
      <c r="G84" s="190" t="s">
        <v>504</v>
      </c>
      <c r="H84" s="190" t="s">
        <v>985</v>
      </c>
      <c r="I84" s="191">
        <v>-49765</v>
      </c>
      <c r="J84" s="192">
        <v>1898310</v>
      </c>
      <c r="K84" s="189"/>
      <c r="L84" s="1197">
        <f t="shared" si="1"/>
        <v>49765</v>
      </c>
      <c r="M84" s="185"/>
      <c r="N84" s="185"/>
      <c r="O84" s="185"/>
    </row>
    <row r="85" spans="4:15" ht="15.75" thickBot="1">
      <c r="D85" s="188" t="s">
        <v>492</v>
      </c>
      <c r="E85" s="189">
        <v>64171</v>
      </c>
      <c r="F85" s="193" t="s">
        <v>493</v>
      </c>
      <c r="G85" s="193" t="s">
        <v>494</v>
      </c>
      <c r="H85" s="193" t="s">
        <v>986</v>
      </c>
      <c r="I85" s="191">
        <v>-3920</v>
      </c>
      <c r="J85" s="192">
        <v>1898301</v>
      </c>
      <c r="K85" s="189"/>
      <c r="L85" s="1197">
        <f t="shared" si="1"/>
        <v>3920</v>
      </c>
      <c r="M85" s="185"/>
      <c r="N85" s="185"/>
      <c r="O85" s="185"/>
    </row>
    <row r="86" spans="4:15" ht="15.75" thickBot="1">
      <c r="D86" s="188" t="s">
        <v>492</v>
      </c>
      <c r="E86" s="189">
        <v>64171</v>
      </c>
      <c r="F86" s="190" t="s">
        <v>493</v>
      </c>
      <c r="G86" s="190" t="s">
        <v>504</v>
      </c>
      <c r="H86" s="190" t="s">
        <v>986</v>
      </c>
      <c r="I86" s="191">
        <v>-41818</v>
      </c>
      <c r="J86" s="192">
        <v>1898310</v>
      </c>
      <c r="K86" s="189"/>
      <c r="L86" s="1197">
        <f t="shared" si="1"/>
        <v>41818</v>
      </c>
      <c r="M86" s="185"/>
      <c r="N86" s="185"/>
      <c r="O86" s="185"/>
    </row>
    <row r="87" spans="4:15" ht="15.75" thickBot="1">
      <c r="D87" s="188" t="s">
        <v>492</v>
      </c>
      <c r="E87" s="189">
        <v>64171</v>
      </c>
      <c r="F87" s="193" t="s">
        <v>493</v>
      </c>
      <c r="G87" s="193" t="s">
        <v>494</v>
      </c>
      <c r="H87" s="193" t="s">
        <v>987</v>
      </c>
      <c r="I87" s="191">
        <v>-5675</v>
      </c>
      <c r="J87" s="192">
        <v>1898301</v>
      </c>
      <c r="K87" s="189"/>
      <c r="L87" s="1197">
        <f t="shared" si="1"/>
        <v>5675</v>
      </c>
      <c r="M87" s="185"/>
      <c r="N87" s="185"/>
      <c r="O87" s="185"/>
    </row>
    <row r="88" spans="4:15" ht="15.75" thickBot="1">
      <c r="D88" s="188" t="s">
        <v>492</v>
      </c>
      <c r="E88" s="189">
        <v>64171</v>
      </c>
      <c r="F88" s="190" t="s">
        <v>493</v>
      </c>
      <c r="G88" s="190" t="s">
        <v>504</v>
      </c>
      <c r="H88" s="190" t="s">
        <v>987</v>
      </c>
      <c r="I88" s="191">
        <v>-60540</v>
      </c>
      <c r="J88" s="192">
        <v>1898310</v>
      </c>
      <c r="K88" s="189"/>
      <c r="L88" s="1197">
        <f t="shared" si="1"/>
        <v>60540</v>
      </c>
      <c r="M88" s="185"/>
      <c r="N88" s="185"/>
      <c r="O88" s="185"/>
    </row>
    <row r="89" spans="4:15" ht="15.75" thickBot="1">
      <c r="D89" s="188" t="s">
        <v>492</v>
      </c>
      <c r="E89" s="189">
        <v>64171</v>
      </c>
      <c r="F89" s="193" t="s">
        <v>493</v>
      </c>
      <c r="G89" s="193" t="s">
        <v>494</v>
      </c>
      <c r="H89" s="193" t="s">
        <v>988</v>
      </c>
      <c r="I89" s="191">
        <v>-22903</v>
      </c>
      <c r="J89" s="192">
        <v>1898301</v>
      </c>
      <c r="K89" s="189"/>
      <c r="L89" s="1197">
        <f t="shared" si="1"/>
        <v>22903</v>
      </c>
      <c r="M89" s="185"/>
      <c r="N89" s="185"/>
      <c r="O89" s="185"/>
    </row>
    <row r="90" spans="4:15" ht="15.75" thickBot="1">
      <c r="D90" s="188" t="s">
        <v>492</v>
      </c>
      <c r="E90" s="189">
        <v>64171</v>
      </c>
      <c r="F90" s="190" t="s">
        <v>493</v>
      </c>
      <c r="G90" s="190" t="s">
        <v>496</v>
      </c>
      <c r="H90" s="190" t="s">
        <v>988</v>
      </c>
      <c r="I90" s="191">
        <v>-20364</v>
      </c>
      <c r="J90" s="192">
        <v>1898302</v>
      </c>
      <c r="K90" s="189"/>
      <c r="L90" s="1197">
        <f t="shared" si="1"/>
        <v>20364</v>
      </c>
      <c r="M90" s="185"/>
      <c r="N90" s="185"/>
      <c r="O90" s="185"/>
    </row>
    <row r="91" spans="4:15" ht="15.75" thickBot="1">
      <c r="D91" s="188" t="s">
        <v>492</v>
      </c>
      <c r="E91" s="189">
        <v>64171</v>
      </c>
      <c r="F91" s="193" t="s">
        <v>493</v>
      </c>
      <c r="G91" s="193" t="s">
        <v>497</v>
      </c>
      <c r="H91" s="193" t="s">
        <v>988</v>
      </c>
      <c r="I91" s="191">
        <v>-1092</v>
      </c>
      <c r="J91" s="192">
        <v>1898303</v>
      </c>
      <c r="K91" s="189"/>
      <c r="L91" s="1197">
        <f t="shared" si="1"/>
        <v>1092</v>
      </c>
      <c r="M91" s="185"/>
      <c r="N91" s="185"/>
      <c r="O91" s="185"/>
    </row>
    <row r="92" spans="4:15" ht="15.75" thickBot="1">
      <c r="D92" s="188" t="s">
        <v>492</v>
      </c>
      <c r="E92" s="189">
        <v>64171</v>
      </c>
      <c r="F92" s="190" t="s">
        <v>493</v>
      </c>
      <c r="G92" s="190" t="s">
        <v>504</v>
      </c>
      <c r="H92" s="190" t="s">
        <v>988</v>
      </c>
      <c r="I92" s="191">
        <v>-206516</v>
      </c>
      <c r="J92" s="192">
        <v>1898310</v>
      </c>
      <c r="K92" s="189"/>
      <c r="L92" s="1197">
        <f t="shared" si="1"/>
        <v>206516</v>
      </c>
      <c r="M92" s="185"/>
      <c r="N92" s="185"/>
      <c r="O92" s="185"/>
    </row>
    <row r="93" spans="4:15" ht="15.75" thickBot="1">
      <c r="D93" s="188" t="s">
        <v>492</v>
      </c>
      <c r="E93" s="189">
        <v>64171</v>
      </c>
      <c r="F93" s="193" t="s">
        <v>493</v>
      </c>
      <c r="G93" s="193" t="s">
        <v>494</v>
      </c>
      <c r="H93" s="193" t="s">
        <v>509</v>
      </c>
      <c r="I93" s="191">
        <v>-412076</v>
      </c>
      <c r="J93" s="192">
        <v>1898301</v>
      </c>
      <c r="K93" s="189"/>
      <c r="L93" s="1197">
        <f t="shared" si="1"/>
        <v>412076</v>
      </c>
      <c r="M93" s="185"/>
      <c r="N93" s="185"/>
      <c r="O93" s="185"/>
    </row>
    <row r="94" spans="4:15" ht="15.75" thickBot="1">
      <c r="D94" s="188" t="s">
        <v>492</v>
      </c>
      <c r="E94" s="189">
        <v>64171</v>
      </c>
      <c r="F94" s="190" t="s">
        <v>493</v>
      </c>
      <c r="G94" s="190" t="s">
        <v>496</v>
      </c>
      <c r="H94" s="190" t="s">
        <v>509</v>
      </c>
      <c r="I94" s="191">
        <v>-118724</v>
      </c>
      <c r="J94" s="192">
        <v>1898302</v>
      </c>
      <c r="K94" s="189"/>
      <c r="L94" s="1197">
        <f t="shared" si="1"/>
        <v>118724</v>
      </c>
      <c r="M94" s="185"/>
      <c r="N94" s="185"/>
      <c r="O94" s="185"/>
    </row>
    <row r="95" spans="4:15" ht="15.75" thickBot="1">
      <c r="D95" s="188" t="s">
        <v>492</v>
      </c>
      <c r="E95" s="189">
        <v>64171</v>
      </c>
      <c r="F95" s="193" t="s">
        <v>493</v>
      </c>
      <c r="G95" s="193" t="s">
        <v>497</v>
      </c>
      <c r="H95" s="193" t="s">
        <v>509</v>
      </c>
      <c r="I95" s="191">
        <v>-1774983</v>
      </c>
      <c r="J95" s="192">
        <v>1898303</v>
      </c>
      <c r="K95" s="189"/>
      <c r="L95" s="1197">
        <f t="shared" si="1"/>
        <v>1774983</v>
      </c>
      <c r="M95" s="185"/>
      <c r="N95" s="185"/>
      <c r="O95" s="185"/>
    </row>
    <row r="96" spans="4:15" ht="15.75" thickBot="1">
      <c r="D96" s="188" t="s">
        <v>492</v>
      </c>
      <c r="E96" s="189">
        <v>64171</v>
      </c>
      <c r="F96" s="190" t="s">
        <v>493</v>
      </c>
      <c r="G96" s="190" t="s">
        <v>499</v>
      </c>
      <c r="H96" s="190" t="s">
        <v>509</v>
      </c>
      <c r="I96" s="191">
        <v>-11190</v>
      </c>
      <c r="J96" s="192">
        <v>1898305</v>
      </c>
      <c r="K96" s="189"/>
      <c r="L96" s="1197">
        <f t="shared" si="1"/>
        <v>11190</v>
      </c>
      <c r="M96" s="185"/>
      <c r="N96" s="185"/>
      <c r="O96" s="185"/>
    </row>
    <row r="97" spans="4:15" ht="15.75" thickBot="1">
      <c r="D97" s="188" t="s">
        <v>492</v>
      </c>
      <c r="E97" s="189">
        <v>64171</v>
      </c>
      <c r="F97" s="193" t="s">
        <v>493</v>
      </c>
      <c r="G97" s="193" t="s">
        <v>500</v>
      </c>
      <c r="H97" s="193" t="s">
        <v>509</v>
      </c>
      <c r="I97" s="191">
        <v>-23704</v>
      </c>
      <c r="J97" s="192">
        <v>1898306</v>
      </c>
      <c r="K97" s="189"/>
      <c r="L97" s="1197">
        <f t="shared" si="1"/>
        <v>23704</v>
      </c>
      <c r="M97" s="185"/>
      <c r="N97" s="185"/>
      <c r="O97" s="185"/>
    </row>
    <row r="98" spans="4:15" ht="15.75" thickBot="1">
      <c r="D98" s="188" t="s">
        <v>492</v>
      </c>
      <c r="E98" s="189">
        <v>64171</v>
      </c>
      <c r="F98" s="190" t="s">
        <v>493</v>
      </c>
      <c r="G98" s="190" t="s">
        <v>503</v>
      </c>
      <c r="H98" s="190" t="s">
        <v>509</v>
      </c>
      <c r="I98" s="191">
        <v>-42135</v>
      </c>
      <c r="J98" s="192">
        <v>1898309</v>
      </c>
      <c r="K98" s="189"/>
      <c r="L98" s="1197">
        <f t="shared" si="1"/>
        <v>42135</v>
      </c>
      <c r="M98" s="185"/>
      <c r="N98" s="185"/>
      <c r="O98" s="185"/>
    </row>
    <row r="99" spans="4:15" ht="15.75" thickBot="1">
      <c r="D99" s="188" t="s">
        <v>492</v>
      </c>
      <c r="E99" s="189">
        <v>64171</v>
      </c>
      <c r="F99" s="193" t="s">
        <v>493</v>
      </c>
      <c r="G99" s="193" t="s">
        <v>504</v>
      </c>
      <c r="H99" s="193" t="s">
        <v>509</v>
      </c>
      <c r="I99" s="191">
        <v>-859596</v>
      </c>
      <c r="J99" s="192">
        <v>1898310</v>
      </c>
      <c r="K99" s="189"/>
      <c r="L99" s="1197">
        <f t="shared" si="1"/>
        <v>859596</v>
      </c>
      <c r="M99" s="185"/>
      <c r="N99" s="185"/>
      <c r="O99" s="185"/>
    </row>
    <row r="100" spans="4:15" ht="15.75" thickBot="1">
      <c r="D100" s="188" t="s">
        <v>492</v>
      </c>
      <c r="E100" s="189">
        <v>64171</v>
      </c>
      <c r="F100" s="190" t="s">
        <v>493</v>
      </c>
      <c r="G100" s="190" t="s">
        <v>494</v>
      </c>
      <c r="H100" s="190" t="s">
        <v>1360</v>
      </c>
      <c r="I100" s="191">
        <v>-258212</v>
      </c>
      <c r="J100" s="192">
        <v>1898301</v>
      </c>
      <c r="K100" s="189"/>
      <c r="L100" s="1197">
        <f t="shared" si="1"/>
        <v>258212</v>
      </c>
      <c r="M100" s="185"/>
      <c r="N100" s="185"/>
      <c r="O100" s="185"/>
    </row>
    <row r="101" spans="4:15" ht="15.75" thickBot="1">
      <c r="D101" s="188" t="s">
        <v>492</v>
      </c>
      <c r="E101" s="189">
        <v>64171</v>
      </c>
      <c r="F101" s="193" t="s">
        <v>493</v>
      </c>
      <c r="G101" s="193" t="s">
        <v>496</v>
      </c>
      <c r="H101" s="193" t="s">
        <v>1360</v>
      </c>
      <c r="I101" s="191">
        <v>-9362</v>
      </c>
      <c r="J101" s="192">
        <v>1898302</v>
      </c>
      <c r="K101" s="189"/>
      <c r="L101" s="1197">
        <f t="shared" si="1"/>
        <v>9362</v>
      </c>
      <c r="M101" s="185"/>
      <c r="N101" s="185"/>
      <c r="O101" s="185"/>
    </row>
    <row r="102" spans="4:15" ht="15.75" thickBot="1">
      <c r="D102" s="188" t="s">
        <v>492</v>
      </c>
      <c r="E102" s="189">
        <v>64171</v>
      </c>
      <c r="F102" s="190" t="s">
        <v>493</v>
      </c>
      <c r="G102" s="190" t="s">
        <v>497</v>
      </c>
      <c r="H102" s="190" t="s">
        <v>1360</v>
      </c>
      <c r="I102" s="191">
        <v>-751591</v>
      </c>
      <c r="J102" s="192">
        <v>1898303</v>
      </c>
      <c r="K102" s="189"/>
      <c r="L102" s="1197">
        <f t="shared" si="1"/>
        <v>751591</v>
      </c>
      <c r="M102" s="185"/>
      <c r="N102" s="185"/>
      <c r="O102" s="185"/>
    </row>
    <row r="103" spans="4:15" ht="15.75" thickBot="1">
      <c r="D103" s="188" t="s">
        <v>492</v>
      </c>
      <c r="E103" s="189">
        <v>64171</v>
      </c>
      <c r="F103" s="193" t="s">
        <v>493</v>
      </c>
      <c r="G103" s="193" t="s">
        <v>498</v>
      </c>
      <c r="H103" s="193" t="s">
        <v>1360</v>
      </c>
      <c r="I103" s="191">
        <v>-34621</v>
      </c>
      <c r="J103" s="192">
        <v>1898304</v>
      </c>
      <c r="K103" s="189"/>
      <c r="L103" s="1197">
        <f t="shared" si="1"/>
        <v>34621</v>
      </c>
      <c r="M103" s="185"/>
      <c r="N103" s="185"/>
      <c r="O103" s="185"/>
    </row>
    <row r="104" spans="4:15" ht="15.75" thickBot="1">
      <c r="D104" s="188" t="s">
        <v>492</v>
      </c>
      <c r="E104" s="189">
        <v>64171</v>
      </c>
      <c r="F104" s="190" t="s">
        <v>493</v>
      </c>
      <c r="G104" s="190" t="s">
        <v>499</v>
      </c>
      <c r="H104" s="190" t="s">
        <v>1360</v>
      </c>
      <c r="I104" s="191">
        <v>-11393</v>
      </c>
      <c r="J104" s="192">
        <v>1898305</v>
      </c>
      <c r="K104" s="189"/>
      <c r="L104" s="1197">
        <f t="shared" si="1"/>
        <v>11393</v>
      </c>
      <c r="M104" s="185"/>
      <c r="N104" s="185"/>
      <c r="O104" s="185"/>
    </row>
    <row r="105" spans="4:15" ht="15.75" thickBot="1">
      <c r="D105" s="188" t="s">
        <v>492</v>
      </c>
      <c r="E105" s="189">
        <v>64171</v>
      </c>
      <c r="F105" s="193" t="s">
        <v>493</v>
      </c>
      <c r="G105" s="193" t="s">
        <v>500</v>
      </c>
      <c r="H105" s="193" t="s">
        <v>1360</v>
      </c>
      <c r="I105" s="191">
        <v>-145551</v>
      </c>
      <c r="J105" s="192">
        <v>1898306</v>
      </c>
      <c r="K105" s="189"/>
      <c r="L105" s="1197">
        <f t="shared" si="1"/>
        <v>145551</v>
      </c>
      <c r="M105" s="185"/>
      <c r="N105" s="185"/>
      <c r="O105" s="185"/>
    </row>
    <row r="106" spans="4:15" ht="15.75" thickBot="1">
      <c r="D106" s="188" t="s">
        <v>492</v>
      </c>
      <c r="E106" s="189">
        <v>64171</v>
      </c>
      <c r="F106" s="190" t="s">
        <v>493</v>
      </c>
      <c r="G106" s="190" t="s">
        <v>501</v>
      </c>
      <c r="H106" s="190" t="s">
        <v>1360</v>
      </c>
      <c r="I106" s="191">
        <v>-8339</v>
      </c>
      <c r="J106" s="192">
        <v>1898307</v>
      </c>
      <c r="K106" s="189"/>
      <c r="L106" s="1197">
        <f t="shared" si="1"/>
        <v>8339</v>
      </c>
      <c r="M106" s="185"/>
      <c r="N106" s="185"/>
      <c r="O106" s="185"/>
    </row>
    <row r="107" spans="4:15" ht="15.75" thickBot="1">
      <c r="D107" s="188" t="s">
        <v>492</v>
      </c>
      <c r="E107" s="189">
        <v>64171</v>
      </c>
      <c r="F107" s="193" t="s">
        <v>493</v>
      </c>
      <c r="G107" s="193" t="s">
        <v>502</v>
      </c>
      <c r="H107" s="193" t="s">
        <v>1360</v>
      </c>
      <c r="I107" s="191">
        <v>-19833</v>
      </c>
      <c r="J107" s="192">
        <v>1898308</v>
      </c>
      <c r="K107" s="189"/>
      <c r="L107" s="1197">
        <f t="shared" si="1"/>
        <v>19833</v>
      </c>
      <c r="M107" s="185"/>
      <c r="N107" s="185"/>
      <c r="O107" s="185"/>
    </row>
    <row r="108" spans="4:15" ht="15.75" thickBot="1">
      <c r="D108" s="188" t="s">
        <v>492</v>
      </c>
      <c r="E108" s="189">
        <v>64171</v>
      </c>
      <c r="F108" s="190" t="s">
        <v>493</v>
      </c>
      <c r="G108" s="190" t="s">
        <v>503</v>
      </c>
      <c r="H108" s="190" t="s">
        <v>1360</v>
      </c>
      <c r="I108" s="191">
        <v>-59464</v>
      </c>
      <c r="J108" s="192">
        <v>1898309</v>
      </c>
      <c r="K108" s="189"/>
      <c r="L108" s="1197">
        <f t="shared" si="1"/>
        <v>59464</v>
      </c>
      <c r="M108" s="185"/>
      <c r="N108" s="185"/>
      <c r="O108" s="185"/>
    </row>
    <row r="109" spans="4:15" ht="15.75" thickBot="1">
      <c r="D109" s="188" t="s">
        <v>492</v>
      </c>
      <c r="E109" s="189">
        <v>64171</v>
      </c>
      <c r="F109" s="193" t="s">
        <v>493</v>
      </c>
      <c r="G109" s="193" t="s">
        <v>504</v>
      </c>
      <c r="H109" s="193" t="s">
        <v>1360</v>
      </c>
      <c r="I109" s="191">
        <v>-650505</v>
      </c>
      <c r="J109" s="192">
        <v>1898310</v>
      </c>
      <c r="K109" s="189"/>
      <c r="L109" s="1197">
        <f t="shared" si="1"/>
        <v>650505</v>
      </c>
      <c r="M109" s="185"/>
      <c r="N109" s="185"/>
      <c r="O109" s="185"/>
    </row>
    <row r="110" spans="4:15" ht="15.75" thickBot="1">
      <c r="D110" s="188" t="s">
        <v>492</v>
      </c>
      <c r="E110" s="189">
        <v>64171</v>
      </c>
      <c r="F110" s="190" t="s">
        <v>493</v>
      </c>
      <c r="G110" s="190" t="s">
        <v>494</v>
      </c>
      <c r="H110" s="190" t="s">
        <v>510</v>
      </c>
      <c r="I110" s="191">
        <v>-8233337</v>
      </c>
      <c r="J110" s="192">
        <v>1898301</v>
      </c>
      <c r="K110" s="189"/>
      <c r="L110" s="1197">
        <f t="shared" si="1"/>
        <v>8233337</v>
      </c>
      <c r="M110" s="185"/>
      <c r="N110" s="185"/>
      <c r="O110" s="185"/>
    </row>
    <row r="111" spans="4:15" ht="15.75" thickBot="1">
      <c r="D111" s="188" t="s">
        <v>492</v>
      </c>
      <c r="E111" s="189">
        <v>64171</v>
      </c>
      <c r="F111" s="193" t="s">
        <v>493</v>
      </c>
      <c r="G111" s="193" t="s">
        <v>496</v>
      </c>
      <c r="H111" s="193" t="s">
        <v>510</v>
      </c>
      <c r="I111" s="191">
        <v>-9436551</v>
      </c>
      <c r="J111" s="192">
        <v>1898302</v>
      </c>
      <c r="K111" s="189"/>
      <c r="L111" s="1197">
        <f t="shared" si="1"/>
        <v>9436551</v>
      </c>
      <c r="M111" s="185"/>
      <c r="N111" s="185"/>
      <c r="O111" s="185"/>
    </row>
    <row r="112" spans="4:15" ht="15.75" thickBot="1">
      <c r="D112" s="188" t="s">
        <v>492</v>
      </c>
      <c r="E112" s="189">
        <v>64171</v>
      </c>
      <c r="F112" s="190" t="s">
        <v>493</v>
      </c>
      <c r="G112" s="190" t="s">
        <v>497</v>
      </c>
      <c r="H112" s="190" t="s">
        <v>510</v>
      </c>
      <c r="I112" s="191">
        <v>-9384965</v>
      </c>
      <c r="J112" s="192">
        <v>1898303</v>
      </c>
      <c r="K112" s="189"/>
      <c r="L112" s="1197">
        <f t="shared" si="1"/>
        <v>9384965</v>
      </c>
      <c r="M112" s="185"/>
      <c r="N112" s="185"/>
      <c r="O112" s="185"/>
    </row>
    <row r="113" spans="4:15" ht="15.75" thickBot="1">
      <c r="D113" s="188" t="s">
        <v>492</v>
      </c>
      <c r="E113" s="189">
        <v>64171</v>
      </c>
      <c r="F113" s="193" t="s">
        <v>493</v>
      </c>
      <c r="G113" s="193" t="s">
        <v>498</v>
      </c>
      <c r="H113" s="193" t="s">
        <v>510</v>
      </c>
      <c r="I113" s="191">
        <v>-1625219</v>
      </c>
      <c r="J113" s="192">
        <v>1898304</v>
      </c>
      <c r="K113" s="189"/>
      <c r="L113" s="1197">
        <f t="shared" si="1"/>
        <v>1625219</v>
      </c>
      <c r="M113" s="185"/>
      <c r="N113" s="185"/>
      <c r="O113" s="185"/>
    </row>
    <row r="114" spans="4:15" ht="15.75" thickBot="1">
      <c r="D114" s="188" t="s">
        <v>492</v>
      </c>
      <c r="E114" s="189">
        <v>64171</v>
      </c>
      <c r="F114" s="190" t="s">
        <v>493</v>
      </c>
      <c r="G114" s="190" t="s">
        <v>499</v>
      </c>
      <c r="H114" s="190" t="s">
        <v>510</v>
      </c>
      <c r="I114" s="191">
        <v>-5367586</v>
      </c>
      <c r="J114" s="192">
        <v>1898305</v>
      </c>
      <c r="K114" s="189"/>
      <c r="L114" s="1197">
        <f t="shared" si="1"/>
        <v>5367586</v>
      </c>
      <c r="M114" s="185"/>
      <c r="N114" s="185"/>
      <c r="O114" s="185"/>
    </row>
    <row r="115" spans="4:15" ht="15.75" thickBot="1">
      <c r="D115" s="188" t="s">
        <v>492</v>
      </c>
      <c r="E115" s="189">
        <v>64171</v>
      </c>
      <c r="F115" s="193" t="s">
        <v>493</v>
      </c>
      <c r="G115" s="193" t="s">
        <v>500</v>
      </c>
      <c r="H115" s="193" t="s">
        <v>510</v>
      </c>
      <c r="I115" s="191">
        <v>-3536160</v>
      </c>
      <c r="J115" s="192">
        <v>1898306</v>
      </c>
      <c r="K115" s="189"/>
      <c r="L115" s="1197">
        <f t="shared" si="1"/>
        <v>3536160</v>
      </c>
      <c r="M115" s="185"/>
      <c r="N115" s="185"/>
      <c r="O115" s="185"/>
    </row>
    <row r="116" spans="4:15" ht="15.75" thickBot="1">
      <c r="D116" s="188" t="s">
        <v>492</v>
      </c>
      <c r="E116" s="189">
        <v>64171</v>
      </c>
      <c r="F116" s="190" t="s">
        <v>493</v>
      </c>
      <c r="G116" s="190" t="s">
        <v>501</v>
      </c>
      <c r="H116" s="190" t="s">
        <v>510</v>
      </c>
      <c r="I116" s="191">
        <v>-2657463</v>
      </c>
      <c r="J116" s="192">
        <v>1898307</v>
      </c>
      <c r="K116" s="189"/>
      <c r="L116" s="1197">
        <f t="shared" si="1"/>
        <v>2657463</v>
      </c>
      <c r="M116" s="185"/>
      <c r="N116" s="185"/>
      <c r="O116" s="185"/>
    </row>
    <row r="117" spans="4:15" ht="15.75" thickBot="1">
      <c r="D117" s="188" t="s">
        <v>492</v>
      </c>
      <c r="E117" s="189">
        <v>64171</v>
      </c>
      <c r="F117" s="193" t="s">
        <v>493</v>
      </c>
      <c r="G117" s="193" t="s">
        <v>502</v>
      </c>
      <c r="H117" s="193" t="s">
        <v>510</v>
      </c>
      <c r="I117" s="191">
        <v>-2224127</v>
      </c>
      <c r="J117" s="192">
        <v>1898308</v>
      </c>
      <c r="K117" s="189"/>
      <c r="L117" s="1197">
        <f t="shared" si="1"/>
        <v>2224127</v>
      </c>
      <c r="M117" s="185"/>
      <c r="N117" s="185"/>
      <c r="O117" s="185"/>
    </row>
    <row r="118" spans="4:15" ht="15.75" thickBot="1">
      <c r="D118" s="188" t="s">
        <v>492</v>
      </c>
      <c r="E118" s="189">
        <v>64171</v>
      </c>
      <c r="F118" s="190" t="s">
        <v>493</v>
      </c>
      <c r="G118" s="190" t="s">
        <v>503</v>
      </c>
      <c r="H118" s="190" t="s">
        <v>510</v>
      </c>
      <c r="I118" s="191">
        <v>-4806638</v>
      </c>
      <c r="J118" s="192">
        <v>1898309</v>
      </c>
      <c r="K118" s="189"/>
      <c r="L118" s="1197">
        <f t="shared" si="1"/>
        <v>4806638</v>
      </c>
      <c r="M118" s="185"/>
      <c r="N118" s="185"/>
      <c r="O118" s="185"/>
    </row>
    <row r="119" spans="4:15" ht="15.75" thickBot="1">
      <c r="D119" s="188" t="s">
        <v>492</v>
      </c>
      <c r="E119" s="189">
        <v>64171</v>
      </c>
      <c r="F119" s="193" t="s">
        <v>493</v>
      </c>
      <c r="G119" s="193" t="s">
        <v>494</v>
      </c>
      <c r="H119" s="193" t="s">
        <v>991</v>
      </c>
      <c r="I119" s="191">
        <v>-520414</v>
      </c>
      <c r="J119" s="192">
        <v>1898301</v>
      </c>
      <c r="K119" s="189"/>
      <c r="L119" s="1197">
        <f t="shared" si="1"/>
        <v>520414</v>
      </c>
      <c r="M119" s="185"/>
      <c r="N119" s="185"/>
      <c r="O119" s="185"/>
    </row>
    <row r="120" spans="4:15" ht="15.75" thickBot="1">
      <c r="D120" s="188" t="s">
        <v>492</v>
      </c>
      <c r="E120" s="189">
        <v>64171</v>
      </c>
      <c r="F120" s="190" t="s">
        <v>493</v>
      </c>
      <c r="G120" s="190" t="s">
        <v>496</v>
      </c>
      <c r="H120" s="190" t="s">
        <v>991</v>
      </c>
      <c r="I120" s="191">
        <v>-210601</v>
      </c>
      <c r="J120" s="192">
        <v>1898302</v>
      </c>
      <c r="K120" s="189"/>
      <c r="L120" s="1197">
        <f t="shared" si="1"/>
        <v>210601</v>
      </c>
      <c r="M120" s="185"/>
      <c r="N120" s="185"/>
      <c r="O120" s="185"/>
    </row>
    <row r="121" spans="4:15" ht="15.75" thickBot="1">
      <c r="D121" s="188" t="s">
        <v>492</v>
      </c>
      <c r="E121" s="189">
        <v>64171</v>
      </c>
      <c r="F121" s="193" t="s">
        <v>493</v>
      </c>
      <c r="G121" s="193" t="s">
        <v>497</v>
      </c>
      <c r="H121" s="193" t="s">
        <v>991</v>
      </c>
      <c r="I121" s="191">
        <v>-562949</v>
      </c>
      <c r="J121" s="192">
        <v>1898303</v>
      </c>
      <c r="K121" s="189"/>
      <c r="L121" s="1197">
        <f t="shared" si="1"/>
        <v>562949</v>
      </c>
      <c r="M121" s="185"/>
      <c r="N121" s="185"/>
      <c r="O121" s="185"/>
    </row>
    <row r="122" spans="4:15" ht="15.75" thickBot="1">
      <c r="D122" s="188" t="s">
        <v>492</v>
      </c>
      <c r="E122" s="189">
        <v>64171</v>
      </c>
      <c r="F122" s="190" t="s">
        <v>493</v>
      </c>
      <c r="G122" s="190" t="s">
        <v>498</v>
      </c>
      <c r="H122" s="190" t="s">
        <v>991</v>
      </c>
      <c r="I122" s="191">
        <v>-95702</v>
      </c>
      <c r="J122" s="192">
        <v>1898304</v>
      </c>
      <c r="K122" s="189"/>
      <c r="L122" s="1197">
        <f t="shared" si="1"/>
        <v>95702</v>
      </c>
      <c r="M122" s="185"/>
      <c r="N122" s="185"/>
      <c r="O122" s="185"/>
    </row>
    <row r="123" spans="4:15" ht="15.75" thickBot="1">
      <c r="D123" s="188" t="s">
        <v>492</v>
      </c>
      <c r="E123" s="189">
        <v>64171</v>
      </c>
      <c r="F123" s="193" t="s">
        <v>493</v>
      </c>
      <c r="G123" s="193" t="s">
        <v>499</v>
      </c>
      <c r="H123" s="193" t="s">
        <v>991</v>
      </c>
      <c r="I123" s="191">
        <v>-232938</v>
      </c>
      <c r="J123" s="192">
        <v>1898305</v>
      </c>
      <c r="K123" s="189"/>
      <c r="L123" s="1197">
        <f t="shared" si="1"/>
        <v>232938</v>
      </c>
      <c r="M123" s="185"/>
      <c r="N123" s="185"/>
      <c r="O123" s="185"/>
    </row>
    <row r="124" spans="4:15" ht="15.75" thickBot="1">
      <c r="D124" s="188" t="s">
        <v>492</v>
      </c>
      <c r="E124" s="189">
        <v>64171</v>
      </c>
      <c r="F124" s="190" t="s">
        <v>493</v>
      </c>
      <c r="G124" s="190" t="s">
        <v>500</v>
      </c>
      <c r="H124" s="190" t="s">
        <v>991</v>
      </c>
      <c r="I124" s="191">
        <v>-192328</v>
      </c>
      <c r="J124" s="192">
        <v>1898306</v>
      </c>
      <c r="K124" s="189"/>
      <c r="L124" s="1197">
        <f t="shared" si="1"/>
        <v>192328</v>
      </c>
      <c r="M124" s="185"/>
      <c r="N124" s="185"/>
      <c r="O124" s="185"/>
    </row>
    <row r="125" spans="4:15" ht="15.75" thickBot="1">
      <c r="D125" s="188" t="s">
        <v>492</v>
      </c>
      <c r="E125" s="189">
        <v>64171</v>
      </c>
      <c r="F125" s="193" t="s">
        <v>493</v>
      </c>
      <c r="G125" s="193" t="s">
        <v>501</v>
      </c>
      <c r="H125" s="193" t="s">
        <v>991</v>
      </c>
      <c r="I125" s="191">
        <v>-106462</v>
      </c>
      <c r="J125" s="192">
        <v>1898307</v>
      </c>
      <c r="K125" s="189"/>
      <c r="L125" s="1197">
        <f t="shared" si="1"/>
        <v>106462</v>
      </c>
      <c r="M125" s="185"/>
      <c r="N125" s="185"/>
      <c r="O125" s="185"/>
    </row>
    <row r="126" spans="4:15" ht="15.75" thickBot="1">
      <c r="D126" s="188" t="s">
        <v>492</v>
      </c>
      <c r="E126" s="189">
        <v>64171</v>
      </c>
      <c r="F126" s="190" t="s">
        <v>493</v>
      </c>
      <c r="G126" s="190" t="s">
        <v>502</v>
      </c>
      <c r="H126" s="190" t="s">
        <v>991</v>
      </c>
      <c r="I126" s="191">
        <v>-191889</v>
      </c>
      <c r="J126" s="192">
        <v>1898308</v>
      </c>
      <c r="K126" s="189"/>
      <c r="L126" s="1197">
        <f t="shared" si="1"/>
        <v>191889</v>
      </c>
      <c r="M126" s="185"/>
      <c r="N126" s="185"/>
      <c r="O126" s="185"/>
    </row>
    <row r="127" spans="4:15" ht="15.75" thickBot="1">
      <c r="D127" s="188" t="s">
        <v>492</v>
      </c>
      <c r="E127" s="189">
        <v>64171</v>
      </c>
      <c r="F127" s="193" t="s">
        <v>493</v>
      </c>
      <c r="G127" s="193" t="s">
        <v>503</v>
      </c>
      <c r="H127" s="193" t="s">
        <v>991</v>
      </c>
      <c r="I127" s="191">
        <v>-236555</v>
      </c>
      <c r="J127" s="192">
        <v>1898309</v>
      </c>
      <c r="K127" s="189"/>
      <c r="L127" s="1197">
        <f t="shared" si="1"/>
        <v>236555</v>
      </c>
      <c r="M127" s="185"/>
      <c r="N127" s="185"/>
      <c r="O127" s="185"/>
    </row>
    <row r="128" spans="4:15" ht="15.75" thickBot="1">
      <c r="D128" s="188" t="s">
        <v>492</v>
      </c>
      <c r="E128" s="189">
        <v>64171</v>
      </c>
      <c r="F128" s="190" t="s">
        <v>493</v>
      </c>
      <c r="G128" s="190" t="s">
        <v>504</v>
      </c>
      <c r="H128" s="190" t="s">
        <v>991</v>
      </c>
      <c r="I128" s="191">
        <v>-1327881</v>
      </c>
      <c r="J128" s="192">
        <v>1898310</v>
      </c>
      <c r="K128" s="189"/>
      <c r="L128" s="1197">
        <f t="shared" si="1"/>
        <v>1327881</v>
      </c>
      <c r="M128" s="185"/>
      <c r="N128" s="185"/>
      <c r="O128" s="185"/>
    </row>
    <row r="129" spans="4:15" ht="15.75" thickBot="1">
      <c r="D129" s="188" t="s">
        <v>492</v>
      </c>
      <c r="E129" s="189">
        <v>64171</v>
      </c>
      <c r="F129" s="193" t="s">
        <v>493</v>
      </c>
      <c r="G129" s="193" t="s">
        <v>494</v>
      </c>
      <c r="H129" s="193" t="s">
        <v>506</v>
      </c>
      <c r="I129" s="191">
        <v>-622129</v>
      </c>
      <c r="J129" s="192">
        <v>1898301</v>
      </c>
      <c r="K129" s="189"/>
      <c r="L129" s="1197">
        <f t="shared" si="1"/>
        <v>622129</v>
      </c>
      <c r="M129" s="185"/>
      <c r="N129" s="185"/>
      <c r="O129" s="185"/>
    </row>
    <row r="130" spans="4:15" ht="15.75" thickBot="1">
      <c r="D130" s="188" t="s">
        <v>492</v>
      </c>
      <c r="E130" s="189">
        <v>64171</v>
      </c>
      <c r="F130" s="190" t="s">
        <v>493</v>
      </c>
      <c r="G130" s="190" t="s">
        <v>496</v>
      </c>
      <c r="H130" s="190" t="s">
        <v>506</v>
      </c>
      <c r="I130" s="191">
        <v>-78594</v>
      </c>
      <c r="J130" s="192">
        <v>1898302</v>
      </c>
      <c r="K130" s="189"/>
      <c r="L130" s="1197">
        <f t="shared" si="1"/>
        <v>78594</v>
      </c>
      <c r="M130" s="185"/>
      <c r="N130" s="185"/>
      <c r="O130" s="185"/>
    </row>
    <row r="131" spans="4:15" ht="15.75" thickBot="1">
      <c r="D131" s="188" t="s">
        <v>492</v>
      </c>
      <c r="E131" s="189">
        <v>64171</v>
      </c>
      <c r="F131" s="193" t="s">
        <v>493</v>
      </c>
      <c r="G131" s="193" t="s">
        <v>497</v>
      </c>
      <c r="H131" s="193" t="s">
        <v>506</v>
      </c>
      <c r="I131" s="191">
        <v>-764548</v>
      </c>
      <c r="J131" s="192">
        <v>1898303</v>
      </c>
      <c r="K131" s="189"/>
      <c r="L131" s="1197">
        <f t="shared" si="1"/>
        <v>764548</v>
      </c>
      <c r="M131" s="185"/>
      <c r="N131" s="185"/>
      <c r="O131" s="185"/>
    </row>
    <row r="132" spans="4:15" ht="15.75" thickBot="1">
      <c r="D132" s="188" t="s">
        <v>492</v>
      </c>
      <c r="E132" s="189">
        <v>64171</v>
      </c>
      <c r="F132" s="190" t="s">
        <v>493</v>
      </c>
      <c r="G132" s="190" t="s">
        <v>498</v>
      </c>
      <c r="H132" s="190" t="s">
        <v>506</v>
      </c>
      <c r="I132" s="191">
        <v>-24462</v>
      </c>
      <c r="J132" s="192">
        <v>1898304</v>
      </c>
      <c r="K132" s="189"/>
      <c r="L132" s="1197">
        <f t="shared" si="1"/>
        <v>24462</v>
      </c>
      <c r="M132" s="185"/>
      <c r="N132" s="185"/>
      <c r="O132" s="185"/>
    </row>
    <row r="133" spans="4:15" ht="15.75" thickBot="1">
      <c r="D133" s="188" t="s">
        <v>492</v>
      </c>
      <c r="E133" s="189">
        <v>64171</v>
      </c>
      <c r="F133" s="193" t="s">
        <v>493</v>
      </c>
      <c r="G133" s="193" t="s">
        <v>499</v>
      </c>
      <c r="H133" s="193" t="s">
        <v>506</v>
      </c>
      <c r="I133" s="191">
        <v>-59118</v>
      </c>
      <c r="J133" s="192">
        <v>1898305</v>
      </c>
      <c r="K133" s="189"/>
      <c r="L133" s="1197">
        <f t="shared" ref="L133:L159" si="2">-I133</f>
        <v>59118</v>
      </c>
      <c r="M133" s="185"/>
      <c r="N133" s="185"/>
      <c r="O133" s="185"/>
    </row>
    <row r="134" spans="4:15" ht="15.75" thickBot="1">
      <c r="D134" s="188" t="s">
        <v>492</v>
      </c>
      <c r="E134" s="189">
        <v>64171</v>
      </c>
      <c r="F134" s="190" t="s">
        <v>493</v>
      </c>
      <c r="G134" s="190" t="s">
        <v>500</v>
      </c>
      <c r="H134" s="190" t="s">
        <v>506</v>
      </c>
      <c r="I134" s="191">
        <v>-43957</v>
      </c>
      <c r="J134" s="192">
        <v>1898306</v>
      </c>
      <c r="K134" s="189"/>
      <c r="L134" s="1197">
        <f t="shared" si="2"/>
        <v>43957</v>
      </c>
      <c r="M134" s="185"/>
      <c r="N134" s="185"/>
      <c r="O134" s="185"/>
    </row>
    <row r="135" spans="4:15" ht="15.75" thickBot="1">
      <c r="D135" s="188" t="s">
        <v>492</v>
      </c>
      <c r="E135" s="189">
        <v>64171</v>
      </c>
      <c r="F135" s="193" t="s">
        <v>493</v>
      </c>
      <c r="G135" s="193" t="s">
        <v>501</v>
      </c>
      <c r="H135" s="193" t="s">
        <v>506</v>
      </c>
      <c r="I135" s="191">
        <v>-30053</v>
      </c>
      <c r="J135" s="192">
        <v>1898307</v>
      </c>
      <c r="K135" s="189"/>
      <c r="L135" s="1197">
        <f t="shared" si="2"/>
        <v>30053</v>
      </c>
      <c r="M135" s="185"/>
      <c r="N135" s="185"/>
      <c r="O135" s="185"/>
    </row>
    <row r="136" spans="4:15" ht="15.75" thickBot="1">
      <c r="D136" s="188" t="s">
        <v>492</v>
      </c>
      <c r="E136" s="189">
        <v>64171</v>
      </c>
      <c r="F136" s="190" t="s">
        <v>493</v>
      </c>
      <c r="G136" s="190" t="s">
        <v>502</v>
      </c>
      <c r="H136" s="190" t="s">
        <v>506</v>
      </c>
      <c r="I136" s="191">
        <v>-47046</v>
      </c>
      <c r="J136" s="192">
        <v>1898308</v>
      </c>
      <c r="K136" s="189"/>
      <c r="L136" s="1197">
        <f t="shared" si="2"/>
        <v>47046</v>
      </c>
      <c r="M136" s="185"/>
      <c r="N136" s="185"/>
      <c r="O136" s="185"/>
    </row>
    <row r="137" spans="4:15" ht="15.75" thickBot="1">
      <c r="D137" s="188" t="s">
        <v>492</v>
      </c>
      <c r="E137" s="189">
        <v>64171</v>
      </c>
      <c r="F137" s="193" t="s">
        <v>493</v>
      </c>
      <c r="G137" s="193" t="s">
        <v>503</v>
      </c>
      <c r="H137" s="193" t="s">
        <v>506</v>
      </c>
      <c r="I137" s="191">
        <v>-11236</v>
      </c>
      <c r="J137" s="192">
        <v>1898309</v>
      </c>
      <c r="K137" s="189"/>
      <c r="L137" s="1197">
        <f t="shared" si="2"/>
        <v>11236</v>
      </c>
      <c r="M137" s="185"/>
      <c r="N137" s="185"/>
      <c r="O137" s="185"/>
    </row>
    <row r="138" spans="4:15" ht="15.75" thickBot="1">
      <c r="D138" s="188" t="s">
        <v>492</v>
      </c>
      <c r="E138" s="189">
        <v>64171</v>
      </c>
      <c r="F138" s="190" t="s">
        <v>493</v>
      </c>
      <c r="G138" s="190" t="s">
        <v>504</v>
      </c>
      <c r="H138" s="190" t="s">
        <v>506</v>
      </c>
      <c r="I138" s="191">
        <v>-4521484</v>
      </c>
      <c r="J138" s="192">
        <v>1898310</v>
      </c>
      <c r="K138" s="189"/>
      <c r="L138" s="1197">
        <f t="shared" si="2"/>
        <v>4521484</v>
      </c>
      <c r="M138" s="185"/>
      <c r="N138" s="185"/>
      <c r="O138" s="185"/>
    </row>
    <row r="139" spans="4:15" ht="15.75" thickBot="1">
      <c r="D139" s="188" t="s">
        <v>492</v>
      </c>
      <c r="E139" s="189">
        <v>64171</v>
      </c>
      <c r="F139" s="193" t="s">
        <v>493</v>
      </c>
      <c r="G139" s="193" t="s">
        <v>494</v>
      </c>
      <c r="H139" s="193" t="s">
        <v>507</v>
      </c>
      <c r="I139" s="191">
        <v>-34982</v>
      </c>
      <c r="J139" s="192">
        <v>1898301</v>
      </c>
      <c r="K139" s="189"/>
      <c r="L139" s="1197">
        <f t="shared" si="2"/>
        <v>34982</v>
      </c>
      <c r="M139" s="185"/>
      <c r="N139" s="185"/>
      <c r="O139" s="185"/>
    </row>
    <row r="140" spans="4:15" ht="15.75" thickBot="1">
      <c r="D140" s="188" t="s">
        <v>492</v>
      </c>
      <c r="E140" s="189">
        <v>64171</v>
      </c>
      <c r="F140" s="190" t="s">
        <v>493</v>
      </c>
      <c r="G140" s="190" t="s">
        <v>496</v>
      </c>
      <c r="H140" s="190" t="s">
        <v>507</v>
      </c>
      <c r="I140" s="191">
        <v>-18248</v>
      </c>
      <c r="J140" s="192">
        <v>1898302</v>
      </c>
      <c r="K140" s="189"/>
      <c r="L140" s="1197">
        <f t="shared" si="2"/>
        <v>18248</v>
      </c>
      <c r="M140" s="185"/>
      <c r="N140" s="185"/>
      <c r="O140" s="185"/>
    </row>
    <row r="141" spans="4:15" ht="15.75" thickBot="1">
      <c r="D141" s="188" t="s">
        <v>492</v>
      </c>
      <c r="E141" s="189">
        <v>64171</v>
      </c>
      <c r="F141" s="193" t="s">
        <v>493</v>
      </c>
      <c r="G141" s="193" t="s">
        <v>497</v>
      </c>
      <c r="H141" s="193" t="s">
        <v>507</v>
      </c>
      <c r="I141" s="191">
        <v>-18113</v>
      </c>
      <c r="J141" s="192">
        <v>1898303</v>
      </c>
      <c r="K141" s="189"/>
      <c r="L141" s="1197">
        <f t="shared" si="2"/>
        <v>18113</v>
      </c>
      <c r="M141" s="185"/>
      <c r="N141" s="185"/>
      <c r="O141" s="185"/>
    </row>
    <row r="142" spans="4:15" ht="15.75" thickBot="1">
      <c r="D142" s="188" t="s">
        <v>492</v>
      </c>
      <c r="E142" s="189">
        <v>64171</v>
      </c>
      <c r="F142" s="190" t="s">
        <v>493</v>
      </c>
      <c r="G142" s="190" t="s">
        <v>498</v>
      </c>
      <c r="H142" s="190" t="s">
        <v>507</v>
      </c>
      <c r="I142" s="191">
        <v>-6436</v>
      </c>
      <c r="J142" s="192">
        <v>1898304</v>
      </c>
      <c r="K142" s="189"/>
      <c r="L142" s="1197">
        <f t="shared" si="2"/>
        <v>6436</v>
      </c>
      <c r="M142" s="185"/>
      <c r="N142" s="185"/>
      <c r="O142" s="185"/>
    </row>
    <row r="143" spans="4:15" ht="15.75" thickBot="1">
      <c r="D143" s="188" t="s">
        <v>492</v>
      </c>
      <c r="E143" s="189">
        <v>64171</v>
      </c>
      <c r="F143" s="193" t="s">
        <v>493</v>
      </c>
      <c r="G143" s="193" t="s">
        <v>499</v>
      </c>
      <c r="H143" s="193" t="s">
        <v>507</v>
      </c>
      <c r="I143" s="191">
        <v>-2835</v>
      </c>
      <c r="J143" s="192">
        <v>1898305</v>
      </c>
      <c r="K143" s="189"/>
      <c r="L143" s="1197">
        <f t="shared" si="2"/>
        <v>2835</v>
      </c>
      <c r="M143" s="185"/>
      <c r="N143" s="185"/>
      <c r="O143" s="185"/>
    </row>
    <row r="144" spans="4:15" ht="15.75" thickBot="1">
      <c r="D144" s="188" t="s">
        <v>492</v>
      </c>
      <c r="E144" s="189">
        <v>64171</v>
      </c>
      <c r="F144" s="190" t="s">
        <v>493</v>
      </c>
      <c r="G144" s="190" t="s">
        <v>500</v>
      </c>
      <c r="H144" s="190" t="s">
        <v>507</v>
      </c>
      <c r="I144" s="191">
        <v>-27361</v>
      </c>
      <c r="J144" s="192">
        <v>1898306</v>
      </c>
      <c r="K144" s="189"/>
      <c r="L144" s="1197">
        <f t="shared" si="2"/>
        <v>27361</v>
      </c>
      <c r="M144" s="185"/>
      <c r="N144" s="185"/>
      <c r="O144" s="185"/>
    </row>
    <row r="145" spans="4:15" ht="15.75" thickBot="1">
      <c r="D145" s="188" t="s">
        <v>492</v>
      </c>
      <c r="E145" s="189">
        <v>64171</v>
      </c>
      <c r="F145" s="193" t="s">
        <v>493</v>
      </c>
      <c r="G145" s="193" t="s">
        <v>501</v>
      </c>
      <c r="H145" s="193" t="s">
        <v>507</v>
      </c>
      <c r="I145" s="1198">
        <v>-645</v>
      </c>
      <c r="J145" s="192">
        <v>1898307</v>
      </c>
      <c r="K145" s="189"/>
      <c r="L145" s="1197">
        <f t="shared" si="2"/>
        <v>645</v>
      </c>
      <c r="M145" s="185"/>
      <c r="N145" s="185"/>
      <c r="O145" s="185"/>
    </row>
    <row r="146" spans="4:15" ht="15.75" thickBot="1">
      <c r="D146" s="188" t="s">
        <v>492</v>
      </c>
      <c r="E146" s="189">
        <v>64171</v>
      </c>
      <c r="F146" s="190" t="s">
        <v>493</v>
      </c>
      <c r="G146" s="190" t="s">
        <v>502</v>
      </c>
      <c r="H146" s="190" t="s">
        <v>507</v>
      </c>
      <c r="I146" s="191">
        <v>-16451</v>
      </c>
      <c r="J146" s="192">
        <v>1898308</v>
      </c>
      <c r="K146" s="189"/>
      <c r="L146" s="1197">
        <f t="shared" si="2"/>
        <v>16451</v>
      </c>
      <c r="M146" s="185"/>
      <c r="N146" s="185"/>
      <c r="O146" s="185"/>
    </row>
    <row r="147" spans="4:15" ht="15.75" thickBot="1">
      <c r="D147" s="188" t="s">
        <v>492</v>
      </c>
      <c r="E147" s="189">
        <v>64171</v>
      </c>
      <c r="F147" s="193" t="s">
        <v>493</v>
      </c>
      <c r="G147" s="193" t="s">
        <v>503</v>
      </c>
      <c r="H147" s="193" t="s">
        <v>507</v>
      </c>
      <c r="I147" s="191">
        <v>-9396</v>
      </c>
      <c r="J147" s="192">
        <v>1898309</v>
      </c>
      <c r="K147" s="189"/>
      <c r="L147" s="1197">
        <f t="shared" si="2"/>
        <v>9396</v>
      </c>
      <c r="M147" s="185"/>
      <c r="N147" s="185"/>
      <c r="O147" s="185"/>
    </row>
    <row r="148" spans="4:15" ht="15.75" thickBot="1">
      <c r="D148" s="188" t="s">
        <v>492</v>
      </c>
      <c r="E148" s="189">
        <v>64171</v>
      </c>
      <c r="F148" s="190" t="s">
        <v>493</v>
      </c>
      <c r="G148" s="190" t="s">
        <v>504</v>
      </c>
      <c r="H148" s="190" t="s">
        <v>507</v>
      </c>
      <c r="I148" s="191">
        <v>-134325</v>
      </c>
      <c r="J148" s="192">
        <v>1898310</v>
      </c>
      <c r="K148" s="189"/>
      <c r="L148" s="1197">
        <f t="shared" si="2"/>
        <v>134325</v>
      </c>
      <c r="M148" s="185"/>
      <c r="N148" s="185"/>
      <c r="O148" s="185"/>
    </row>
    <row r="149" spans="4:15" ht="15.75" thickBot="1">
      <c r="D149" s="188" t="s">
        <v>492</v>
      </c>
      <c r="E149" s="189">
        <v>64171</v>
      </c>
      <c r="F149" s="193" t="s">
        <v>493</v>
      </c>
      <c r="G149" s="193" t="s">
        <v>494</v>
      </c>
      <c r="H149" s="193" t="s">
        <v>992</v>
      </c>
      <c r="I149" s="191">
        <v>-276788</v>
      </c>
      <c r="J149" s="192">
        <v>1898301</v>
      </c>
      <c r="K149" s="189"/>
      <c r="L149" s="1197">
        <f t="shared" si="2"/>
        <v>276788</v>
      </c>
      <c r="M149" s="185"/>
      <c r="N149" s="185"/>
      <c r="O149" s="185"/>
    </row>
    <row r="150" spans="4:15" ht="15.75" thickBot="1">
      <c r="D150" s="188" t="s">
        <v>492</v>
      </c>
      <c r="E150" s="189">
        <v>64171</v>
      </c>
      <c r="F150" s="190" t="s">
        <v>493</v>
      </c>
      <c r="G150" s="190" t="s">
        <v>496</v>
      </c>
      <c r="H150" s="190" t="s">
        <v>992</v>
      </c>
      <c r="I150" s="191">
        <v>-449138</v>
      </c>
      <c r="J150" s="192">
        <v>1898302</v>
      </c>
      <c r="K150" s="189"/>
      <c r="L150" s="1197">
        <f t="shared" si="2"/>
        <v>449138</v>
      </c>
      <c r="M150" s="185"/>
      <c r="N150" s="185"/>
      <c r="O150" s="185"/>
    </row>
    <row r="151" spans="4:15" ht="15.75" thickBot="1">
      <c r="D151" s="188" t="s">
        <v>492</v>
      </c>
      <c r="E151" s="189">
        <v>64171</v>
      </c>
      <c r="F151" s="193" t="s">
        <v>493</v>
      </c>
      <c r="G151" s="193" t="s">
        <v>497</v>
      </c>
      <c r="H151" s="193" t="s">
        <v>992</v>
      </c>
      <c r="I151" s="191">
        <v>-178942</v>
      </c>
      <c r="J151" s="192">
        <v>1898303</v>
      </c>
      <c r="K151" s="189"/>
      <c r="L151" s="1197">
        <f t="shared" si="2"/>
        <v>178942</v>
      </c>
      <c r="M151" s="185"/>
      <c r="N151" s="185"/>
      <c r="O151" s="185"/>
    </row>
    <row r="152" spans="4:15" ht="15.75" thickBot="1">
      <c r="D152" s="188" t="s">
        <v>492</v>
      </c>
      <c r="E152" s="189">
        <v>64171</v>
      </c>
      <c r="F152" s="190" t="s">
        <v>493</v>
      </c>
      <c r="G152" s="190" t="s">
        <v>498</v>
      </c>
      <c r="H152" s="190" t="s">
        <v>992</v>
      </c>
      <c r="I152" s="191">
        <v>-2556</v>
      </c>
      <c r="J152" s="192">
        <v>1898304</v>
      </c>
      <c r="K152" s="189"/>
      <c r="L152" s="1197">
        <f t="shared" si="2"/>
        <v>2556</v>
      </c>
      <c r="M152" s="185"/>
      <c r="N152" s="185"/>
      <c r="O152" s="185"/>
    </row>
    <row r="153" spans="4:15" ht="15.75" thickBot="1">
      <c r="D153" s="188" t="s">
        <v>492</v>
      </c>
      <c r="E153" s="189">
        <v>64171</v>
      </c>
      <c r="F153" s="193" t="s">
        <v>493</v>
      </c>
      <c r="G153" s="193" t="s">
        <v>499</v>
      </c>
      <c r="H153" s="193" t="s">
        <v>992</v>
      </c>
      <c r="I153" s="191">
        <v>-10433</v>
      </c>
      <c r="J153" s="192">
        <v>1898305</v>
      </c>
      <c r="K153" s="189"/>
      <c r="L153" s="1197">
        <f t="shared" si="2"/>
        <v>10433</v>
      </c>
      <c r="M153" s="185"/>
      <c r="N153" s="185"/>
      <c r="O153" s="185"/>
    </row>
    <row r="154" spans="4:15" ht="15.75" thickBot="1">
      <c r="D154" s="188" t="s">
        <v>492</v>
      </c>
      <c r="E154" s="189">
        <v>64171</v>
      </c>
      <c r="F154" s="190" t="s">
        <v>493</v>
      </c>
      <c r="G154" s="190" t="s">
        <v>500</v>
      </c>
      <c r="H154" s="190" t="s">
        <v>992</v>
      </c>
      <c r="I154" s="191">
        <v>-8823</v>
      </c>
      <c r="J154" s="192">
        <v>1898306</v>
      </c>
      <c r="K154" s="189"/>
      <c r="L154" s="1197">
        <f t="shared" si="2"/>
        <v>8823</v>
      </c>
      <c r="M154" s="185"/>
      <c r="N154" s="185"/>
      <c r="O154" s="185"/>
    </row>
    <row r="155" spans="4:15" ht="15.75" thickBot="1">
      <c r="D155" s="188" t="s">
        <v>492</v>
      </c>
      <c r="E155" s="189">
        <v>64171</v>
      </c>
      <c r="F155" s="193" t="s">
        <v>493</v>
      </c>
      <c r="G155" s="193" t="s">
        <v>501</v>
      </c>
      <c r="H155" s="193" t="s">
        <v>992</v>
      </c>
      <c r="I155" s="191">
        <v>-12902</v>
      </c>
      <c r="J155" s="192">
        <v>1898307</v>
      </c>
      <c r="K155" s="189"/>
      <c r="L155" s="1197">
        <f t="shared" si="2"/>
        <v>12902</v>
      </c>
      <c r="M155" s="185"/>
      <c r="N155" s="185"/>
      <c r="O155" s="185"/>
    </row>
    <row r="156" spans="4:15" ht="15.75" thickBot="1">
      <c r="D156" s="188" t="s">
        <v>492</v>
      </c>
      <c r="E156" s="189">
        <v>64171</v>
      </c>
      <c r="F156" s="190" t="s">
        <v>493</v>
      </c>
      <c r="G156" s="190" t="s">
        <v>502</v>
      </c>
      <c r="H156" s="190" t="s">
        <v>992</v>
      </c>
      <c r="I156" s="191">
        <v>-53665</v>
      </c>
      <c r="J156" s="192">
        <v>1898308</v>
      </c>
      <c r="K156" s="189"/>
      <c r="L156" s="1197">
        <f t="shared" si="2"/>
        <v>53665</v>
      </c>
      <c r="M156" s="185"/>
      <c r="N156" s="185"/>
      <c r="O156" s="185"/>
    </row>
    <row r="157" spans="4:15" ht="15.75" thickBot="1">
      <c r="D157" s="188" t="s">
        <v>492</v>
      </c>
      <c r="E157" s="189">
        <v>64171</v>
      </c>
      <c r="F157" s="193" t="s">
        <v>493</v>
      </c>
      <c r="G157" s="193" t="s">
        <v>503</v>
      </c>
      <c r="H157" s="193" t="s">
        <v>992</v>
      </c>
      <c r="I157" s="191">
        <v>-63769</v>
      </c>
      <c r="J157" s="192">
        <v>1898309</v>
      </c>
      <c r="K157" s="189"/>
      <c r="L157" s="1197">
        <f t="shared" si="2"/>
        <v>63769</v>
      </c>
      <c r="M157" s="185"/>
      <c r="N157" s="185"/>
      <c r="O157" s="185"/>
    </row>
    <row r="158" spans="4:15" ht="15.75" thickBot="1">
      <c r="D158" s="188" t="s">
        <v>492</v>
      </c>
      <c r="E158" s="189">
        <v>64171</v>
      </c>
      <c r="F158" s="190" t="s">
        <v>493</v>
      </c>
      <c r="G158" s="190" t="s">
        <v>504</v>
      </c>
      <c r="H158" s="190" t="s">
        <v>992</v>
      </c>
      <c r="I158" s="191">
        <v>-1451634</v>
      </c>
      <c r="J158" s="192">
        <v>1898310</v>
      </c>
      <c r="K158" s="189"/>
      <c r="L158" s="1197">
        <f t="shared" si="2"/>
        <v>1451634</v>
      </c>
      <c r="M158" s="185"/>
      <c r="N158" s="185"/>
      <c r="O158" s="185"/>
    </row>
    <row r="159" spans="4:15" ht="15.75" thickBot="1">
      <c r="D159" s="188" t="s">
        <v>224</v>
      </c>
      <c r="E159" s="189">
        <v>3358</v>
      </c>
      <c r="F159" s="193">
        <v>8</v>
      </c>
      <c r="G159" s="193" t="s">
        <v>494</v>
      </c>
      <c r="H159" s="197"/>
      <c r="I159" s="191">
        <v>-422909605</v>
      </c>
      <c r="J159" s="198">
        <v>1898301</v>
      </c>
      <c r="K159" s="189"/>
      <c r="L159" s="1197">
        <f t="shared" si="2"/>
        <v>422909605</v>
      </c>
      <c r="M159" s="185"/>
      <c r="N159" s="185"/>
      <c r="O159" s="185"/>
    </row>
    <row r="160" spans="4:15" ht="15" customHeight="1">
      <c r="D160" s="1589" t="s">
        <v>233</v>
      </c>
      <c r="E160" s="1589"/>
      <c r="F160" s="1589"/>
      <c r="G160" s="1589"/>
      <c r="H160" s="1589"/>
      <c r="I160" s="1589"/>
      <c r="J160" s="1589"/>
      <c r="K160" s="1589"/>
      <c r="L160" s="1201"/>
      <c r="M160" s="1200"/>
      <c r="N160" s="1201"/>
      <c r="O160" s="1199"/>
    </row>
  </sheetData>
  <mergeCells count="1">
    <mergeCell ref="D160:K160"/>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90"/>
  <sheetViews>
    <sheetView topLeftCell="A76" workbookViewId="0">
      <selection activeCell="L27" sqref="L27"/>
    </sheetView>
  </sheetViews>
  <sheetFormatPr defaultRowHeight="15"/>
  <cols>
    <col min="2" max="2" width="27.140625" customWidth="1"/>
    <col min="3" max="3" width="15.7109375" customWidth="1"/>
    <col min="4" max="4" width="18.28515625" customWidth="1"/>
    <col min="5" max="5" width="18.28515625" style="1208" customWidth="1"/>
  </cols>
  <sheetData>
    <row r="2" spans="1:5" ht="15.75">
      <c r="A2" s="205" t="s">
        <v>2173</v>
      </c>
    </row>
    <row r="3" spans="1:5" ht="15.75">
      <c r="A3" s="232" t="s">
        <v>2174</v>
      </c>
    </row>
    <row r="4" spans="1:5" ht="15.75" thickBot="1">
      <c r="A4" s="987"/>
    </row>
    <row r="5" spans="1:5" ht="32.25" thickBot="1">
      <c r="A5" s="252" t="s">
        <v>0</v>
      </c>
      <c r="B5" s="253" t="s">
        <v>632</v>
      </c>
      <c r="C5" s="1209" t="s">
        <v>894</v>
      </c>
      <c r="D5" s="1210" t="s">
        <v>1245</v>
      </c>
      <c r="E5" s="1213" t="s">
        <v>634</v>
      </c>
    </row>
    <row r="6" spans="1:5" ht="16.5" thickBot="1">
      <c r="A6" s="273">
        <v>1</v>
      </c>
      <c r="B6" s="256" t="s">
        <v>706</v>
      </c>
      <c r="C6" s="255"/>
      <c r="D6" s="1211">
        <v>500000</v>
      </c>
      <c r="E6" s="1214"/>
    </row>
    <row r="7" spans="1:5" ht="16.5" thickBot="1">
      <c r="A7" s="273">
        <v>2</v>
      </c>
      <c r="B7" s="256" t="s">
        <v>1450</v>
      </c>
      <c r="C7" s="273"/>
      <c r="D7" s="1211">
        <v>500000</v>
      </c>
      <c r="E7" s="1214"/>
    </row>
    <row r="8" spans="1:5" ht="16.5" thickBot="1">
      <c r="A8" s="273">
        <v>3</v>
      </c>
      <c r="B8" s="256" t="s">
        <v>836</v>
      </c>
      <c r="C8" s="1211">
        <v>1500000</v>
      </c>
      <c r="D8" s="1034"/>
      <c r="E8" s="1214"/>
    </row>
    <row r="9" spans="1:5" ht="16.5" thickBot="1">
      <c r="A9" s="273">
        <v>4</v>
      </c>
      <c r="B9" s="256" t="s">
        <v>708</v>
      </c>
      <c r="C9" s="1211">
        <v>1500000</v>
      </c>
      <c r="D9" s="1034"/>
      <c r="E9" s="1214"/>
    </row>
    <row r="10" spans="1:5" ht="16.5" thickBot="1">
      <c r="A10" s="273">
        <v>5</v>
      </c>
      <c r="B10" s="256" t="s">
        <v>837</v>
      </c>
      <c r="C10" s="273"/>
      <c r="D10" s="1211">
        <v>500000</v>
      </c>
      <c r="E10" s="1214"/>
    </row>
    <row r="11" spans="1:5" ht="16.5" thickBot="1">
      <c r="A11" s="273">
        <v>6</v>
      </c>
      <c r="B11" s="256" t="s">
        <v>1920</v>
      </c>
      <c r="C11" s="273"/>
      <c r="D11" s="1211">
        <v>500000</v>
      </c>
      <c r="E11" s="1214"/>
    </row>
    <row r="12" spans="1:5" ht="16.5" thickBot="1">
      <c r="A12" s="273">
        <v>7</v>
      </c>
      <c r="B12" s="256" t="s">
        <v>890</v>
      </c>
      <c r="C12" s="273"/>
      <c r="D12" s="1211">
        <v>500000</v>
      </c>
      <c r="E12" s="1214"/>
    </row>
    <row r="13" spans="1:5" ht="16.5" thickBot="1">
      <c r="A13" s="273">
        <v>8</v>
      </c>
      <c r="B13" s="256" t="s">
        <v>2175</v>
      </c>
      <c r="C13" s="1211">
        <v>500000</v>
      </c>
      <c r="D13" s="1176"/>
      <c r="E13" s="1214"/>
    </row>
    <row r="14" spans="1:5" ht="16.5" thickBot="1">
      <c r="A14" s="288" t="s">
        <v>758</v>
      </c>
      <c r="B14" s="289"/>
      <c r="C14" s="1212">
        <v>3500000</v>
      </c>
      <c r="D14" s="991">
        <v>2500000</v>
      </c>
      <c r="E14" s="1215"/>
    </row>
    <row r="15" spans="1:5" ht="16.5">
      <c r="A15" s="250"/>
    </row>
    <row r="16" spans="1:5" ht="16.5">
      <c r="A16" s="246"/>
      <c r="B16" s="248"/>
    </row>
    <row r="17" spans="1:7" ht="15.75">
      <c r="A17" s="205" t="s">
        <v>1293</v>
      </c>
    </row>
    <row r="18" spans="1:7" ht="15.75">
      <c r="A18" s="205"/>
    </row>
    <row r="19" spans="1:7">
      <c r="A19" s="686" t="s">
        <v>2176</v>
      </c>
    </row>
    <row r="20" spans="1:7" ht="15.75">
      <c r="A20" s="205" t="s">
        <v>2177</v>
      </c>
    </row>
    <row r="21" spans="1:7" ht="15.75">
      <c r="A21" s="232" t="s">
        <v>2178</v>
      </c>
    </row>
    <row r="22" spans="1:7" ht="16.5" thickBot="1">
      <c r="A22" s="232"/>
    </row>
    <row r="23" spans="1:7" ht="16.5" customHeight="1" thickBot="1">
      <c r="A23" s="380" t="s">
        <v>0</v>
      </c>
      <c r="B23" s="380" t="s">
        <v>121</v>
      </c>
      <c r="C23" s="380" t="s">
        <v>632</v>
      </c>
      <c r="D23" s="398" t="s">
        <v>894</v>
      </c>
      <c r="E23" s="1216"/>
      <c r="F23" s="399"/>
      <c r="G23" s="380" t="s">
        <v>699</v>
      </c>
    </row>
    <row r="24" spans="1:7" ht="16.5" thickBot="1">
      <c r="A24" s="400"/>
      <c r="B24" s="400"/>
      <c r="C24" s="400"/>
      <c r="D24" s="381" t="s">
        <v>828</v>
      </c>
      <c r="E24" s="1217" t="s">
        <v>829</v>
      </c>
      <c r="F24" s="381" t="s">
        <v>839</v>
      </c>
      <c r="G24" s="400"/>
    </row>
    <row r="25" spans="1:7" ht="16.5" thickBot="1">
      <c r="A25" s="382">
        <v>1</v>
      </c>
      <c r="B25" s="687" t="s">
        <v>662</v>
      </c>
      <c r="C25" s="688" t="s">
        <v>746</v>
      </c>
      <c r="D25" s="689">
        <v>200000</v>
      </c>
      <c r="E25" s="1218"/>
      <c r="F25" s="386"/>
      <c r="G25" s="386"/>
    </row>
    <row r="26" spans="1:7" ht="16.5" thickBot="1">
      <c r="A26" s="382">
        <v>2</v>
      </c>
      <c r="B26" s="687" t="s">
        <v>745</v>
      </c>
      <c r="C26" s="688" t="s">
        <v>746</v>
      </c>
      <c r="D26" s="689">
        <v>125000</v>
      </c>
      <c r="E26" s="1218"/>
      <c r="F26" s="386"/>
      <c r="G26" s="386"/>
    </row>
    <row r="27" spans="1:7" ht="16.5" thickBot="1">
      <c r="A27" s="382">
        <v>3</v>
      </c>
      <c r="B27" s="687" t="s">
        <v>1223</v>
      </c>
      <c r="C27" s="688" t="s">
        <v>756</v>
      </c>
      <c r="D27" s="689">
        <v>125000</v>
      </c>
      <c r="E27" s="1218"/>
      <c r="F27" s="386"/>
      <c r="G27" s="386"/>
    </row>
    <row r="28" spans="1:7" ht="16.5" thickBot="1">
      <c r="A28" s="382">
        <v>4</v>
      </c>
      <c r="B28" s="687" t="s">
        <v>152</v>
      </c>
      <c r="C28" s="688" t="s">
        <v>649</v>
      </c>
      <c r="D28" s="386"/>
      <c r="E28" s="1219">
        <v>400000</v>
      </c>
      <c r="F28" s="386"/>
      <c r="G28" s="386"/>
    </row>
    <row r="29" spans="1:7" ht="16.5" thickBot="1">
      <c r="A29" s="382">
        <v>5</v>
      </c>
      <c r="B29" s="687" t="s">
        <v>187</v>
      </c>
      <c r="C29" s="688" t="s">
        <v>649</v>
      </c>
      <c r="D29" s="386"/>
      <c r="E29" s="1219">
        <v>300000</v>
      </c>
      <c r="F29" s="386"/>
      <c r="G29" s="386"/>
    </row>
    <row r="30" spans="1:7" ht="16.5" thickBot="1">
      <c r="A30" s="382">
        <v>6</v>
      </c>
      <c r="B30" s="687" t="s">
        <v>742</v>
      </c>
      <c r="C30" s="688" t="s">
        <v>674</v>
      </c>
      <c r="D30" s="689">
        <v>200000</v>
      </c>
      <c r="E30" s="1218"/>
      <c r="F30" s="386"/>
      <c r="G30" s="386"/>
    </row>
    <row r="31" spans="1:7" ht="16.5" thickBot="1">
      <c r="A31" s="382">
        <v>7</v>
      </c>
      <c r="B31" s="687" t="s">
        <v>72</v>
      </c>
      <c r="C31" s="688" t="s">
        <v>674</v>
      </c>
      <c r="D31" s="386"/>
      <c r="E31" s="1219">
        <v>300000</v>
      </c>
      <c r="F31" s="386"/>
      <c r="G31" s="386"/>
    </row>
    <row r="32" spans="1:7" ht="16.5" thickBot="1">
      <c r="A32" s="382">
        <v>8</v>
      </c>
      <c r="B32" s="687" t="s">
        <v>39</v>
      </c>
      <c r="C32" s="688" t="s">
        <v>668</v>
      </c>
      <c r="D32" s="386"/>
      <c r="E32" s="1219">
        <v>200000</v>
      </c>
      <c r="F32" s="386"/>
      <c r="G32" s="386"/>
    </row>
    <row r="33" spans="1:7" ht="16.5" thickBot="1">
      <c r="A33" s="382">
        <v>9</v>
      </c>
      <c r="B33" s="687" t="s">
        <v>1316</v>
      </c>
      <c r="C33" s="688" t="s">
        <v>668</v>
      </c>
      <c r="D33" s="386"/>
      <c r="E33" s="1219">
        <v>200000</v>
      </c>
      <c r="F33" s="386"/>
      <c r="G33" s="386"/>
    </row>
    <row r="34" spans="1:7" ht="16.5" thickBot="1">
      <c r="A34" s="382">
        <v>10</v>
      </c>
      <c r="B34" s="687" t="s">
        <v>686</v>
      </c>
      <c r="C34" s="688" t="s">
        <v>649</v>
      </c>
      <c r="D34" s="689">
        <v>100000</v>
      </c>
      <c r="E34" s="1218"/>
      <c r="F34" s="386"/>
      <c r="G34" s="386"/>
    </row>
    <row r="35" spans="1:7" ht="16.5" thickBot="1">
      <c r="A35" s="382">
        <v>11</v>
      </c>
      <c r="B35" s="687" t="s">
        <v>721</v>
      </c>
      <c r="C35" s="688" t="s">
        <v>649</v>
      </c>
      <c r="D35" s="386"/>
      <c r="E35" s="1219">
        <v>100000</v>
      </c>
      <c r="F35" s="386"/>
      <c r="G35" s="386"/>
    </row>
    <row r="36" spans="1:7" ht="16.5" thickBot="1">
      <c r="A36" s="382">
        <v>12</v>
      </c>
      <c r="B36" s="687" t="s">
        <v>81</v>
      </c>
      <c r="C36" s="688" t="s">
        <v>649</v>
      </c>
      <c r="D36" s="386"/>
      <c r="E36" s="1219">
        <v>100000</v>
      </c>
      <c r="F36" s="386"/>
      <c r="G36" s="386"/>
    </row>
    <row r="37" spans="1:7" ht="16.5" thickBot="1">
      <c r="A37" s="382">
        <v>13</v>
      </c>
      <c r="B37" s="687" t="s">
        <v>1194</v>
      </c>
      <c r="C37" s="688" t="s">
        <v>674</v>
      </c>
      <c r="D37" s="386"/>
      <c r="E37" s="1218"/>
      <c r="F37" s="689">
        <v>200000</v>
      </c>
      <c r="G37" s="386"/>
    </row>
    <row r="38" spans="1:7" ht="16.5" thickBot="1">
      <c r="A38" s="401" t="s">
        <v>758</v>
      </c>
      <c r="B38" s="402"/>
      <c r="C38" s="336"/>
      <c r="D38" s="388">
        <v>750000</v>
      </c>
      <c r="E38" s="1220">
        <v>1600000</v>
      </c>
      <c r="F38" s="1147">
        <v>200000</v>
      </c>
      <c r="G38" s="389"/>
    </row>
    <row r="39" spans="1:7" ht="16.5" customHeight="1" thickBot="1">
      <c r="A39" s="401" t="s">
        <v>864</v>
      </c>
      <c r="B39" s="402"/>
      <c r="C39" s="336"/>
      <c r="D39" s="403">
        <v>2550000</v>
      </c>
      <c r="E39" s="1221"/>
      <c r="F39" s="404"/>
      <c r="G39" s="390"/>
    </row>
    <row r="40" spans="1:7">
      <c r="A40" s="244" t="s">
        <v>2179</v>
      </c>
    </row>
    <row r="41" spans="1:7" ht="15.75">
      <c r="A41" s="205" t="s">
        <v>2078</v>
      </c>
    </row>
    <row r="42" spans="1:7" ht="15.75">
      <c r="A42" s="205"/>
    </row>
    <row r="43" spans="1:7" ht="15.75">
      <c r="A43" s="205" t="s">
        <v>2180</v>
      </c>
    </row>
    <row r="44" spans="1:7" ht="15.75">
      <c r="A44" s="232" t="s">
        <v>2174</v>
      </c>
    </row>
    <row r="45" spans="1:7" ht="15.75" thickBot="1">
      <c r="A45" s="987"/>
    </row>
    <row r="46" spans="1:7" ht="32.25" thickBot="1">
      <c r="A46" s="252" t="s">
        <v>0</v>
      </c>
      <c r="B46" s="253" t="s">
        <v>632</v>
      </c>
      <c r="C46" s="1209" t="s">
        <v>894</v>
      </c>
      <c r="D46" s="1210" t="s">
        <v>1245</v>
      </c>
      <c r="E46" s="1213" t="s">
        <v>634</v>
      </c>
    </row>
    <row r="47" spans="1:7" ht="16.5" thickBot="1">
      <c r="A47" s="273">
        <v>1</v>
      </c>
      <c r="B47" s="256" t="s">
        <v>706</v>
      </c>
      <c r="C47" s="1211">
        <v>1500000</v>
      </c>
      <c r="D47" s="1176"/>
      <c r="E47" s="1214"/>
    </row>
    <row r="48" spans="1:7" ht="16.5" thickBot="1">
      <c r="A48" s="273">
        <v>2</v>
      </c>
      <c r="B48" s="256" t="s">
        <v>1450</v>
      </c>
      <c r="C48" s="273"/>
      <c r="D48" s="1211">
        <v>500000</v>
      </c>
      <c r="E48" s="1214"/>
    </row>
    <row r="49" spans="1:7" ht="16.5" thickBot="1">
      <c r="A49" s="273">
        <v>3</v>
      </c>
      <c r="B49" s="256" t="s">
        <v>836</v>
      </c>
      <c r="C49" s="1211">
        <v>1000000</v>
      </c>
      <c r="D49" s="1034"/>
      <c r="E49" s="1214"/>
    </row>
    <row r="50" spans="1:7" ht="16.5" thickBot="1">
      <c r="A50" s="273">
        <v>4</v>
      </c>
      <c r="B50" s="256" t="s">
        <v>708</v>
      </c>
      <c r="C50" s="1211">
        <v>1500000</v>
      </c>
      <c r="D50" s="1034"/>
      <c r="E50" s="1214"/>
    </row>
    <row r="51" spans="1:7" ht="16.5" thickBot="1">
      <c r="A51" s="273">
        <v>5</v>
      </c>
      <c r="B51" s="256" t="s">
        <v>837</v>
      </c>
      <c r="C51" s="273"/>
      <c r="D51" s="1211">
        <v>500000</v>
      </c>
      <c r="E51" s="1214"/>
    </row>
    <row r="52" spans="1:7" ht="16.5" thickBot="1">
      <c r="A52" s="273">
        <v>6</v>
      </c>
      <c r="B52" s="256" t="s">
        <v>890</v>
      </c>
      <c r="C52" s="273"/>
      <c r="D52" s="1211">
        <v>500000</v>
      </c>
      <c r="E52" s="1214"/>
    </row>
    <row r="53" spans="1:7" ht="16.5" thickBot="1">
      <c r="A53" s="288" t="s">
        <v>758</v>
      </c>
      <c r="B53" s="289"/>
      <c r="C53" s="1212">
        <v>4000000</v>
      </c>
      <c r="D53" s="991">
        <v>1500000</v>
      </c>
      <c r="E53" s="1215"/>
    </row>
    <row r="54" spans="1:7" ht="16.5">
      <c r="A54" s="250"/>
    </row>
    <row r="55" spans="1:7">
      <c r="A55" s="244"/>
    </row>
    <row r="56" spans="1:7">
      <c r="A56" s="284"/>
    </row>
    <row r="57" spans="1:7" ht="16.5">
      <c r="A57" s="246"/>
      <c r="B57" s="248"/>
    </row>
    <row r="58" spans="1:7" ht="15.75">
      <c r="A58" s="205" t="s">
        <v>2079</v>
      </c>
    </row>
    <row r="59" spans="1:7" ht="15.75">
      <c r="A59" s="205"/>
    </row>
    <row r="60" spans="1:7">
      <c r="A60" s="686" t="s">
        <v>2176</v>
      </c>
    </row>
    <row r="61" spans="1:7" ht="15.75">
      <c r="A61" s="205" t="s">
        <v>2181</v>
      </c>
    </row>
    <row r="62" spans="1:7" ht="15.75">
      <c r="A62" s="232" t="s">
        <v>2178</v>
      </c>
    </row>
    <row r="63" spans="1:7" ht="16.5" thickBot="1">
      <c r="A63" s="232"/>
    </row>
    <row r="64" spans="1:7" ht="16.5" customHeight="1" thickBot="1">
      <c r="A64" s="380" t="s">
        <v>0</v>
      </c>
      <c r="B64" s="380" t="s">
        <v>121</v>
      </c>
      <c r="C64" s="380" t="s">
        <v>632</v>
      </c>
      <c r="D64" s="398" t="s">
        <v>894</v>
      </c>
      <c r="E64" s="1216"/>
      <c r="F64" s="399"/>
      <c r="G64" s="380" t="s">
        <v>699</v>
      </c>
    </row>
    <row r="65" spans="1:7" ht="16.5" thickBot="1">
      <c r="A65" s="400"/>
      <c r="B65" s="400"/>
      <c r="C65" s="400"/>
      <c r="D65" s="381" t="s">
        <v>828</v>
      </c>
      <c r="E65" s="1217" t="s">
        <v>829</v>
      </c>
      <c r="F65" s="381" t="s">
        <v>839</v>
      </c>
      <c r="G65" s="400"/>
    </row>
    <row r="66" spans="1:7" ht="16.5" thickBot="1">
      <c r="A66" s="382">
        <v>1</v>
      </c>
      <c r="B66" s="687" t="s">
        <v>1165</v>
      </c>
      <c r="C66" s="688" t="s">
        <v>674</v>
      </c>
      <c r="D66" s="689">
        <v>200000</v>
      </c>
      <c r="E66" s="1218"/>
      <c r="F66" s="386"/>
      <c r="G66" s="386"/>
    </row>
    <row r="67" spans="1:7" ht="16.5" thickBot="1">
      <c r="A67" s="382">
        <v>2</v>
      </c>
      <c r="B67" s="687" t="s">
        <v>655</v>
      </c>
      <c r="C67" s="688" t="s">
        <v>653</v>
      </c>
      <c r="D67" s="689">
        <v>50000</v>
      </c>
      <c r="E67" s="1218"/>
      <c r="F67" s="386"/>
      <c r="G67" s="386"/>
    </row>
    <row r="68" spans="1:7" ht="16.5" thickBot="1">
      <c r="A68" s="382">
        <v>3</v>
      </c>
      <c r="B68" s="687" t="s">
        <v>673</v>
      </c>
      <c r="C68" s="688" t="s">
        <v>674</v>
      </c>
      <c r="D68" s="689">
        <v>50000</v>
      </c>
      <c r="E68" s="1218"/>
      <c r="F68" s="386"/>
      <c r="G68" s="386"/>
    </row>
    <row r="69" spans="1:7" ht="16.5" thickBot="1">
      <c r="A69" s="382">
        <v>4</v>
      </c>
      <c r="B69" s="687" t="s">
        <v>747</v>
      </c>
      <c r="C69" s="688" t="s">
        <v>746</v>
      </c>
      <c r="D69" s="689">
        <v>50000</v>
      </c>
      <c r="E69" s="1218"/>
      <c r="F69" s="386"/>
      <c r="G69" s="386"/>
    </row>
    <row r="70" spans="1:7" ht="16.5" thickBot="1">
      <c r="A70" s="382">
        <v>5</v>
      </c>
      <c r="B70" s="687" t="s">
        <v>1223</v>
      </c>
      <c r="C70" s="688" t="s">
        <v>756</v>
      </c>
      <c r="D70" s="689">
        <v>50000</v>
      </c>
      <c r="E70" s="1218"/>
      <c r="F70" s="386"/>
      <c r="G70" s="386"/>
    </row>
    <row r="71" spans="1:7" ht="16.5" thickBot="1">
      <c r="A71" s="382">
        <v>6</v>
      </c>
      <c r="B71" s="687" t="s">
        <v>1247</v>
      </c>
      <c r="C71" s="688" t="s">
        <v>756</v>
      </c>
      <c r="D71" s="689">
        <v>50000</v>
      </c>
      <c r="E71" s="1218"/>
      <c r="F71" s="386"/>
      <c r="G71" s="386"/>
    </row>
    <row r="72" spans="1:7" ht="16.5" thickBot="1">
      <c r="A72" s="382">
        <v>7</v>
      </c>
      <c r="B72" s="687" t="s">
        <v>50</v>
      </c>
      <c r="C72" s="688" t="s">
        <v>653</v>
      </c>
      <c r="D72" s="386"/>
      <c r="E72" s="1219">
        <v>400000</v>
      </c>
      <c r="F72" s="386"/>
      <c r="G72" s="386"/>
    </row>
    <row r="73" spans="1:7" ht="16.5" thickBot="1">
      <c r="A73" s="382">
        <v>8</v>
      </c>
      <c r="B73" s="687" t="s">
        <v>56</v>
      </c>
      <c r="C73" s="688" t="s">
        <v>653</v>
      </c>
      <c r="D73" s="386"/>
      <c r="E73" s="1219">
        <v>300000</v>
      </c>
      <c r="F73" s="386"/>
      <c r="G73" s="386"/>
    </row>
    <row r="74" spans="1:7" ht="16.5" thickBot="1">
      <c r="A74" s="382">
        <v>9</v>
      </c>
      <c r="B74" s="687" t="s">
        <v>152</v>
      </c>
      <c r="C74" s="688" t="s">
        <v>649</v>
      </c>
      <c r="D74" s="386"/>
      <c r="E74" s="1219">
        <v>200000</v>
      </c>
      <c r="F74" s="386"/>
      <c r="G74" s="386"/>
    </row>
    <row r="75" spans="1:7" ht="16.5" thickBot="1">
      <c r="A75" s="382">
        <v>10</v>
      </c>
      <c r="B75" s="687" t="s">
        <v>72</v>
      </c>
      <c r="C75" s="688" t="s">
        <v>674</v>
      </c>
      <c r="D75" s="386"/>
      <c r="E75" s="1219">
        <v>300000</v>
      </c>
      <c r="F75" s="386"/>
      <c r="G75" s="386"/>
    </row>
    <row r="76" spans="1:7" ht="16.5" thickBot="1">
      <c r="A76" s="382">
        <v>11</v>
      </c>
      <c r="B76" s="687" t="s">
        <v>687</v>
      </c>
      <c r="C76" s="688" t="s">
        <v>649</v>
      </c>
      <c r="D76" s="689">
        <v>200000</v>
      </c>
      <c r="E76" s="1218"/>
      <c r="F76" s="386"/>
      <c r="G76" s="386"/>
    </row>
    <row r="77" spans="1:7" ht="16.5" thickBot="1">
      <c r="A77" s="382">
        <v>12</v>
      </c>
      <c r="B77" s="687" t="s">
        <v>39</v>
      </c>
      <c r="C77" s="688" t="s">
        <v>668</v>
      </c>
      <c r="D77" s="386"/>
      <c r="E77" s="1219">
        <v>200000</v>
      </c>
      <c r="F77" s="386"/>
      <c r="G77" s="386"/>
    </row>
    <row r="78" spans="1:7" ht="16.5" thickBot="1">
      <c r="A78" s="382">
        <v>13</v>
      </c>
      <c r="B78" s="687" t="s">
        <v>29</v>
      </c>
      <c r="C78" s="688" t="s">
        <v>668</v>
      </c>
      <c r="D78" s="386"/>
      <c r="E78" s="1219">
        <v>100000</v>
      </c>
      <c r="F78" s="386"/>
      <c r="G78" s="386"/>
    </row>
    <row r="79" spans="1:7" ht="16.5" thickBot="1">
      <c r="A79" s="382">
        <v>14</v>
      </c>
      <c r="B79" s="687" t="s">
        <v>685</v>
      </c>
      <c r="C79" s="688" t="s">
        <v>649</v>
      </c>
      <c r="D79" s="689">
        <v>100000</v>
      </c>
      <c r="E79" s="1218"/>
      <c r="F79" s="386"/>
      <c r="G79" s="386"/>
    </row>
    <row r="80" spans="1:7" ht="16.5" thickBot="1">
      <c r="A80" s="382">
        <v>15</v>
      </c>
      <c r="B80" s="687" t="s">
        <v>684</v>
      </c>
      <c r="C80" s="688" t="s">
        <v>649</v>
      </c>
      <c r="D80" s="689">
        <v>100000</v>
      </c>
      <c r="E80" s="1218"/>
      <c r="F80" s="386"/>
      <c r="G80" s="386"/>
    </row>
    <row r="81" spans="1:7" ht="16.5" thickBot="1">
      <c r="A81" s="382">
        <v>16</v>
      </c>
      <c r="B81" s="687" t="s">
        <v>855</v>
      </c>
      <c r="C81" s="688" t="s">
        <v>674</v>
      </c>
      <c r="D81" s="386"/>
      <c r="E81" s="1218"/>
      <c r="F81" s="689">
        <v>200000</v>
      </c>
      <c r="G81" s="386"/>
    </row>
    <row r="82" spans="1:7" ht="16.5" thickBot="1">
      <c r="A82" s="382">
        <v>17</v>
      </c>
      <c r="B82" s="687" t="s">
        <v>1194</v>
      </c>
      <c r="C82" s="688" t="s">
        <v>674</v>
      </c>
      <c r="D82" s="386"/>
      <c r="E82" s="1218"/>
      <c r="F82" s="689">
        <v>150000</v>
      </c>
      <c r="G82" s="386"/>
    </row>
    <row r="83" spans="1:7" ht="16.5" thickBot="1">
      <c r="A83" s="382">
        <v>18</v>
      </c>
      <c r="B83" s="687" t="s">
        <v>1187</v>
      </c>
      <c r="C83" s="688" t="s">
        <v>674</v>
      </c>
      <c r="D83" s="386"/>
      <c r="E83" s="1218"/>
      <c r="F83" s="689">
        <v>100000</v>
      </c>
      <c r="G83" s="386"/>
    </row>
    <row r="84" spans="1:7" ht="16.5" thickBot="1">
      <c r="A84" s="401" t="s">
        <v>758</v>
      </c>
      <c r="B84" s="402"/>
      <c r="C84" s="336"/>
      <c r="D84" s="388">
        <v>850000</v>
      </c>
      <c r="E84" s="1220">
        <v>1500000</v>
      </c>
      <c r="F84" s="388">
        <v>450000</v>
      </c>
      <c r="G84" s="389"/>
    </row>
    <row r="85" spans="1:7" ht="16.5" customHeight="1" thickBot="1">
      <c r="A85" s="401" t="s">
        <v>864</v>
      </c>
      <c r="B85" s="402"/>
      <c r="C85" s="336"/>
      <c r="D85" s="403">
        <v>2800000</v>
      </c>
      <c r="E85" s="1221"/>
      <c r="F85" s="404"/>
      <c r="G85" s="390"/>
    </row>
    <row r="86" spans="1:7">
      <c r="A86" s="244" t="s">
        <v>2182</v>
      </c>
    </row>
    <row r="87" spans="1:7">
      <c r="A87" s="284"/>
    </row>
    <row r="88" spans="1:7">
      <c r="A88" s="284"/>
    </row>
    <row r="89" spans="1:7">
      <c r="A89" s="284"/>
    </row>
    <row r="90" spans="1:7">
      <c r="A90" s="284"/>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6"/>
  <sheetViews>
    <sheetView topLeftCell="A27" workbookViewId="0">
      <selection activeCell="G27" sqref="G1:G1048576"/>
    </sheetView>
  </sheetViews>
  <sheetFormatPr defaultRowHeight="15"/>
  <cols>
    <col min="2" max="2" width="33.140625" customWidth="1"/>
    <col min="3" max="3" width="19.5703125" customWidth="1"/>
    <col min="4" max="4" width="15" customWidth="1"/>
    <col min="7" max="7" width="11.5703125" style="562" bestFit="1" customWidth="1"/>
  </cols>
  <sheetData>
    <row r="1" spans="1:7" ht="15.75" thickBot="1">
      <c r="A1" s="1222"/>
    </row>
    <row r="2" spans="1:7" ht="33.75" thickBot="1">
      <c r="A2" s="1223" t="s">
        <v>0</v>
      </c>
      <c r="B2" s="1224" t="s">
        <v>121</v>
      </c>
      <c r="C2" s="1224" t="s">
        <v>632</v>
      </c>
      <c r="D2" s="1224" t="s">
        <v>2188</v>
      </c>
      <c r="E2" s="1224" t="s">
        <v>699</v>
      </c>
    </row>
    <row r="3" spans="1:7" ht="17.25" thickBot="1">
      <c r="A3" s="395">
        <v>1</v>
      </c>
      <c r="B3" s="1225" t="s">
        <v>41</v>
      </c>
      <c r="C3" s="1226" t="s">
        <v>2189</v>
      </c>
      <c r="D3" s="1227">
        <v>500</v>
      </c>
      <c r="E3" s="1228"/>
      <c r="F3">
        <v>1000</v>
      </c>
      <c r="G3" s="562">
        <f>D3*F3</f>
        <v>500000</v>
      </c>
    </row>
    <row r="4" spans="1:7" ht="17.25" thickBot="1">
      <c r="A4" s="395">
        <v>2</v>
      </c>
      <c r="B4" s="1228" t="s">
        <v>104</v>
      </c>
      <c r="C4" s="1226" t="s">
        <v>2189</v>
      </c>
      <c r="D4" s="1227">
        <v>500</v>
      </c>
      <c r="E4" s="1228"/>
      <c r="F4">
        <v>1000</v>
      </c>
      <c r="G4" s="562">
        <f t="shared" ref="G4:G30" si="0">D4*F4</f>
        <v>500000</v>
      </c>
    </row>
    <row r="5" spans="1:7" ht="17.25" thickBot="1">
      <c r="A5" s="395">
        <v>3</v>
      </c>
      <c r="B5" s="1228" t="s">
        <v>37</v>
      </c>
      <c r="C5" s="1226" t="s">
        <v>2189</v>
      </c>
      <c r="D5" s="1227">
        <v>500</v>
      </c>
      <c r="E5" s="1228"/>
      <c r="F5">
        <v>1000</v>
      </c>
      <c r="G5" s="562">
        <f t="shared" si="0"/>
        <v>500000</v>
      </c>
    </row>
    <row r="6" spans="1:7" ht="17.25" thickBot="1">
      <c r="A6" s="395">
        <v>4</v>
      </c>
      <c r="B6" s="1228" t="s">
        <v>144</v>
      </c>
      <c r="C6" s="1226" t="s">
        <v>2190</v>
      </c>
      <c r="D6" s="1227">
        <v>500</v>
      </c>
      <c r="E6" s="1228"/>
      <c r="F6">
        <v>1000</v>
      </c>
      <c r="G6" s="562">
        <f t="shared" si="0"/>
        <v>500000</v>
      </c>
    </row>
    <row r="7" spans="1:7" ht="17.25" thickBot="1">
      <c r="A7" s="395">
        <v>5</v>
      </c>
      <c r="B7" s="1228" t="s">
        <v>143</v>
      </c>
      <c r="C7" s="1226" t="s">
        <v>2191</v>
      </c>
      <c r="D7" s="1227">
        <v>500</v>
      </c>
      <c r="E7" s="1228"/>
      <c r="F7">
        <v>1000</v>
      </c>
      <c r="G7" s="562">
        <f t="shared" si="0"/>
        <v>500000</v>
      </c>
    </row>
    <row r="8" spans="1:7" ht="17.25" thickBot="1">
      <c r="A8" s="395">
        <v>6</v>
      </c>
      <c r="B8" s="1228" t="s">
        <v>108</v>
      </c>
      <c r="C8" s="1226" t="s">
        <v>2192</v>
      </c>
      <c r="D8" s="1227">
        <v>500</v>
      </c>
      <c r="E8" s="1228"/>
      <c r="F8">
        <v>1000</v>
      </c>
      <c r="G8" s="562">
        <f t="shared" si="0"/>
        <v>500000</v>
      </c>
    </row>
    <row r="9" spans="1:7" ht="17.25" thickBot="1">
      <c r="A9" s="395">
        <v>7</v>
      </c>
      <c r="B9" s="1228" t="s">
        <v>39</v>
      </c>
      <c r="C9" s="1226" t="s">
        <v>2193</v>
      </c>
      <c r="D9" s="1227">
        <v>500</v>
      </c>
      <c r="E9" s="1228"/>
      <c r="F9">
        <v>1000</v>
      </c>
      <c r="G9" s="562">
        <f t="shared" si="0"/>
        <v>500000</v>
      </c>
    </row>
    <row r="10" spans="1:7" ht="17.25" thickBot="1">
      <c r="A10" s="395">
        <v>8</v>
      </c>
      <c r="B10" s="1228" t="s">
        <v>29</v>
      </c>
      <c r="C10" s="1226" t="s">
        <v>2193</v>
      </c>
      <c r="D10" s="1227">
        <v>500</v>
      </c>
      <c r="E10" s="1228"/>
      <c r="F10">
        <v>1000</v>
      </c>
      <c r="G10" s="562">
        <f t="shared" si="0"/>
        <v>500000</v>
      </c>
    </row>
    <row r="11" spans="1:7" ht="17.25" thickBot="1">
      <c r="A11" s="395">
        <v>9</v>
      </c>
      <c r="B11" s="1228" t="s">
        <v>273</v>
      </c>
      <c r="C11" s="1226" t="s">
        <v>2193</v>
      </c>
      <c r="D11" s="1227">
        <v>500</v>
      </c>
      <c r="E11" s="1228"/>
      <c r="F11">
        <v>1000</v>
      </c>
      <c r="G11" s="562">
        <f t="shared" si="0"/>
        <v>500000</v>
      </c>
    </row>
    <row r="12" spans="1:7" ht="17.25" thickBot="1">
      <c r="A12" s="395">
        <v>10</v>
      </c>
      <c r="B12" s="1228" t="s">
        <v>35</v>
      </c>
      <c r="C12" s="1226" t="s">
        <v>2193</v>
      </c>
      <c r="D12" s="1227">
        <v>500</v>
      </c>
      <c r="E12" s="1228"/>
      <c r="F12">
        <v>1000</v>
      </c>
      <c r="G12" s="562">
        <f t="shared" si="0"/>
        <v>500000</v>
      </c>
    </row>
    <row r="13" spans="1:7" ht="17.25" thickBot="1">
      <c r="A13" s="395">
        <v>11</v>
      </c>
      <c r="B13" s="1228" t="s">
        <v>56</v>
      </c>
      <c r="C13" s="1226" t="s">
        <v>2194</v>
      </c>
      <c r="D13" s="1227">
        <v>500</v>
      </c>
      <c r="E13" s="1228"/>
      <c r="F13">
        <v>1000</v>
      </c>
      <c r="G13" s="562">
        <f t="shared" si="0"/>
        <v>500000</v>
      </c>
    </row>
    <row r="14" spans="1:7" ht="17.25" thickBot="1">
      <c r="A14" s="395">
        <v>12</v>
      </c>
      <c r="B14" s="1228" t="s">
        <v>138</v>
      </c>
      <c r="C14" s="1226" t="s">
        <v>2194</v>
      </c>
      <c r="D14" s="1227">
        <v>500</v>
      </c>
      <c r="E14" s="1228"/>
      <c r="F14">
        <v>1000</v>
      </c>
      <c r="G14" s="562">
        <f t="shared" si="0"/>
        <v>500000</v>
      </c>
    </row>
    <row r="15" spans="1:7" ht="17.25" thickBot="1">
      <c r="A15" s="395">
        <v>13</v>
      </c>
      <c r="B15" s="1228" t="s">
        <v>60</v>
      </c>
      <c r="C15" s="1226" t="s">
        <v>2194</v>
      </c>
      <c r="D15" s="1227">
        <v>500</v>
      </c>
      <c r="E15" s="1228"/>
      <c r="F15">
        <v>1000</v>
      </c>
      <c r="G15" s="562">
        <f t="shared" si="0"/>
        <v>500000</v>
      </c>
    </row>
    <row r="16" spans="1:7" ht="17.25" thickBot="1">
      <c r="A16" s="395">
        <v>14</v>
      </c>
      <c r="B16" s="1228" t="s">
        <v>151</v>
      </c>
      <c r="C16" s="1226" t="s">
        <v>2194</v>
      </c>
      <c r="D16" s="1227">
        <v>500</v>
      </c>
      <c r="E16" s="1228"/>
      <c r="F16">
        <v>1000</v>
      </c>
      <c r="G16" s="562">
        <f t="shared" si="0"/>
        <v>500000</v>
      </c>
    </row>
    <row r="17" spans="1:7" ht="17.25" thickBot="1">
      <c r="A17" s="395">
        <v>15</v>
      </c>
      <c r="B17" s="1228" t="s">
        <v>282</v>
      </c>
      <c r="C17" s="1226" t="s">
        <v>2195</v>
      </c>
      <c r="D17" s="1227">
        <v>500</v>
      </c>
      <c r="E17" s="1228"/>
      <c r="F17">
        <v>1000</v>
      </c>
      <c r="G17" s="562">
        <f t="shared" si="0"/>
        <v>500000</v>
      </c>
    </row>
    <row r="18" spans="1:7" ht="17.25" thickBot="1">
      <c r="A18" s="395">
        <v>16</v>
      </c>
      <c r="B18" s="1228" t="s">
        <v>148</v>
      </c>
      <c r="C18" s="1226" t="s">
        <v>2195</v>
      </c>
      <c r="D18" s="1227">
        <v>500</v>
      </c>
      <c r="E18" s="1228"/>
      <c r="F18">
        <v>1000</v>
      </c>
      <c r="G18" s="562">
        <f t="shared" si="0"/>
        <v>500000</v>
      </c>
    </row>
    <row r="19" spans="1:7" ht="17.25" thickBot="1">
      <c r="A19" s="395">
        <v>17</v>
      </c>
      <c r="B19" s="1228" t="s">
        <v>149</v>
      </c>
      <c r="C19" s="1226" t="s">
        <v>2196</v>
      </c>
      <c r="D19" s="1227">
        <v>500</v>
      </c>
      <c r="E19" s="1228"/>
      <c r="F19">
        <v>1000</v>
      </c>
      <c r="G19" s="562">
        <f t="shared" si="0"/>
        <v>500000</v>
      </c>
    </row>
    <row r="20" spans="1:7" ht="17.25" thickBot="1">
      <c r="A20" s="395">
        <v>18</v>
      </c>
      <c r="B20" s="1228" t="s">
        <v>72</v>
      </c>
      <c r="C20" s="1226" t="s">
        <v>2196</v>
      </c>
      <c r="D20" s="1227">
        <v>500</v>
      </c>
      <c r="E20" s="1228"/>
      <c r="F20">
        <v>1000</v>
      </c>
      <c r="G20" s="562">
        <f t="shared" si="0"/>
        <v>500000</v>
      </c>
    </row>
    <row r="21" spans="1:7" ht="17.25" thickBot="1">
      <c r="A21" s="395">
        <v>19</v>
      </c>
      <c r="B21" s="1228" t="s">
        <v>152</v>
      </c>
      <c r="C21" s="1226" t="s">
        <v>2197</v>
      </c>
      <c r="D21" s="1227">
        <v>500</v>
      </c>
      <c r="E21" s="1228"/>
      <c r="F21">
        <v>1000</v>
      </c>
      <c r="G21" s="562">
        <f t="shared" si="0"/>
        <v>500000</v>
      </c>
    </row>
    <row r="22" spans="1:7" ht="17.25" thickBot="1">
      <c r="A22" s="395">
        <v>20</v>
      </c>
      <c r="B22" s="1228" t="s">
        <v>205</v>
      </c>
      <c r="C22" s="1226" t="s">
        <v>2197</v>
      </c>
      <c r="D22" s="1227">
        <v>500</v>
      </c>
      <c r="E22" s="1228"/>
      <c r="F22">
        <v>1000</v>
      </c>
      <c r="G22" s="562">
        <f t="shared" si="0"/>
        <v>500000</v>
      </c>
    </row>
    <row r="23" spans="1:7" ht="17.25" thickBot="1">
      <c r="A23" s="395">
        <v>21</v>
      </c>
      <c r="B23" s="1228" t="s">
        <v>78</v>
      </c>
      <c r="C23" s="1226" t="s">
        <v>2197</v>
      </c>
      <c r="D23" s="1227">
        <v>500</v>
      </c>
      <c r="E23" s="1228"/>
      <c r="F23">
        <v>1000</v>
      </c>
      <c r="G23" s="562">
        <f t="shared" si="0"/>
        <v>500000</v>
      </c>
    </row>
    <row r="24" spans="1:7" ht="17.25" thickBot="1">
      <c r="A24" s="1229">
        <v>22</v>
      </c>
      <c r="B24" s="1228" t="s">
        <v>91</v>
      </c>
      <c r="C24" s="1226" t="s">
        <v>2198</v>
      </c>
      <c r="D24" s="1227">
        <v>500</v>
      </c>
      <c r="E24" s="1228"/>
      <c r="F24">
        <v>1000</v>
      </c>
      <c r="G24" s="562">
        <f t="shared" si="0"/>
        <v>500000</v>
      </c>
    </row>
    <row r="25" spans="1:7" ht="17.25" thickBot="1">
      <c r="A25" s="1229">
        <v>23</v>
      </c>
      <c r="B25" s="1228" t="s">
        <v>94</v>
      </c>
      <c r="C25" s="1226" t="s">
        <v>2199</v>
      </c>
      <c r="D25" s="1227">
        <v>500</v>
      </c>
      <c r="E25" s="1228"/>
      <c r="F25">
        <v>1000</v>
      </c>
      <c r="G25" s="562">
        <f t="shared" si="0"/>
        <v>500000</v>
      </c>
    </row>
    <row r="26" spans="1:7" ht="17.25" thickBot="1">
      <c r="A26" s="395">
        <v>24</v>
      </c>
      <c r="B26" s="1228" t="s">
        <v>644</v>
      </c>
      <c r="C26" s="1226" t="s">
        <v>2199</v>
      </c>
      <c r="D26" s="1227">
        <v>500</v>
      </c>
      <c r="E26" s="1228"/>
      <c r="F26">
        <v>1000</v>
      </c>
      <c r="G26" s="562">
        <f t="shared" si="0"/>
        <v>500000</v>
      </c>
    </row>
    <row r="27" spans="1:7" ht="17.25" thickBot="1">
      <c r="A27" s="1229">
        <v>25</v>
      </c>
      <c r="B27" s="1228" t="s">
        <v>98</v>
      </c>
      <c r="C27" s="1226" t="s">
        <v>2200</v>
      </c>
      <c r="D27" s="1227">
        <v>500</v>
      </c>
      <c r="E27" s="1228"/>
      <c r="F27">
        <v>1000</v>
      </c>
      <c r="G27" s="562">
        <f t="shared" si="0"/>
        <v>500000</v>
      </c>
    </row>
    <row r="28" spans="1:7" ht="17.25" thickBot="1">
      <c r="A28" s="395">
        <v>26</v>
      </c>
      <c r="B28" s="1228" t="s">
        <v>154</v>
      </c>
      <c r="C28" s="1226" t="s">
        <v>2200</v>
      </c>
      <c r="D28" s="1227">
        <v>500</v>
      </c>
      <c r="E28" s="1228"/>
      <c r="F28">
        <v>1000</v>
      </c>
      <c r="G28" s="562">
        <f t="shared" si="0"/>
        <v>500000</v>
      </c>
    </row>
    <row r="29" spans="1:7" ht="17.25" customHeight="1" thickBot="1">
      <c r="A29" s="405" t="s">
        <v>132</v>
      </c>
      <c r="B29" s="406"/>
      <c r="C29" s="1238" t="s">
        <v>2201</v>
      </c>
      <c r="D29" s="1239"/>
      <c r="E29" s="1240"/>
      <c r="F29">
        <v>1000</v>
      </c>
      <c r="G29" s="562">
        <f t="shared" si="0"/>
        <v>0</v>
      </c>
    </row>
    <row r="30" spans="1:7" ht="16.5">
      <c r="A30" s="397" t="s">
        <v>2202</v>
      </c>
      <c r="F30">
        <v>1000</v>
      </c>
      <c r="G30" s="562">
        <f t="shared" si="0"/>
        <v>0</v>
      </c>
    </row>
    <row r="31" spans="1:7">
      <c r="A31" s="1230"/>
    </row>
    <row r="32" spans="1:7" ht="16.5">
      <c r="A32" s="1231"/>
      <c r="B32" s="248"/>
    </row>
    <row r="33" spans="1:9" ht="16.5">
      <c r="A33" s="123" t="s">
        <v>2203</v>
      </c>
    </row>
    <row r="34" spans="1:9" ht="15.75">
      <c r="A34" s="1086" t="s">
        <v>2204</v>
      </c>
    </row>
    <row r="35" spans="1:9" ht="16.5" thickBot="1">
      <c r="A35" s="365"/>
      <c r="I35" t="e">
        <f>C29+C94</f>
        <v>#VALUE!</v>
      </c>
    </row>
    <row r="36" spans="1:9" ht="33">
      <c r="A36" s="1241" t="s">
        <v>0</v>
      </c>
      <c r="B36" s="1241" t="s">
        <v>121</v>
      </c>
      <c r="C36" s="1242" t="s">
        <v>632</v>
      </c>
      <c r="D36" s="1232" t="s">
        <v>2205</v>
      </c>
      <c r="E36" s="1241" t="s">
        <v>699</v>
      </c>
    </row>
    <row r="37" spans="1:9" ht="17.25" thickBot="1">
      <c r="A37" s="1243"/>
      <c r="B37" s="1243"/>
      <c r="C37" s="1244"/>
      <c r="D37" s="1233" t="s">
        <v>2206</v>
      </c>
      <c r="E37" s="1243"/>
    </row>
    <row r="38" spans="1:9" ht="17.25" thickBot="1">
      <c r="A38" s="395">
        <v>1</v>
      </c>
      <c r="B38" s="1234" t="s">
        <v>145</v>
      </c>
      <c r="C38" s="1235" t="s">
        <v>2207</v>
      </c>
      <c r="D38" s="1227">
        <v>200</v>
      </c>
      <c r="E38" s="1228"/>
      <c r="F38">
        <v>1000</v>
      </c>
      <c r="G38" s="562">
        <f>D38*F38</f>
        <v>200000</v>
      </c>
    </row>
    <row r="39" spans="1:9" ht="17.25" thickBot="1">
      <c r="A39" s="395">
        <v>2</v>
      </c>
      <c r="B39" s="1234" t="s">
        <v>14</v>
      </c>
      <c r="C39" s="1235" t="s">
        <v>2189</v>
      </c>
      <c r="D39" s="1227">
        <v>200</v>
      </c>
      <c r="E39" s="1228"/>
      <c r="F39">
        <v>1000</v>
      </c>
      <c r="G39" s="562">
        <f t="shared" ref="G39:G94" si="1">D39*F39</f>
        <v>200000</v>
      </c>
    </row>
    <row r="40" spans="1:9" ht="17.25" thickBot="1">
      <c r="A40" s="395">
        <v>3</v>
      </c>
      <c r="B40" s="1234" t="s">
        <v>22</v>
      </c>
      <c r="C40" s="1235" t="s">
        <v>2189</v>
      </c>
      <c r="D40" s="1227">
        <v>200</v>
      </c>
      <c r="E40" s="1228"/>
      <c r="F40">
        <v>1000</v>
      </c>
      <c r="G40" s="562">
        <f t="shared" si="1"/>
        <v>200000</v>
      </c>
    </row>
    <row r="41" spans="1:9" ht="17.25" thickBot="1">
      <c r="A41" s="395">
        <v>4</v>
      </c>
      <c r="B41" s="1234" t="s">
        <v>58</v>
      </c>
      <c r="C41" s="1235" t="s">
        <v>2189</v>
      </c>
      <c r="D41" s="1227">
        <v>200</v>
      </c>
      <c r="E41" s="1228"/>
      <c r="F41">
        <v>1000</v>
      </c>
      <c r="G41" s="562">
        <f t="shared" si="1"/>
        <v>200000</v>
      </c>
    </row>
    <row r="42" spans="1:9" ht="17.25" thickBot="1">
      <c r="A42" s="395">
        <v>5</v>
      </c>
      <c r="B42" s="1236" t="s">
        <v>1313</v>
      </c>
      <c r="C42" s="1235" t="s">
        <v>2189</v>
      </c>
      <c r="D42" s="1227">
        <v>200</v>
      </c>
      <c r="E42" s="1228"/>
      <c r="F42">
        <v>1000</v>
      </c>
      <c r="G42" s="562">
        <f t="shared" si="1"/>
        <v>200000</v>
      </c>
    </row>
    <row r="43" spans="1:9" ht="17.25" thickBot="1">
      <c r="A43" s="395">
        <v>6</v>
      </c>
      <c r="B43" s="1234" t="s">
        <v>216</v>
      </c>
      <c r="C43" s="1235" t="s">
        <v>2189</v>
      </c>
      <c r="D43" s="1227">
        <v>200</v>
      </c>
      <c r="E43" s="1228"/>
      <c r="F43">
        <v>1000</v>
      </c>
      <c r="G43" s="562">
        <f t="shared" si="1"/>
        <v>200000</v>
      </c>
    </row>
    <row r="44" spans="1:9" ht="17.25" thickBot="1">
      <c r="A44" s="395">
        <v>7</v>
      </c>
      <c r="B44" s="1237" t="s">
        <v>17</v>
      </c>
      <c r="C44" s="1235" t="s">
        <v>2190</v>
      </c>
      <c r="D44" s="1227">
        <v>200</v>
      </c>
      <c r="E44" s="1228"/>
      <c r="F44">
        <v>1000</v>
      </c>
      <c r="G44" s="562">
        <f t="shared" si="1"/>
        <v>200000</v>
      </c>
    </row>
    <row r="45" spans="1:9" ht="17.25" thickBot="1">
      <c r="A45" s="395">
        <v>8</v>
      </c>
      <c r="B45" s="1234" t="s">
        <v>33</v>
      </c>
      <c r="C45" s="1235" t="s">
        <v>2190</v>
      </c>
      <c r="D45" s="1227">
        <v>200</v>
      </c>
      <c r="E45" s="1228"/>
      <c r="F45">
        <v>1000</v>
      </c>
      <c r="G45" s="562">
        <f t="shared" si="1"/>
        <v>200000</v>
      </c>
    </row>
    <row r="46" spans="1:9" ht="17.25" thickBot="1">
      <c r="A46" s="395">
        <v>9</v>
      </c>
      <c r="B46" s="1234" t="s">
        <v>142</v>
      </c>
      <c r="C46" s="1235" t="s">
        <v>2191</v>
      </c>
      <c r="D46" s="1227">
        <v>200</v>
      </c>
      <c r="E46" s="1228"/>
      <c r="F46">
        <v>1000</v>
      </c>
      <c r="G46" s="562">
        <f t="shared" si="1"/>
        <v>200000</v>
      </c>
    </row>
    <row r="47" spans="1:9" ht="17.25" thickBot="1">
      <c r="A47" s="395">
        <v>10</v>
      </c>
      <c r="B47" s="1237" t="s">
        <v>213</v>
      </c>
      <c r="C47" s="1235" t="s">
        <v>2193</v>
      </c>
      <c r="D47" s="1227">
        <v>200</v>
      </c>
      <c r="E47" s="1228"/>
      <c r="F47">
        <v>1000</v>
      </c>
      <c r="G47" s="562">
        <f t="shared" si="1"/>
        <v>200000</v>
      </c>
    </row>
    <row r="48" spans="1:9" ht="17.25" thickBot="1">
      <c r="A48" s="395">
        <v>11</v>
      </c>
      <c r="B48" s="1234" t="s">
        <v>25</v>
      </c>
      <c r="C48" s="1235" t="s">
        <v>2193</v>
      </c>
      <c r="D48" s="1227">
        <v>200</v>
      </c>
      <c r="E48" s="1228"/>
      <c r="F48">
        <v>1000</v>
      </c>
      <c r="G48" s="562">
        <f t="shared" si="1"/>
        <v>200000</v>
      </c>
    </row>
    <row r="49" spans="1:7" ht="17.25" thickBot="1">
      <c r="A49" s="395">
        <v>12</v>
      </c>
      <c r="B49" s="1234" t="s">
        <v>31</v>
      </c>
      <c r="C49" s="1235" t="s">
        <v>2193</v>
      </c>
      <c r="D49" s="1227">
        <v>200</v>
      </c>
      <c r="E49" s="1228"/>
      <c r="F49">
        <v>1000</v>
      </c>
      <c r="G49" s="562">
        <f t="shared" si="1"/>
        <v>200000</v>
      </c>
    </row>
    <row r="50" spans="1:7" ht="17.25" thickBot="1">
      <c r="A50" s="395">
        <v>13</v>
      </c>
      <c r="B50" s="1234" t="s">
        <v>1316</v>
      </c>
      <c r="C50" s="1235" t="s">
        <v>2193</v>
      </c>
      <c r="D50" s="1227">
        <v>200</v>
      </c>
      <c r="E50" s="1228"/>
      <c r="F50">
        <v>1000</v>
      </c>
      <c r="G50" s="562">
        <f t="shared" si="1"/>
        <v>200000</v>
      </c>
    </row>
    <row r="51" spans="1:7" ht="17.25" thickBot="1">
      <c r="A51" s="395">
        <v>14</v>
      </c>
      <c r="B51" s="1237" t="s">
        <v>262</v>
      </c>
      <c r="C51" s="1235" t="s">
        <v>2193</v>
      </c>
      <c r="D51" s="1227">
        <v>200</v>
      </c>
      <c r="E51" s="1228"/>
      <c r="F51">
        <v>1000</v>
      </c>
      <c r="G51" s="562">
        <f t="shared" si="1"/>
        <v>200000</v>
      </c>
    </row>
    <row r="52" spans="1:7" ht="17.25" thickBot="1">
      <c r="A52" s="395">
        <v>15</v>
      </c>
      <c r="B52" s="1237" t="s">
        <v>269</v>
      </c>
      <c r="C52" s="1235" t="s">
        <v>2198</v>
      </c>
      <c r="D52" s="1227">
        <v>200</v>
      </c>
      <c r="E52" s="1228"/>
      <c r="F52">
        <v>1000</v>
      </c>
      <c r="G52" s="562">
        <f t="shared" si="1"/>
        <v>200000</v>
      </c>
    </row>
    <row r="53" spans="1:7" ht="17.25" thickBot="1">
      <c r="A53" s="395">
        <v>16</v>
      </c>
      <c r="B53" s="1237" t="s">
        <v>295</v>
      </c>
      <c r="C53" s="1235" t="s">
        <v>2193</v>
      </c>
      <c r="D53" s="1227">
        <v>200</v>
      </c>
      <c r="E53" s="1228"/>
      <c r="F53">
        <v>1000</v>
      </c>
      <c r="G53" s="562">
        <f t="shared" si="1"/>
        <v>200000</v>
      </c>
    </row>
    <row r="54" spans="1:7" ht="17.25" thickBot="1">
      <c r="A54" s="395">
        <v>17</v>
      </c>
      <c r="B54" s="1237" t="s">
        <v>435</v>
      </c>
      <c r="C54" s="1235" t="s">
        <v>2193</v>
      </c>
      <c r="D54" s="1227">
        <v>200</v>
      </c>
      <c r="E54" s="1228"/>
      <c r="F54">
        <v>1000</v>
      </c>
      <c r="G54" s="562">
        <f t="shared" si="1"/>
        <v>200000</v>
      </c>
    </row>
    <row r="55" spans="1:7" ht="17.25" thickBot="1">
      <c r="A55" s="395">
        <v>18</v>
      </c>
      <c r="B55" s="1234" t="s">
        <v>44</v>
      </c>
      <c r="C55" s="1235" t="s">
        <v>2194</v>
      </c>
      <c r="D55" s="1227">
        <v>200</v>
      </c>
      <c r="E55" s="1228"/>
      <c r="F55">
        <v>1000</v>
      </c>
      <c r="G55" s="562">
        <f t="shared" si="1"/>
        <v>200000</v>
      </c>
    </row>
    <row r="56" spans="1:7" ht="17.25" thickBot="1">
      <c r="A56" s="395">
        <v>19</v>
      </c>
      <c r="B56" s="1234" t="s">
        <v>46</v>
      </c>
      <c r="C56" s="1235" t="s">
        <v>2194</v>
      </c>
      <c r="D56" s="1227">
        <v>200</v>
      </c>
      <c r="E56" s="1228"/>
      <c r="F56">
        <v>1000</v>
      </c>
      <c r="G56" s="562">
        <f t="shared" si="1"/>
        <v>200000</v>
      </c>
    </row>
    <row r="57" spans="1:7" ht="17.25" thickBot="1">
      <c r="A57" s="395">
        <v>20</v>
      </c>
      <c r="B57" s="1234" t="s">
        <v>48</v>
      </c>
      <c r="C57" s="1235" t="s">
        <v>2194</v>
      </c>
      <c r="D57" s="1227">
        <v>200</v>
      </c>
      <c r="E57" s="1228"/>
      <c r="F57">
        <v>1000</v>
      </c>
      <c r="G57" s="562">
        <f t="shared" si="1"/>
        <v>200000</v>
      </c>
    </row>
    <row r="58" spans="1:7" ht="17.25" thickBot="1">
      <c r="A58" s="395">
        <v>21</v>
      </c>
      <c r="B58" s="1234" t="s">
        <v>50</v>
      </c>
      <c r="C58" s="1235" t="s">
        <v>2194</v>
      </c>
      <c r="D58" s="1227">
        <v>200</v>
      </c>
      <c r="E58" s="1228"/>
      <c r="F58">
        <v>1000</v>
      </c>
      <c r="G58" s="562">
        <f t="shared" si="1"/>
        <v>200000</v>
      </c>
    </row>
    <row r="59" spans="1:7" ht="17.25" thickBot="1">
      <c r="A59" s="395">
        <v>22</v>
      </c>
      <c r="B59" s="1234" t="s">
        <v>52</v>
      </c>
      <c r="C59" s="1235" t="s">
        <v>2194</v>
      </c>
      <c r="D59" s="1227">
        <v>200</v>
      </c>
      <c r="E59" s="1228"/>
      <c r="F59">
        <v>1000</v>
      </c>
      <c r="G59" s="562">
        <f t="shared" si="1"/>
        <v>200000</v>
      </c>
    </row>
    <row r="60" spans="1:7" ht="17.25" thickBot="1">
      <c r="A60" s="395">
        <v>23</v>
      </c>
      <c r="B60" s="1234" t="s">
        <v>146</v>
      </c>
      <c r="C60" s="1235" t="s">
        <v>2194</v>
      </c>
      <c r="D60" s="1227">
        <v>200</v>
      </c>
      <c r="E60" s="1228"/>
      <c r="F60">
        <v>1000</v>
      </c>
      <c r="G60" s="562">
        <f t="shared" si="1"/>
        <v>200000</v>
      </c>
    </row>
    <row r="61" spans="1:7" ht="17.25" thickBot="1">
      <c r="A61" s="395">
        <v>24</v>
      </c>
      <c r="B61" s="1234" t="s">
        <v>147</v>
      </c>
      <c r="C61" s="1235" t="s">
        <v>2194</v>
      </c>
      <c r="D61" s="1227">
        <v>200</v>
      </c>
      <c r="E61" s="1228"/>
      <c r="F61">
        <v>1000</v>
      </c>
      <c r="G61" s="562">
        <f t="shared" si="1"/>
        <v>200000</v>
      </c>
    </row>
    <row r="62" spans="1:7" ht="17.25" thickBot="1">
      <c r="A62" s="395">
        <v>25</v>
      </c>
      <c r="B62" s="1237" t="s">
        <v>281</v>
      </c>
      <c r="C62" s="1235" t="s">
        <v>2194</v>
      </c>
      <c r="D62" s="1227">
        <v>200</v>
      </c>
      <c r="E62" s="1228"/>
      <c r="F62">
        <v>1000</v>
      </c>
      <c r="G62" s="562">
        <f t="shared" si="1"/>
        <v>200000</v>
      </c>
    </row>
    <row r="63" spans="1:7" ht="17.25" thickBot="1">
      <c r="A63" s="395">
        <v>26</v>
      </c>
      <c r="B63" s="1236" t="s">
        <v>690</v>
      </c>
      <c r="C63" s="1235" t="s">
        <v>2194</v>
      </c>
      <c r="D63" s="1227">
        <v>200</v>
      </c>
      <c r="E63" s="1228"/>
      <c r="F63">
        <v>1000</v>
      </c>
      <c r="G63" s="562">
        <f t="shared" si="1"/>
        <v>200000</v>
      </c>
    </row>
    <row r="64" spans="1:7" ht="17.25" thickBot="1">
      <c r="A64" s="395">
        <v>27</v>
      </c>
      <c r="B64" s="1234" t="s">
        <v>67</v>
      </c>
      <c r="C64" s="1235" t="s">
        <v>2195</v>
      </c>
      <c r="D64" s="1227">
        <v>200</v>
      </c>
      <c r="E64" s="1228"/>
      <c r="F64">
        <v>1000</v>
      </c>
      <c r="G64" s="562">
        <f t="shared" si="1"/>
        <v>200000</v>
      </c>
    </row>
    <row r="65" spans="1:7" ht="17.25" thickBot="1">
      <c r="A65" s="395">
        <v>28</v>
      </c>
      <c r="B65" s="1234" t="s">
        <v>168</v>
      </c>
      <c r="C65" s="1235" t="s">
        <v>2195</v>
      </c>
      <c r="D65" s="1227">
        <v>200</v>
      </c>
      <c r="E65" s="1228"/>
      <c r="F65">
        <v>1000</v>
      </c>
      <c r="G65" s="562">
        <f t="shared" si="1"/>
        <v>200000</v>
      </c>
    </row>
    <row r="66" spans="1:7" ht="17.25" thickBot="1">
      <c r="A66" s="395">
        <v>29</v>
      </c>
      <c r="B66" s="1234" t="s">
        <v>65</v>
      </c>
      <c r="C66" s="1235" t="s">
        <v>2195</v>
      </c>
      <c r="D66" s="1227">
        <v>200</v>
      </c>
      <c r="E66" s="1228"/>
      <c r="F66">
        <v>1000</v>
      </c>
      <c r="G66" s="562">
        <f t="shared" si="1"/>
        <v>200000</v>
      </c>
    </row>
    <row r="67" spans="1:7" ht="17.25" thickBot="1">
      <c r="A67" s="395">
        <v>30</v>
      </c>
      <c r="B67" s="1237" t="s">
        <v>289</v>
      </c>
      <c r="C67" s="1235" t="s">
        <v>2195</v>
      </c>
      <c r="D67" s="1227">
        <v>200</v>
      </c>
      <c r="E67" s="1228"/>
      <c r="F67">
        <v>1000</v>
      </c>
      <c r="G67" s="562">
        <f t="shared" si="1"/>
        <v>200000</v>
      </c>
    </row>
    <row r="68" spans="1:7" ht="17.25" thickBot="1">
      <c r="A68" s="395">
        <v>31</v>
      </c>
      <c r="B68" s="1237" t="s">
        <v>1314</v>
      </c>
      <c r="C68" s="1235" t="s">
        <v>2195</v>
      </c>
      <c r="D68" s="1227">
        <v>200</v>
      </c>
      <c r="E68" s="1228"/>
      <c r="F68">
        <v>1000</v>
      </c>
      <c r="G68" s="562">
        <f t="shared" si="1"/>
        <v>200000</v>
      </c>
    </row>
    <row r="69" spans="1:7" ht="17.25" thickBot="1">
      <c r="A69" s="395">
        <v>32</v>
      </c>
      <c r="B69" s="1236" t="s">
        <v>1434</v>
      </c>
      <c r="C69" s="1235" t="s">
        <v>2195</v>
      </c>
      <c r="D69" s="1227">
        <v>200</v>
      </c>
      <c r="E69" s="1228"/>
      <c r="F69">
        <v>1000</v>
      </c>
      <c r="G69" s="562">
        <f t="shared" si="1"/>
        <v>200000</v>
      </c>
    </row>
    <row r="70" spans="1:7" ht="17.25" thickBot="1">
      <c r="A70" s="395">
        <v>33</v>
      </c>
      <c r="B70" s="1234" t="s">
        <v>69</v>
      </c>
      <c r="C70" s="1235" t="s">
        <v>2196</v>
      </c>
      <c r="D70" s="1227">
        <v>200</v>
      </c>
      <c r="E70" s="1228"/>
      <c r="F70">
        <v>1000</v>
      </c>
      <c r="G70" s="562">
        <f t="shared" si="1"/>
        <v>200000</v>
      </c>
    </row>
    <row r="71" spans="1:7" ht="17.25" thickBot="1">
      <c r="A71" s="395">
        <v>34</v>
      </c>
      <c r="B71" s="1237" t="s">
        <v>74</v>
      </c>
      <c r="C71" s="1235" t="s">
        <v>2196</v>
      </c>
      <c r="D71" s="1227">
        <v>200</v>
      </c>
      <c r="E71" s="1228"/>
      <c r="F71">
        <v>1000</v>
      </c>
      <c r="G71" s="562">
        <f t="shared" si="1"/>
        <v>200000</v>
      </c>
    </row>
    <row r="72" spans="1:7" ht="17.25" thickBot="1">
      <c r="A72" s="395">
        <v>35</v>
      </c>
      <c r="B72" s="1234" t="s">
        <v>150</v>
      </c>
      <c r="C72" s="1235" t="s">
        <v>2196</v>
      </c>
      <c r="D72" s="1227">
        <v>200</v>
      </c>
      <c r="E72" s="1228"/>
      <c r="F72">
        <v>1000</v>
      </c>
      <c r="G72" s="562">
        <f t="shared" si="1"/>
        <v>200000</v>
      </c>
    </row>
    <row r="73" spans="1:7" ht="17.25" thickBot="1">
      <c r="A73" s="395">
        <v>36</v>
      </c>
      <c r="B73" s="1236" t="s">
        <v>1473</v>
      </c>
      <c r="C73" s="1235" t="s">
        <v>2196</v>
      </c>
      <c r="D73" s="1227">
        <v>200</v>
      </c>
      <c r="E73" s="1228"/>
      <c r="F73">
        <v>1000</v>
      </c>
      <c r="G73" s="562">
        <f t="shared" si="1"/>
        <v>200000</v>
      </c>
    </row>
    <row r="74" spans="1:7" ht="17.25" thickBot="1">
      <c r="A74" s="395">
        <v>37</v>
      </c>
      <c r="B74" s="1234" t="s">
        <v>139</v>
      </c>
      <c r="C74" s="1235" t="s">
        <v>2197</v>
      </c>
      <c r="D74" s="1227">
        <v>200</v>
      </c>
      <c r="E74" s="1228"/>
      <c r="F74">
        <v>1000</v>
      </c>
      <c r="G74" s="562">
        <f t="shared" si="1"/>
        <v>200000</v>
      </c>
    </row>
    <row r="75" spans="1:7" ht="17.25" thickBot="1">
      <c r="A75" s="395">
        <v>38</v>
      </c>
      <c r="B75" s="1234" t="s">
        <v>27</v>
      </c>
      <c r="C75" s="1235" t="s">
        <v>2197</v>
      </c>
      <c r="D75" s="1227">
        <v>200</v>
      </c>
      <c r="E75" s="1228"/>
      <c r="F75">
        <v>1000</v>
      </c>
      <c r="G75" s="562">
        <f t="shared" si="1"/>
        <v>200000</v>
      </c>
    </row>
    <row r="76" spans="1:7" ht="17.25" thickBot="1">
      <c r="A76" s="395">
        <v>39</v>
      </c>
      <c r="B76" s="1237" t="s">
        <v>221</v>
      </c>
      <c r="C76" s="1235" t="s">
        <v>2197</v>
      </c>
      <c r="D76" s="1227">
        <v>200</v>
      </c>
      <c r="E76" s="1228"/>
      <c r="F76">
        <v>1000</v>
      </c>
      <c r="G76" s="562">
        <f t="shared" si="1"/>
        <v>200000</v>
      </c>
    </row>
    <row r="77" spans="1:7" ht="17.25" thickBot="1">
      <c r="A77" s="395">
        <v>40</v>
      </c>
      <c r="B77" s="1237" t="s">
        <v>187</v>
      </c>
      <c r="C77" s="1235" t="s">
        <v>2197</v>
      </c>
      <c r="D77" s="1227">
        <v>200</v>
      </c>
      <c r="E77" s="1228"/>
      <c r="F77">
        <v>1000</v>
      </c>
      <c r="G77" s="562">
        <f t="shared" si="1"/>
        <v>200000</v>
      </c>
    </row>
    <row r="78" spans="1:7" ht="17.25" thickBot="1">
      <c r="A78" s="395">
        <v>41</v>
      </c>
      <c r="B78" s="1234" t="s">
        <v>81</v>
      </c>
      <c r="C78" s="1235" t="s">
        <v>2197</v>
      </c>
      <c r="D78" s="1227">
        <v>200</v>
      </c>
      <c r="E78" s="1228"/>
      <c r="F78">
        <v>1000</v>
      </c>
      <c r="G78" s="562">
        <f t="shared" si="1"/>
        <v>200000</v>
      </c>
    </row>
    <row r="79" spans="1:7" ht="17.25" thickBot="1">
      <c r="A79" s="395">
        <v>42</v>
      </c>
      <c r="B79" s="1236" t="s">
        <v>831</v>
      </c>
      <c r="C79" s="1235" t="s">
        <v>2197</v>
      </c>
      <c r="D79" s="1227">
        <v>200</v>
      </c>
      <c r="E79" s="1228"/>
      <c r="F79">
        <v>1000</v>
      </c>
      <c r="G79" s="562">
        <f t="shared" si="1"/>
        <v>200000</v>
      </c>
    </row>
    <row r="80" spans="1:7" ht="17.25" thickBot="1">
      <c r="A80" s="395">
        <v>43</v>
      </c>
      <c r="B80" s="1234" t="s">
        <v>89</v>
      </c>
      <c r="C80" s="1235" t="s">
        <v>2198</v>
      </c>
      <c r="D80" s="1227">
        <v>200</v>
      </c>
      <c r="E80" s="1228"/>
      <c r="F80">
        <v>1000</v>
      </c>
      <c r="G80" s="562">
        <f t="shared" si="1"/>
        <v>200000</v>
      </c>
    </row>
    <row r="81" spans="1:7" ht="17.25" thickBot="1">
      <c r="A81" s="395">
        <v>44</v>
      </c>
      <c r="B81" s="1234" t="s">
        <v>83</v>
      </c>
      <c r="C81" s="1235" t="s">
        <v>2198</v>
      </c>
      <c r="D81" s="1227">
        <v>200</v>
      </c>
      <c r="E81" s="1228"/>
      <c r="F81">
        <v>1000</v>
      </c>
      <c r="G81" s="562">
        <f t="shared" si="1"/>
        <v>200000</v>
      </c>
    </row>
    <row r="82" spans="1:7" ht="17.25" thickBot="1">
      <c r="A82" s="395">
        <v>45</v>
      </c>
      <c r="B82" s="1234" t="s">
        <v>765</v>
      </c>
      <c r="C82" s="1235" t="s">
        <v>2198</v>
      </c>
      <c r="D82" s="1227">
        <v>200</v>
      </c>
      <c r="E82" s="1228"/>
      <c r="F82">
        <v>1000</v>
      </c>
      <c r="G82" s="562">
        <f t="shared" si="1"/>
        <v>200000</v>
      </c>
    </row>
    <row r="83" spans="1:7" ht="17.25" thickBot="1">
      <c r="A83" s="395">
        <v>46</v>
      </c>
      <c r="B83" s="1237" t="s">
        <v>86</v>
      </c>
      <c r="C83" s="1235" t="s">
        <v>2199</v>
      </c>
      <c r="D83" s="1227">
        <v>200</v>
      </c>
      <c r="E83" s="1228"/>
      <c r="F83">
        <v>1000</v>
      </c>
      <c r="G83" s="562">
        <f t="shared" si="1"/>
        <v>200000</v>
      </c>
    </row>
    <row r="84" spans="1:7" ht="17.25" thickBot="1">
      <c r="A84" s="395">
        <v>47</v>
      </c>
      <c r="B84" s="1234" t="s">
        <v>153</v>
      </c>
      <c r="C84" s="1235" t="s">
        <v>2199</v>
      </c>
      <c r="D84" s="1227">
        <v>200</v>
      </c>
      <c r="E84" s="1228"/>
      <c r="F84">
        <v>1000</v>
      </c>
      <c r="G84" s="562">
        <f t="shared" si="1"/>
        <v>200000</v>
      </c>
    </row>
    <row r="85" spans="1:7" ht="17.25" thickBot="1">
      <c r="A85" s="395">
        <v>48</v>
      </c>
      <c r="B85" s="1237" t="s">
        <v>207</v>
      </c>
      <c r="C85" s="1235" t="s">
        <v>2199</v>
      </c>
      <c r="D85" s="1227">
        <v>200</v>
      </c>
      <c r="E85" s="1228"/>
      <c r="F85">
        <v>1000</v>
      </c>
      <c r="G85" s="562">
        <f t="shared" si="1"/>
        <v>200000</v>
      </c>
    </row>
    <row r="86" spans="1:7" ht="17.25" thickBot="1">
      <c r="A86" s="395">
        <v>49</v>
      </c>
      <c r="B86" s="1237" t="s">
        <v>1458</v>
      </c>
      <c r="C86" s="1235" t="s">
        <v>2199</v>
      </c>
      <c r="D86" s="1227">
        <v>200</v>
      </c>
      <c r="E86" s="1228"/>
      <c r="F86">
        <v>1000</v>
      </c>
      <c r="G86" s="562">
        <f t="shared" si="1"/>
        <v>200000</v>
      </c>
    </row>
    <row r="87" spans="1:7" ht="17.25" thickBot="1">
      <c r="A87" s="395">
        <v>50</v>
      </c>
      <c r="B87" s="1236" t="s">
        <v>716</v>
      </c>
      <c r="C87" s="1235" t="s">
        <v>2199</v>
      </c>
      <c r="D87" s="1227">
        <v>200</v>
      </c>
      <c r="E87" s="1228"/>
      <c r="F87">
        <v>1000</v>
      </c>
      <c r="G87" s="562">
        <f t="shared" si="1"/>
        <v>200000</v>
      </c>
    </row>
    <row r="88" spans="1:7" ht="17.25" thickBot="1">
      <c r="A88" s="395">
        <v>51</v>
      </c>
      <c r="B88" s="1234" t="s">
        <v>102</v>
      </c>
      <c r="C88" s="1235" t="s">
        <v>2200</v>
      </c>
      <c r="D88" s="1227">
        <v>200</v>
      </c>
      <c r="E88" s="1228"/>
      <c r="F88">
        <v>1000</v>
      </c>
      <c r="G88" s="562">
        <f t="shared" si="1"/>
        <v>200000</v>
      </c>
    </row>
    <row r="89" spans="1:7" ht="17.25" thickBot="1">
      <c r="A89" s="395">
        <v>52</v>
      </c>
      <c r="B89" s="1234" t="s">
        <v>96</v>
      </c>
      <c r="C89" s="1235" t="s">
        <v>2200</v>
      </c>
      <c r="D89" s="1227">
        <v>200</v>
      </c>
      <c r="E89" s="1228"/>
      <c r="F89">
        <v>1000</v>
      </c>
      <c r="G89" s="562">
        <f t="shared" si="1"/>
        <v>200000</v>
      </c>
    </row>
    <row r="90" spans="1:7" ht="17.25" thickBot="1">
      <c r="A90" s="395">
        <v>53</v>
      </c>
      <c r="B90" s="1234" t="s">
        <v>106</v>
      </c>
      <c r="C90" s="1235" t="s">
        <v>2200</v>
      </c>
      <c r="D90" s="1227">
        <v>200</v>
      </c>
      <c r="E90" s="1228"/>
      <c r="F90">
        <v>1000</v>
      </c>
      <c r="G90" s="562">
        <f t="shared" si="1"/>
        <v>200000</v>
      </c>
    </row>
    <row r="91" spans="1:7" ht="17.25" thickBot="1">
      <c r="A91" s="395">
        <v>54</v>
      </c>
      <c r="B91" s="1234" t="s">
        <v>19</v>
      </c>
      <c r="C91" s="1235" t="s">
        <v>2200</v>
      </c>
      <c r="D91" s="1227">
        <v>200</v>
      </c>
      <c r="E91" s="1228"/>
      <c r="F91">
        <v>1000</v>
      </c>
      <c r="G91" s="562">
        <f t="shared" si="1"/>
        <v>200000</v>
      </c>
    </row>
    <row r="92" spans="1:7" ht="17.25" thickBot="1">
      <c r="A92" s="395">
        <v>55</v>
      </c>
      <c r="B92" s="1234" t="s">
        <v>210</v>
      </c>
      <c r="C92" s="1235" t="s">
        <v>2200</v>
      </c>
      <c r="D92" s="1227">
        <v>200</v>
      </c>
      <c r="E92" s="1228"/>
      <c r="F92">
        <v>1000</v>
      </c>
      <c r="G92" s="562">
        <f t="shared" si="1"/>
        <v>200000</v>
      </c>
    </row>
    <row r="93" spans="1:7" ht="17.25" thickBot="1">
      <c r="A93" s="395">
        <v>56</v>
      </c>
      <c r="B93" s="1234" t="s">
        <v>288</v>
      </c>
      <c r="C93" s="1235" t="s">
        <v>2200</v>
      </c>
      <c r="D93" s="1227">
        <v>200</v>
      </c>
      <c r="E93" s="1228"/>
      <c r="F93">
        <v>1000</v>
      </c>
      <c r="G93" s="562">
        <f t="shared" si="1"/>
        <v>200000</v>
      </c>
    </row>
    <row r="94" spans="1:7" ht="17.25" customHeight="1" thickBot="1">
      <c r="A94" s="1238" t="s">
        <v>132</v>
      </c>
      <c r="B94" s="1240"/>
      <c r="C94" s="1245" t="s">
        <v>2208</v>
      </c>
      <c r="D94" s="1246"/>
      <c r="E94" s="1247"/>
      <c r="F94">
        <v>1000</v>
      </c>
      <c r="G94" s="562">
        <f t="shared" si="1"/>
        <v>0</v>
      </c>
    </row>
    <row r="95" spans="1:7" ht="16.5">
      <c r="A95" s="397" t="s">
        <v>2209</v>
      </c>
    </row>
    <row r="96" spans="1:7" ht="15.75">
      <c r="A96" s="365"/>
    </row>
  </sheetData>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162"/>
  <sheetViews>
    <sheetView workbookViewId="0">
      <selection activeCell="B2" sqref="B2:H162"/>
    </sheetView>
  </sheetViews>
  <sheetFormatPr defaultRowHeight="15"/>
  <cols>
    <col min="7" max="7" width="13.7109375" customWidth="1"/>
    <col min="10" max="10" width="13.7109375" customWidth="1"/>
  </cols>
  <sheetData>
    <row r="2" spans="2:10" ht="15.75" thickBot="1">
      <c r="B2" s="194" t="s">
        <v>492</v>
      </c>
      <c r="C2" s="560">
        <v>64171</v>
      </c>
      <c r="D2" s="560" t="s">
        <v>493</v>
      </c>
      <c r="E2" s="560" t="s">
        <v>494</v>
      </c>
      <c r="F2" s="560" t="s">
        <v>976</v>
      </c>
      <c r="G2" s="195">
        <v>-31662601</v>
      </c>
      <c r="H2" s="196">
        <v>1898301</v>
      </c>
      <c r="I2" s="560"/>
      <c r="J2" s="67">
        <f>-G2</f>
        <v>31662601</v>
      </c>
    </row>
    <row r="3" spans="2:10" ht="15.75" thickBot="1">
      <c r="B3" s="194" t="s">
        <v>492</v>
      </c>
      <c r="C3" s="560">
        <v>64171</v>
      </c>
      <c r="D3" s="1314" t="s">
        <v>493</v>
      </c>
      <c r="E3" s="1314" t="s">
        <v>496</v>
      </c>
      <c r="F3" s="1314" t="s">
        <v>976</v>
      </c>
      <c r="G3" s="195">
        <v>-42779468</v>
      </c>
      <c r="H3" s="196">
        <v>1898302</v>
      </c>
      <c r="I3" s="560"/>
      <c r="J3" s="67">
        <f t="shared" ref="J3:J66" si="0">-G3</f>
        <v>42779468</v>
      </c>
    </row>
    <row r="4" spans="2:10" ht="15.75" thickBot="1">
      <c r="B4" s="194" t="s">
        <v>492</v>
      </c>
      <c r="C4" s="560">
        <v>64171</v>
      </c>
      <c r="D4" s="560" t="s">
        <v>493</v>
      </c>
      <c r="E4" s="560" t="s">
        <v>497</v>
      </c>
      <c r="F4" s="560" t="s">
        <v>976</v>
      </c>
      <c r="G4" s="195">
        <v>-19335059</v>
      </c>
      <c r="H4" s="196">
        <v>1898303</v>
      </c>
      <c r="I4" s="560"/>
      <c r="J4" s="67">
        <f t="shared" si="0"/>
        <v>19335059</v>
      </c>
    </row>
    <row r="5" spans="2:10" ht="15.75" thickBot="1">
      <c r="B5" s="194" t="s">
        <v>492</v>
      </c>
      <c r="C5" s="560">
        <v>64171</v>
      </c>
      <c r="D5" s="1314" t="s">
        <v>493</v>
      </c>
      <c r="E5" s="1314" t="s">
        <v>498</v>
      </c>
      <c r="F5" s="1314" t="s">
        <v>976</v>
      </c>
      <c r="G5" s="195">
        <v>-9982632</v>
      </c>
      <c r="H5" s="196">
        <v>1898304</v>
      </c>
      <c r="I5" s="560"/>
      <c r="J5" s="67">
        <f t="shared" si="0"/>
        <v>9982632</v>
      </c>
    </row>
    <row r="6" spans="2:10" ht="15.75" thickBot="1">
      <c r="B6" s="194" t="s">
        <v>492</v>
      </c>
      <c r="C6" s="560">
        <v>64171</v>
      </c>
      <c r="D6" s="560" t="s">
        <v>493</v>
      </c>
      <c r="E6" s="560" t="s">
        <v>499</v>
      </c>
      <c r="F6" s="560" t="s">
        <v>976</v>
      </c>
      <c r="G6" s="195">
        <v>-8648417</v>
      </c>
      <c r="H6" s="196">
        <v>1898305</v>
      </c>
      <c r="I6" s="560"/>
      <c r="J6" s="67">
        <f t="shared" si="0"/>
        <v>8648417</v>
      </c>
    </row>
    <row r="7" spans="2:10" ht="15.75" thickBot="1">
      <c r="B7" s="194" t="s">
        <v>492</v>
      </c>
      <c r="C7" s="560">
        <v>64171</v>
      </c>
      <c r="D7" s="1314" t="s">
        <v>493</v>
      </c>
      <c r="E7" s="1314" t="s">
        <v>500</v>
      </c>
      <c r="F7" s="1314" t="s">
        <v>976</v>
      </c>
      <c r="G7" s="195">
        <v>-15862303</v>
      </c>
      <c r="H7" s="196">
        <v>1898306</v>
      </c>
      <c r="I7" s="560"/>
      <c r="J7" s="67">
        <f t="shared" si="0"/>
        <v>15862303</v>
      </c>
    </row>
    <row r="8" spans="2:10" ht="15.75" thickBot="1">
      <c r="B8" s="194" t="s">
        <v>492</v>
      </c>
      <c r="C8" s="560">
        <v>64171</v>
      </c>
      <c r="D8" s="560" t="s">
        <v>493</v>
      </c>
      <c r="E8" s="560" t="s">
        <v>501</v>
      </c>
      <c r="F8" s="560" t="s">
        <v>976</v>
      </c>
      <c r="G8" s="195">
        <v>-5029030</v>
      </c>
      <c r="H8" s="196">
        <v>1898307</v>
      </c>
      <c r="I8" s="560"/>
      <c r="J8" s="67">
        <f t="shared" si="0"/>
        <v>5029030</v>
      </c>
    </row>
    <row r="9" spans="2:10" ht="15.75" thickBot="1">
      <c r="B9" s="194" t="s">
        <v>492</v>
      </c>
      <c r="C9" s="560">
        <v>64171</v>
      </c>
      <c r="D9" s="1314" t="s">
        <v>493</v>
      </c>
      <c r="E9" s="1314" t="s">
        <v>502</v>
      </c>
      <c r="F9" s="1314" t="s">
        <v>976</v>
      </c>
      <c r="G9" s="195">
        <v>-13707922</v>
      </c>
      <c r="H9" s="196">
        <v>1898308</v>
      </c>
      <c r="I9" s="560"/>
      <c r="J9" s="67">
        <f t="shared" si="0"/>
        <v>13707922</v>
      </c>
    </row>
    <row r="10" spans="2:10" ht="15.75" thickBot="1">
      <c r="B10" s="194" t="s">
        <v>492</v>
      </c>
      <c r="C10" s="560">
        <v>64171</v>
      </c>
      <c r="D10" s="560" t="s">
        <v>493</v>
      </c>
      <c r="E10" s="560" t="s">
        <v>503</v>
      </c>
      <c r="F10" s="560" t="s">
        <v>976</v>
      </c>
      <c r="G10" s="195">
        <v>-21949884</v>
      </c>
      <c r="H10" s="196">
        <v>1898309</v>
      </c>
      <c r="I10" s="560"/>
      <c r="J10" s="67">
        <f t="shared" si="0"/>
        <v>21949884</v>
      </c>
    </row>
    <row r="11" spans="2:10" ht="15.75" thickBot="1">
      <c r="B11" s="194" t="s">
        <v>492</v>
      </c>
      <c r="C11" s="560">
        <v>64171</v>
      </c>
      <c r="D11" s="1314" t="s">
        <v>493</v>
      </c>
      <c r="E11" s="1314" t="s">
        <v>504</v>
      </c>
      <c r="F11" s="1314" t="s">
        <v>976</v>
      </c>
      <c r="G11" s="195">
        <v>-1152</v>
      </c>
      <c r="H11" s="196">
        <v>1898310</v>
      </c>
      <c r="I11" s="560"/>
      <c r="J11" s="67">
        <f t="shared" si="0"/>
        <v>1152</v>
      </c>
    </row>
    <row r="12" spans="2:10" ht="15.75" thickBot="1">
      <c r="B12" s="194" t="s">
        <v>492</v>
      </c>
      <c r="C12" s="560">
        <v>64171</v>
      </c>
      <c r="D12" s="560" t="s">
        <v>493</v>
      </c>
      <c r="E12" s="560" t="s">
        <v>505</v>
      </c>
      <c r="F12" s="560" t="s">
        <v>976</v>
      </c>
      <c r="G12" s="195">
        <v>-6584856</v>
      </c>
      <c r="H12" s="196">
        <v>1898311</v>
      </c>
      <c r="I12" s="560"/>
      <c r="J12" s="67">
        <f t="shared" si="0"/>
        <v>6584856</v>
      </c>
    </row>
    <row r="13" spans="2:10" ht="15.75" thickBot="1">
      <c r="B13" s="194" t="s">
        <v>492</v>
      </c>
      <c r="C13" s="560">
        <v>64171</v>
      </c>
      <c r="D13" s="1314" t="s">
        <v>493</v>
      </c>
      <c r="E13" s="1314" t="s">
        <v>494</v>
      </c>
      <c r="F13" s="1314" t="s">
        <v>977</v>
      </c>
      <c r="G13" s="195">
        <v>-30304996</v>
      </c>
      <c r="H13" s="196">
        <v>1898301</v>
      </c>
      <c r="I13" s="560"/>
      <c r="J13" s="67">
        <f t="shared" si="0"/>
        <v>30304996</v>
      </c>
    </row>
    <row r="14" spans="2:10" ht="15.75" thickBot="1">
      <c r="B14" s="194" t="s">
        <v>492</v>
      </c>
      <c r="C14" s="560">
        <v>64171</v>
      </c>
      <c r="D14" s="560" t="s">
        <v>493</v>
      </c>
      <c r="E14" s="560" t="s">
        <v>496</v>
      </c>
      <c r="F14" s="560" t="s">
        <v>977</v>
      </c>
      <c r="G14" s="195">
        <v>-24053522</v>
      </c>
      <c r="H14" s="196">
        <v>1898302</v>
      </c>
      <c r="I14" s="560"/>
      <c r="J14" s="67">
        <f t="shared" si="0"/>
        <v>24053522</v>
      </c>
    </row>
    <row r="15" spans="2:10" ht="15.75" thickBot="1">
      <c r="B15" s="194" t="s">
        <v>492</v>
      </c>
      <c r="C15" s="560">
        <v>64171</v>
      </c>
      <c r="D15" s="1314" t="s">
        <v>493</v>
      </c>
      <c r="E15" s="1314" t="s">
        <v>497</v>
      </c>
      <c r="F15" s="1314" t="s">
        <v>977</v>
      </c>
      <c r="G15" s="195">
        <v>-31078874</v>
      </c>
      <c r="H15" s="196">
        <v>1898303</v>
      </c>
      <c r="I15" s="560"/>
      <c r="J15" s="67">
        <f t="shared" si="0"/>
        <v>31078874</v>
      </c>
    </row>
    <row r="16" spans="2:10" ht="15.75" thickBot="1">
      <c r="B16" s="194" t="s">
        <v>492</v>
      </c>
      <c r="C16" s="560">
        <v>64171</v>
      </c>
      <c r="D16" s="560" t="s">
        <v>493</v>
      </c>
      <c r="E16" s="560" t="s">
        <v>498</v>
      </c>
      <c r="F16" s="560" t="s">
        <v>977</v>
      </c>
      <c r="G16" s="195">
        <v>-12997811</v>
      </c>
      <c r="H16" s="196">
        <v>1898304</v>
      </c>
      <c r="I16" s="560"/>
      <c r="J16" s="67">
        <f t="shared" si="0"/>
        <v>12997811</v>
      </c>
    </row>
    <row r="17" spans="2:10" ht="15.75" thickBot="1">
      <c r="B17" s="194" t="s">
        <v>492</v>
      </c>
      <c r="C17" s="560">
        <v>64171</v>
      </c>
      <c r="D17" s="1314" t="s">
        <v>493</v>
      </c>
      <c r="E17" s="1314" t="s">
        <v>499</v>
      </c>
      <c r="F17" s="1314" t="s">
        <v>977</v>
      </c>
      <c r="G17" s="195">
        <v>-9820238</v>
      </c>
      <c r="H17" s="196">
        <v>1898305</v>
      </c>
      <c r="I17" s="560"/>
      <c r="J17" s="67">
        <f t="shared" si="0"/>
        <v>9820238</v>
      </c>
    </row>
    <row r="18" spans="2:10" ht="15.75" thickBot="1">
      <c r="B18" s="194" t="s">
        <v>492</v>
      </c>
      <c r="C18" s="560">
        <v>64171</v>
      </c>
      <c r="D18" s="560" t="s">
        <v>493</v>
      </c>
      <c r="E18" s="560" t="s">
        <v>500</v>
      </c>
      <c r="F18" s="560" t="s">
        <v>977</v>
      </c>
      <c r="G18" s="195">
        <v>-16016740</v>
      </c>
      <c r="H18" s="196">
        <v>1898306</v>
      </c>
      <c r="I18" s="560"/>
      <c r="J18" s="67">
        <f t="shared" si="0"/>
        <v>16016740</v>
      </c>
    </row>
    <row r="19" spans="2:10" ht="15.75" thickBot="1">
      <c r="B19" s="194" t="s">
        <v>492</v>
      </c>
      <c r="C19" s="560">
        <v>64171</v>
      </c>
      <c r="D19" s="1314" t="s">
        <v>493</v>
      </c>
      <c r="E19" s="1314" t="s">
        <v>501</v>
      </c>
      <c r="F19" s="1314" t="s">
        <v>977</v>
      </c>
      <c r="G19" s="195">
        <v>-7788811</v>
      </c>
      <c r="H19" s="196">
        <v>1898307</v>
      </c>
      <c r="I19" s="560"/>
      <c r="J19" s="67">
        <f t="shared" si="0"/>
        <v>7788811</v>
      </c>
    </row>
    <row r="20" spans="2:10" ht="15.75" thickBot="1">
      <c r="B20" s="194" t="s">
        <v>492</v>
      </c>
      <c r="C20" s="560">
        <v>64171</v>
      </c>
      <c r="D20" s="560" t="s">
        <v>493</v>
      </c>
      <c r="E20" s="560" t="s">
        <v>502</v>
      </c>
      <c r="F20" s="560" t="s">
        <v>977</v>
      </c>
      <c r="G20" s="195">
        <v>-9569507</v>
      </c>
      <c r="H20" s="196">
        <v>1898308</v>
      </c>
      <c r="I20" s="560"/>
      <c r="J20" s="67">
        <f t="shared" si="0"/>
        <v>9569507</v>
      </c>
    </row>
    <row r="21" spans="2:10" ht="15.75" thickBot="1">
      <c r="B21" s="194" t="s">
        <v>492</v>
      </c>
      <c r="C21" s="560">
        <v>64171</v>
      </c>
      <c r="D21" s="1314" t="s">
        <v>493</v>
      </c>
      <c r="E21" s="1314" t="s">
        <v>503</v>
      </c>
      <c r="F21" s="1314" t="s">
        <v>977</v>
      </c>
      <c r="G21" s="195">
        <v>-15780253</v>
      </c>
      <c r="H21" s="196">
        <v>1898309</v>
      </c>
      <c r="I21" s="560"/>
      <c r="J21" s="67">
        <f t="shared" si="0"/>
        <v>15780253</v>
      </c>
    </row>
    <row r="22" spans="2:10" ht="15.75" thickBot="1">
      <c r="B22" s="194" t="s">
        <v>492</v>
      </c>
      <c r="C22" s="560">
        <v>64171</v>
      </c>
      <c r="D22" s="560" t="s">
        <v>493</v>
      </c>
      <c r="E22" s="560" t="s">
        <v>504</v>
      </c>
      <c r="F22" s="560" t="s">
        <v>977</v>
      </c>
      <c r="G22" s="195">
        <v>-126178</v>
      </c>
      <c r="H22" s="196">
        <v>1898310</v>
      </c>
      <c r="I22" s="560"/>
      <c r="J22" s="67">
        <f t="shared" si="0"/>
        <v>126178</v>
      </c>
    </row>
    <row r="23" spans="2:10" ht="15.75" thickBot="1">
      <c r="B23" s="194" t="s">
        <v>492</v>
      </c>
      <c r="C23" s="560">
        <v>64171</v>
      </c>
      <c r="D23" s="1314" t="s">
        <v>493</v>
      </c>
      <c r="E23" s="1314" t="s">
        <v>494</v>
      </c>
      <c r="F23" s="1314" t="s">
        <v>978</v>
      </c>
      <c r="G23" s="195">
        <v>-100692</v>
      </c>
      <c r="H23" s="196">
        <v>1898301</v>
      </c>
      <c r="I23" s="560"/>
      <c r="J23" s="67">
        <f t="shared" si="0"/>
        <v>100692</v>
      </c>
    </row>
    <row r="24" spans="2:10" ht="15.75" thickBot="1">
      <c r="B24" s="194" t="s">
        <v>492</v>
      </c>
      <c r="C24" s="560">
        <v>64171</v>
      </c>
      <c r="D24" s="560" t="s">
        <v>493</v>
      </c>
      <c r="E24" s="560" t="s">
        <v>500</v>
      </c>
      <c r="F24" s="560" t="s">
        <v>978</v>
      </c>
      <c r="G24" s="195">
        <v>-256344</v>
      </c>
      <c r="H24" s="196">
        <v>1898306</v>
      </c>
      <c r="I24" s="560"/>
      <c r="J24" s="67">
        <f t="shared" si="0"/>
        <v>256344</v>
      </c>
    </row>
    <row r="25" spans="2:10" ht="15.75" thickBot="1">
      <c r="B25" s="194" t="s">
        <v>492</v>
      </c>
      <c r="C25" s="560">
        <v>64171</v>
      </c>
      <c r="D25" s="1314" t="s">
        <v>493</v>
      </c>
      <c r="E25" s="1314" t="s">
        <v>502</v>
      </c>
      <c r="F25" s="1314" t="s">
        <v>978</v>
      </c>
      <c r="G25" s="195">
        <v>-75012</v>
      </c>
      <c r="H25" s="196">
        <v>1898308</v>
      </c>
      <c r="I25" s="560"/>
      <c r="J25" s="67">
        <f t="shared" si="0"/>
        <v>75012</v>
      </c>
    </row>
    <row r="26" spans="2:10" ht="15.75" thickBot="1">
      <c r="B26" s="194" t="s">
        <v>492</v>
      </c>
      <c r="C26" s="560">
        <v>64171</v>
      </c>
      <c r="D26" s="560" t="s">
        <v>493</v>
      </c>
      <c r="E26" s="560" t="s">
        <v>504</v>
      </c>
      <c r="F26" s="560" t="s">
        <v>978</v>
      </c>
      <c r="G26" s="195">
        <v>-100513</v>
      </c>
      <c r="H26" s="196">
        <v>1898310</v>
      </c>
      <c r="I26" s="560"/>
      <c r="J26" s="67">
        <f t="shared" si="0"/>
        <v>100513</v>
      </c>
    </row>
    <row r="27" spans="2:10" ht="15.75" thickBot="1">
      <c r="B27" s="194" t="s">
        <v>492</v>
      </c>
      <c r="C27" s="560">
        <v>64171</v>
      </c>
      <c r="D27" s="1314" t="s">
        <v>493</v>
      </c>
      <c r="E27" s="1314" t="s">
        <v>494</v>
      </c>
      <c r="F27" s="1314" t="s">
        <v>979</v>
      </c>
      <c r="G27" s="195">
        <v>-7481396</v>
      </c>
      <c r="H27" s="196">
        <v>1898301</v>
      </c>
      <c r="I27" s="560"/>
      <c r="J27" s="67">
        <f t="shared" si="0"/>
        <v>7481396</v>
      </c>
    </row>
    <row r="28" spans="2:10" ht="15.75" thickBot="1">
      <c r="B28" s="194" t="s">
        <v>492</v>
      </c>
      <c r="C28" s="560">
        <v>64171</v>
      </c>
      <c r="D28" s="560" t="s">
        <v>493</v>
      </c>
      <c r="E28" s="560" t="s">
        <v>496</v>
      </c>
      <c r="F28" s="560" t="s">
        <v>979</v>
      </c>
      <c r="G28" s="195">
        <v>-4410955</v>
      </c>
      <c r="H28" s="196">
        <v>1898302</v>
      </c>
      <c r="I28" s="560"/>
      <c r="J28" s="67">
        <f t="shared" si="0"/>
        <v>4410955</v>
      </c>
    </row>
    <row r="29" spans="2:10" ht="15.75" thickBot="1">
      <c r="B29" s="194" t="s">
        <v>492</v>
      </c>
      <c r="C29" s="560">
        <v>64171</v>
      </c>
      <c r="D29" s="1314" t="s">
        <v>493</v>
      </c>
      <c r="E29" s="1314" t="s">
        <v>497</v>
      </c>
      <c r="F29" s="1314" t="s">
        <v>979</v>
      </c>
      <c r="G29" s="195">
        <v>-9070303</v>
      </c>
      <c r="H29" s="196">
        <v>1898303</v>
      </c>
      <c r="I29" s="560"/>
      <c r="J29" s="67">
        <f t="shared" si="0"/>
        <v>9070303</v>
      </c>
    </row>
    <row r="30" spans="2:10" ht="15.75" thickBot="1">
      <c r="B30" s="194" t="s">
        <v>492</v>
      </c>
      <c r="C30" s="560">
        <v>64171</v>
      </c>
      <c r="D30" s="560" t="s">
        <v>493</v>
      </c>
      <c r="E30" s="560" t="s">
        <v>498</v>
      </c>
      <c r="F30" s="560" t="s">
        <v>979</v>
      </c>
      <c r="G30" s="195">
        <v>-2964317</v>
      </c>
      <c r="H30" s="196">
        <v>1898304</v>
      </c>
      <c r="I30" s="560"/>
      <c r="J30" s="67">
        <f t="shared" si="0"/>
        <v>2964317</v>
      </c>
    </row>
    <row r="31" spans="2:10" ht="15.75" thickBot="1">
      <c r="B31" s="194" t="s">
        <v>492</v>
      </c>
      <c r="C31" s="560">
        <v>64171</v>
      </c>
      <c r="D31" s="1314" t="s">
        <v>493</v>
      </c>
      <c r="E31" s="1314" t="s">
        <v>499</v>
      </c>
      <c r="F31" s="1314" t="s">
        <v>979</v>
      </c>
      <c r="G31" s="195">
        <v>-2372545</v>
      </c>
      <c r="H31" s="196">
        <v>1898305</v>
      </c>
      <c r="I31" s="560"/>
      <c r="J31" s="67">
        <f t="shared" si="0"/>
        <v>2372545</v>
      </c>
    </row>
    <row r="32" spans="2:10" ht="15.75" thickBot="1">
      <c r="B32" s="194" t="s">
        <v>492</v>
      </c>
      <c r="C32" s="560">
        <v>64171</v>
      </c>
      <c r="D32" s="560" t="s">
        <v>493</v>
      </c>
      <c r="E32" s="560" t="s">
        <v>500</v>
      </c>
      <c r="F32" s="560" t="s">
        <v>979</v>
      </c>
      <c r="G32" s="195">
        <v>-2959455</v>
      </c>
      <c r="H32" s="196">
        <v>1898306</v>
      </c>
      <c r="I32" s="560"/>
      <c r="J32" s="67">
        <f t="shared" si="0"/>
        <v>2959455</v>
      </c>
    </row>
    <row r="33" spans="2:10" ht="15.75" thickBot="1">
      <c r="B33" s="194" t="s">
        <v>492</v>
      </c>
      <c r="C33" s="560">
        <v>64171</v>
      </c>
      <c r="D33" s="1314" t="s">
        <v>493</v>
      </c>
      <c r="E33" s="1314" t="s">
        <v>501</v>
      </c>
      <c r="F33" s="1314" t="s">
        <v>979</v>
      </c>
      <c r="G33" s="195">
        <v>-2351801</v>
      </c>
      <c r="H33" s="196">
        <v>1898307</v>
      </c>
      <c r="I33" s="560"/>
      <c r="J33" s="67">
        <f t="shared" si="0"/>
        <v>2351801</v>
      </c>
    </row>
    <row r="34" spans="2:10" ht="15.75" thickBot="1">
      <c r="B34" s="194" t="s">
        <v>492</v>
      </c>
      <c r="C34" s="560">
        <v>64171</v>
      </c>
      <c r="D34" s="560" t="s">
        <v>493</v>
      </c>
      <c r="E34" s="560" t="s">
        <v>502</v>
      </c>
      <c r="F34" s="560" t="s">
        <v>979</v>
      </c>
      <c r="G34" s="195">
        <v>-1915706</v>
      </c>
      <c r="H34" s="196">
        <v>1898308</v>
      </c>
      <c r="I34" s="560"/>
      <c r="J34" s="67">
        <f t="shared" si="0"/>
        <v>1915706</v>
      </c>
    </row>
    <row r="35" spans="2:10" ht="15.75" thickBot="1">
      <c r="B35" s="194" t="s">
        <v>492</v>
      </c>
      <c r="C35" s="560">
        <v>64171</v>
      </c>
      <c r="D35" s="1314" t="s">
        <v>493</v>
      </c>
      <c r="E35" s="1314" t="s">
        <v>503</v>
      </c>
      <c r="F35" s="1314" t="s">
        <v>979</v>
      </c>
      <c r="G35" s="195">
        <v>-3963512</v>
      </c>
      <c r="H35" s="196">
        <v>1898309</v>
      </c>
      <c r="I35" s="560"/>
      <c r="J35" s="67">
        <f t="shared" si="0"/>
        <v>3963512</v>
      </c>
    </row>
    <row r="36" spans="2:10" ht="15.75" thickBot="1">
      <c r="B36" s="194" t="s">
        <v>492</v>
      </c>
      <c r="C36" s="560">
        <v>64171</v>
      </c>
      <c r="D36" s="560" t="s">
        <v>493</v>
      </c>
      <c r="E36" s="560" t="s">
        <v>494</v>
      </c>
      <c r="F36" s="560" t="s">
        <v>980</v>
      </c>
      <c r="G36" s="195">
        <v>-416079</v>
      </c>
      <c r="H36" s="196">
        <v>1898301</v>
      </c>
      <c r="I36" s="560"/>
      <c r="J36" s="67">
        <f t="shared" si="0"/>
        <v>416079</v>
      </c>
    </row>
    <row r="37" spans="2:10" ht="15.75" thickBot="1">
      <c r="B37" s="194" t="s">
        <v>492</v>
      </c>
      <c r="C37" s="560">
        <v>64171</v>
      </c>
      <c r="D37" s="1314" t="s">
        <v>493</v>
      </c>
      <c r="E37" s="1314" t="s">
        <v>496</v>
      </c>
      <c r="F37" s="1314" t="s">
        <v>980</v>
      </c>
      <c r="G37" s="195">
        <v>-496227</v>
      </c>
      <c r="H37" s="196">
        <v>1898302</v>
      </c>
      <c r="I37" s="560"/>
      <c r="J37" s="67">
        <f t="shared" si="0"/>
        <v>496227</v>
      </c>
    </row>
    <row r="38" spans="2:10" ht="15.75" thickBot="1">
      <c r="B38" s="194" t="s">
        <v>492</v>
      </c>
      <c r="C38" s="560">
        <v>64171</v>
      </c>
      <c r="D38" s="560" t="s">
        <v>493</v>
      </c>
      <c r="E38" s="560" t="s">
        <v>497</v>
      </c>
      <c r="F38" s="560" t="s">
        <v>980</v>
      </c>
      <c r="G38" s="195">
        <v>-365253</v>
      </c>
      <c r="H38" s="196">
        <v>1898303</v>
      </c>
      <c r="I38" s="560"/>
      <c r="J38" s="67">
        <f t="shared" si="0"/>
        <v>365253</v>
      </c>
    </row>
    <row r="39" spans="2:10" ht="15.75" thickBot="1">
      <c r="B39" s="194" t="s">
        <v>492</v>
      </c>
      <c r="C39" s="560">
        <v>64171</v>
      </c>
      <c r="D39" s="1314" t="s">
        <v>493</v>
      </c>
      <c r="E39" s="1314" t="s">
        <v>498</v>
      </c>
      <c r="F39" s="1314" t="s">
        <v>980</v>
      </c>
      <c r="G39" s="195">
        <v>-135417</v>
      </c>
      <c r="H39" s="196">
        <v>1898304</v>
      </c>
      <c r="I39" s="560"/>
      <c r="J39" s="67">
        <f t="shared" si="0"/>
        <v>135417</v>
      </c>
    </row>
    <row r="40" spans="2:10" ht="15.75" thickBot="1">
      <c r="B40" s="194" t="s">
        <v>492</v>
      </c>
      <c r="C40" s="560">
        <v>64171</v>
      </c>
      <c r="D40" s="560" t="s">
        <v>493</v>
      </c>
      <c r="E40" s="560" t="s">
        <v>499</v>
      </c>
      <c r="F40" s="560" t="s">
        <v>980</v>
      </c>
      <c r="G40" s="195">
        <v>-88831</v>
      </c>
      <c r="H40" s="196">
        <v>1898305</v>
      </c>
      <c r="I40" s="560"/>
      <c r="J40" s="67">
        <f t="shared" si="0"/>
        <v>88831</v>
      </c>
    </row>
    <row r="41" spans="2:10" ht="15.75" thickBot="1">
      <c r="B41" s="194" t="s">
        <v>492</v>
      </c>
      <c r="C41" s="560">
        <v>64171</v>
      </c>
      <c r="D41" s="1314" t="s">
        <v>493</v>
      </c>
      <c r="E41" s="1314" t="s">
        <v>500</v>
      </c>
      <c r="F41" s="1314" t="s">
        <v>980</v>
      </c>
      <c r="G41" s="195">
        <v>-220277</v>
      </c>
      <c r="H41" s="196">
        <v>1898306</v>
      </c>
      <c r="I41" s="560"/>
      <c r="J41" s="67">
        <f t="shared" si="0"/>
        <v>220277</v>
      </c>
    </row>
    <row r="42" spans="2:10" ht="15.75" thickBot="1">
      <c r="B42" s="194" t="s">
        <v>492</v>
      </c>
      <c r="C42" s="560">
        <v>64171</v>
      </c>
      <c r="D42" s="560" t="s">
        <v>493</v>
      </c>
      <c r="E42" s="560" t="s">
        <v>501</v>
      </c>
      <c r="F42" s="560" t="s">
        <v>980</v>
      </c>
      <c r="G42" s="195">
        <v>-107789</v>
      </c>
      <c r="H42" s="196">
        <v>1898307</v>
      </c>
      <c r="I42" s="560"/>
      <c r="J42" s="67">
        <f t="shared" si="0"/>
        <v>107789</v>
      </c>
    </row>
    <row r="43" spans="2:10" ht="15.75" thickBot="1">
      <c r="B43" s="194" t="s">
        <v>492</v>
      </c>
      <c r="C43" s="560">
        <v>64171</v>
      </c>
      <c r="D43" s="1314" t="s">
        <v>493</v>
      </c>
      <c r="E43" s="1314" t="s">
        <v>502</v>
      </c>
      <c r="F43" s="1314" t="s">
        <v>980</v>
      </c>
      <c r="G43" s="195">
        <v>-151551</v>
      </c>
      <c r="H43" s="196">
        <v>1898308</v>
      </c>
      <c r="I43" s="560"/>
      <c r="J43" s="67">
        <f t="shared" si="0"/>
        <v>151551</v>
      </c>
    </row>
    <row r="44" spans="2:10" ht="15.75" thickBot="1">
      <c r="B44" s="194" t="s">
        <v>492</v>
      </c>
      <c r="C44" s="560">
        <v>64171</v>
      </c>
      <c r="D44" s="560" t="s">
        <v>493</v>
      </c>
      <c r="E44" s="560" t="s">
        <v>503</v>
      </c>
      <c r="F44" s="560" t="s">
        <v>980</v>
      </c>
      <c r="G44" s="195">
        <v>-213162</v>
      </c>
      <c r="H44" s="196">
        <v>1898309</v>
      </c>
      <c r="I44" s="560"/>
      <c r="J44" s="67">
        <f t="shared" si="0"/>
        <v>213162</v>
      </c>
    </row>
    <row r="45" spans="2:10" ht="15.75" thickBot="1">
      <c r="B45" s="194" t="s">
        <v>492</v>
      </c>
      <c r="C45" s="560">
        <v>64171</v>
      </c>
      <c r="D45" s="1314" t="s">
        <v>493</v>
      </c>
      <c r="E45" s="1314" t="s">
        <v>504</v>
      </c>
      <c r="F45" s="1314" t="s">
        <v>980</v>
      </c>
      <c r="G45" s="1315">
        <v>-364</v>
      </c>
      <c r="H45" s="196">
        <v>1898310</v>
      </c>
      <c r="I45" s="560"/>
      <c r="J45" s="67">
        <f t="shared" si="0"/>
        <v>364</v>
      </c>
    </row>
    <row r="46" spans="2:10" ht="15.75" thickBot="1">
      <c r="B46" s="194" t="s">
        <v>492</v>
      </c>
      <c r="C46" s="560">
        <v>64171</v>
      </c>
      <c r="D46" s="560" t="s">
        <v>493</v>
      </c>
      <c r="E46" s="560" t="s">
        <v>494</v>
      </c>
      <c r="F46" s="560" t="s">
        <v>981</v>
      </c>
      <c r="G46" s="195">
        <v>-931856</v>
      </c>
      <c r="H46" s="196">
        <v>1898301</v>
      </c>
      <c r="I46" s="560"/>
      <c r="J46" s="67">
        <f t="shared" si="0"/>
        <v>931856</v>
      </c>
    </row>
    <row r="47" spans="2:10" ht="15.75" thickBot="1">
      <c r="B47" s="194" t="s">
        <v>492</v>
      </c>
      <c r="C47" s="560">
        <v>64171</v>
      </c>
      <c r="D47" s="1314" t="s">
        <v>493</v>
      </c>
      <c r="E47" s="1314" t="s">
        <v>496</v>
      </c>
      <c r="F47" s="1314" t="s">
        <v>981</v>
      </c>
      <c r="G47" s="195">
        <v>-2355654</v>
      </c>
      <c r="H47" s="196">
        <v>1898302</v>
      </c>
      <c r="I47" s="560"/>
      <c r="J47" s="67">
        <f t="shared" si="0"/>
        <v>2355654</v>
      </c>
    </row>
    <row r="48" spans="2:10" ht="15.75" thickBot="1">
      <c r="B48" s="194" t="s">
        <v>492</v>
      </c>
      <c r="C48" s="560">
        <v>64171</v>
      </c>
      <c r="D48" s="560" t="s">
        <v>493</v>
      </c>
      <c r="E48" s="560" t="s">
        <v>497</v>
      </c>
      <c r="F48" s="560" t="s">
        <v>981</v>
      </c>
      <c r="G48" s="195">
        <v>-549996</v>
      </c>
      <c r="H48" s="196">
        <v>1898303</v>
      </c>
      <c r="I48" s="560"/>
      <c r="J48" s="67">
        <f t="shared" si="0"/>
        <v>549996</v>
      </c>
    </row>
    <row r="49" spans="2:10" ht="15.75" thickBot="1">
      <c r="B49" s="194" t="s">
        <v>492</v>
      </c>
      <c r="C49" s="560">
        <v>64171</v>
      </c>
      <c r="D49" s="1314" t="s">
        <v>493</v>
      </c>
      <c r="E49" s="1314" t="s">
        <v>498</v>
      </c>
      <c r="F49" s="1314" t="s">
        <v>981</v>
      </c>
      <c r="G49" s="195">
        <v>-157213</v>
      </c>
      <c r="H49" s="196">
        <v>1898304</v>
      </c>
      <c r="I49" s="560"/>
      <c r="J49" s="67">
        <f t="shared" si="0"/>
        <v>157213</v>
      </c>
    </row>
    <row r="50" spans="2:10" ht="15.75" thickBot="1">
      <c r="B50" s="194" t="s">
        <v>492</v>
      </c>
      <c r="C50" s="560">
        <v>64171</v>
      </c>
      <c r="D50" s="560" t="s">
        <v>493</v>
      </c>
      <c r="E50" s="560" t="s">
        <v>499</v>
      </c>
      <c r="F50" s="560" t="s">
        <v>981</v>
      </c>
      <c r="G50" s="195">
        <v>-176301</v>
      </c>
      <c r="H50" s="196">
        <v>1898305</v>
      </c>
      <c r="I50" s="560"/>
      <c r="J50" s="67">
        <f t="shared" si="0"/>
        <v>176301</v>
      </c>
    </row>
    <row r="51" spans="2:10" ht="15.75" thickBot="1">
      <c r="B51" s="194" t="s">
        <v>492</v>
      </c>
      <c r="C51" s="560">
        <v>64171</v>
      </c>
      <c r="D51" s="1314" t="s">
        <v>493</v>
      </c>
      <c r="E51" s="1314" t="s">
        <v>500</v>
      </c>
      <c r="F51" s="1314" t="s">
        <v>981</v>
      </c>
      <c r="G51" s="195">
        <v>-356386</v>
      </c>
      <c r="H51" s="196">
        <v>1898306</v>
      </c>
      <c r="I51" s="560"/>
      <c r="J51" s="67">
        <f t="shared" si="0"/>
        <v>356386</v>
      </c>
    </row>
    <row r="52" spans="2:10" ht="15.75" thickBot="1">
      <c r="B52" s="194" t="s">
        <v>492</v>
      </c>
      <c r="C52" s="560">
        <v>64171</v>
      </c>
      <c r="D52" s="560" t="s">
        <v>493</v>
      </c>
      <c r="E52" s="560" t="s">
        <v>501</v>
      </c>
      <c r="F52" s="560" t="s">
        <v>981</v>
      </c>
      <c r="G52" s="195">
        <v>-157090</v>
      </c>
      <c r="H52" s="196">
        <v>1898307</v>
      </c>
      <c r="I52" s="560"/>
      <c r="J52" s="67">
        <f t="shared" si="0"/>
        <v>157090</v>
      </c>
    </row>
    <row r="53" spans="2:10" ht="15.75" thickBot="1">
      <c r="B53" s="194" t="s">
        <v>492</v>
      </c>
      <c r="C53" s="560">
        <v>64171</v>
      </c>
      <c r="D53" s="1314" t="s">
        <v>493</v>
      </c>
      <c r="E53" s="1314" t="s">
        <v>502</v>
      </c>
      <c r="F53" s="1314" t="s">
        <v>981</v>
      </c>
      <c r="G53" s="195">
        <v>-228921</v>
      </c>
      <c r="H53" s="196">
        <v>1898308</v>
      </c>
      <c r="I53" s="560"/>
      <c r="J53" s="67">
        <f t="shared" si="0"/>
        <v>228921</v>
      </c>
    </row>
    <row r="54" spans="2:10" ht="15.75" thickBot="1">
      <c r="B54" s="194" t="s">
        <v>492</v>
      </c>
      <c r="C54" s="560">
        <v>64171</v>
      </c>
      <c r="D54" s="560" t="s">
        <v>493</v>
      </c>
      <c r="E54" s="560" t="s">
        <v>503</v>
      </c>
      <c r="F54" s="560" t="s">
        <v>981</v>
      </c>
      <c r="G54" s="195">
        <v>-309112</v>
      </c>
      <c r="H54" s="196">
        <v>1898309</v>
      </c>
      <c r="I54" s="560"/>
      <c r="J54" s="67">
        <f t="shared" si="0"/>
        <v>309112</v>
      </c>
    </row>
    <row r="55" spans="2:10" ht="15.75" thickBot="1">
      <c r="B55" s="194" t="s">
        <v>492</v>
      </c>
      <c r="C55" s="560">
        <v>64171</v>
      </c>
      <c r="D55" s="1314" t="s">
        <v>493</v>
      </c>
      <c r="E55" s="1314" t="s">
        <v>494</v>
      </c>
      <c r="F55" s="1314" t="s">
        <v>982</v>
      </c>
      <c r="G55" s="195">
        <v>-984918</v>
      </c>
      <c r="H55" s="196">
        <v>1898301</v>
      </c>
      <c r="I55" s="560"/>
      <c r="J55" s="67">
        <f t="shared" si="0"/>
        <v>984918</v>
      </c>
    </row>
    <row r="56" spans="2:10" ht="15.75" thickBot="1">
      <c r="B56" s="194" t="s">
        <v>492</v>
      </c>
      <c r="C56" s="560">
        <v>64171</v>
      </c>
      <c r="D56" s="560" t="s">
        <v>493</v>
      </c>
      <c r="E56" s="560" t="s">
        <v>496</v>
      </c>
      <c r="F56" s="560" t="s">
        <v>982</v>
      </c>
      <c r="G56" s="195">
        <v>-1120735</v>
      </c>
      <c r="H56" s="196">
        <v>1898302</v>
      </c>
      <c r="I56" s="560"/>
      <c r="J56" s="67">
        <f t="shared" si="0"/>
        <v>1120735</v>
      </c>
    </row>
    <row r="57" spans="2:10" ht="15.75" thickBot="1">
      <c r="B57" s="194" t="s">
        <v>492</v>
      </c>
      <c r="C57" s="560">
        <v>64171</v>
      </c>
      <c r="D57" s="1314" t="s">
        <v>493</v>
      </c>
      <c r="E57" s="1314" t="s">
        <v>497</v>
      </c>
      <c r="F57" s="1314" t="s">
        <v>982</v>
      </c>
      <c r="G57" s="195">
        <v>-43910</v>
      </c>
      <c r="H57" s="196">
        <v>1898303</v>
      </c>
      <c r="I57" s="560"/>
      <c r="J57" s="67">
        <f t="shared" si="0"/>
        <v>43910</v>
      </c>
    </row>
    <row r="58" spans="2:10" ht="15.75" thickBot="1">
      <c r="B58" s="194" t="s">
        <v>492</v>
      </c>
      <c r="C58" s="560">
        <v>64171</v>
      </c>
      <c r="D58" s="560" t="s">
        <v>493</v>
      </c>
      <c r="E58" s="560" t="s">
        <v>498</v>
      </c>
      <c r="F58" s="560" t="s">
        <v>982</v>
      </c>
      <c r="G58" s="195">
        <v>-28772</v>
      </c>
      <c r="H58" s="196">
        <v>1898304</v>
      </c>
      <c r="I58" s="560"/>
      <c r="J58" s="67">
        <f t="shared" si="0"/>
        <v>28772</v>
      </c>
    </row>
    <row r="59" spans="2:10" ht="15.75" thickBot="1">
      <c r="B59" s="194" t="s">
        <v>492</v>
      </c>
      <c r="C59" s="560">
        <v>64171</v>
      </c>
      <c r="D59" s="1314" t="s">
        <v>493</v>
      </c>
      <c r="E59" s="1314" t="s">
        <v>499</v>
      </c>
      <c r="F59" s="1314" t="s">
        <v>982</v>
      </c>
      <c r="G59" s="195">
        <v>-3992</v>
      </c>
      <c r="H59" s="196">
        <v>1898305</v>
      </c>
      <c r="I59" s="560"/>
      <c r="J59" s="67">
        <f t="shared" si="0"/>
        <v>3992</v>
      </c>
    </row>
    <row r="60" spans="2:10" ht="15.75" thickBot="1">
      <c r="B60" s="194" t="s">
        <v>492</v>
      </c>
      <c r="C60" s="560">
        <v>64171</v>
      </c>
      <c r="D60" s="560" t="s">
        <v>493</v>
      </c>
      <c r="E60" s="560" t="s">
        <v>500</v>
      </c>
      <c r="F60" s="560" t="s">
        <v>982</v>
      </c>
      <c r="G60" s="195">
        <v>-36384</v>
      </c>
      <c r="H60" s="196">
        <v>1898306</v>
      </c>
      <c r="I60" s="560"/>
      <c r="J60" s="67">
        <f t="shared" si="0"/>
        <v>36384</v>
      </c>
    </row>
    <row r="61" spans="2:10" ht="15.75" thickBot="1">
      <c r="B61" s="194" t="s">
        <v>492</v>
      </c>
      <c r="C61" s="560">
        <v>64171</v>
      </c>
      <c r="D61" s="1314" t="s">
        <v>493</v>
      </c>
      <c r="E61" s="1314" t="s">
        <v>501</v>
      </c>
      <c r="F61" s="1314" t="s">
        <v>982</v>
      </c>
      <c r="G61" s="195">
        <v>-2349</v>
      </c>
      <c r="H61" s="196">
        <v>1898307</v>
      </c>
      <c r="I61" s="560"/>
      <c r="J61" s="67">
        <f t="shared" si="0"/>
        <v>2349</v>
      </c>
    </row>
    <row r="62" spans="2:10" ht="15.75" thickBot="1">
      <c r="B62" s="194" t="s">
        <v>492</v>
      </c>
      <c r="C62" s="560">
        <v>64171</v>
      </c>
      <c r="D62" s="560" t="s">
        <v>493</v>
      </c>
      <c r="E62" s="560" t="s">
        <v>502</v>
      </c>
      <c r="F62" s="560" t="s">
        <v>982</v>
      </c>
      <c r="G62" s="195">
        <v>-29947</v>
      </c>
      <c r="H62" s="196">
        <v>1898308</v>
      </c>
      <c r="I62" s="560"/>
      <c r="J62" s="67">
        <f t="shared" si="0"/>
        <v>29947</v>
      </c>
    </row>
    <row r="63" spans="2:10" ht="15.75" thickBot="1">
      <c r="B63" s="194" t="s">
        <v>492</v>
      </c>
      <c r="C63" s="560">
        <v>64171</v>
      </c>
      <c r="D63" s="1314" t="s">
        <v>493</v>
      </c>
      <c r="E63" s="1314" t="s">
        <v>503</v>
      </c>
      <c r="F63" s="1314" t="s">
        <v>982</v>
      </c>
      <c r="G63" s="195">
        <v>-4682</v>
      </c>
      <c r="H63" s="196">
        <v>1898309</v>
      </c>
      <c r="I63" s="560"/>
      <c r="J63" s="67">
        <f t="shared" si="0"/>
        <v>4682</v>
      </c>
    </row>
    <row r="64" spans="2:10" ht="15.75" thickBot="1">
      <c r="B64" s="194" t="s">
        <v>492</v>
      </c>
      <c r="C64" s="560">
        <v>64171</v>
      </c>
      <c r="D64" s="560" t="s">
        <v>493</v>
      </c>
      <c r="E64" s="560" t="s">
        <v>504</v>
      </c>
      <c r="F64" s="560" t="s">
        <v>982</v>
      </c>
      <c r="G64" s="195">
        <v>-4613280</v>
      </c>
      <c r="H64" s="196">
        <v>1898310</v>
      </c>
      <c r="I64" s="560"/>
      <c r="J64" s="67">
        <f t="shared" si="0"/>
        <v>4613280</v>
      </c>
    </row>
    <row r="65" spans="2:10" ht="15.75" thickBot="1">
      <c r="B65" s="194" t="s">
        <v>492</v>
      </c>
      <c r="C65" s="560">
        <v>64171</v>
      </c>
      <c r="D65" s="1314" t="s">
        <v>493</v>
      </c>
      <c r="E65" s="1314" t="s">
        <v>494</v>
      </c>
      <c r="F65" s="1314" t="s">
        <v>983</v>
      </c>
      <c r="G65" s="195">
        <v>-376951</v>
      </c>
      <c r="H65" s="196">
        <v>1898301</v>
      </c>
      <c r="I65" s="560"/>
      <c r="J65" s="67">
        <f t="shared" si="0"/>
        <v>376951</v>
      </c>
    </row>
    <row r="66" spans="2:10" ht="15.75" thickBot="1">
      <c r="B66" s="194" t="s">
        <v>492</v>
      </c>
      <c r="C66" s="560">
        <v>64171</v>
      </c>
      <c r="D66" s="560" t="s">
        <v>493</v>
      </c>
      <c r="E66" s="560" t="s">
        <v>500</v>
      </c>
      <c r="F66" s="560" t="s">
        <v>983</v>
      </c>
      <c r="G66" s="195">
        <v>-11406</v>
      </c>
      <c r="H66" s="196">
        <v>1898306</v>
      </c>
      <c r="I66" s="560"/>
      <c r="J66" s="67">
        <f t="shared" si="0"/>
        <v>11406</v>
      </c>
    </row>
    <row r="67" spans="2:10" ht="15.75" thickBot="1">
      <c r="B67" s="194" t="s">
        <v>492</v>
      </c>
      <c r="C67" s="560">
        <v>64171</v>
      </c>
      <c r="D67" s="1314" t="s">
        <v>493</v>
      </c>
      <c r="E67" s="1314" t="s">
        <v>504</v>
      </c>
      <c r="F67" s="1314" t="s">
        <v>983</v>
      </c>
      <c r="G67" s="195">
        <v>-2337457</v>
      </c>
      <c r="H67" s="196">
        <v>1898310</v>
      </c>
      <c r="I67" s="560"/>
      <c r="J67" s="67">
        <f t="shared" ref="J67:J130" si="1">-G67</f>
        <v>2337457</v>
      </c>
    </row>
    <row r="68" spans="2:10" ht="15.75" thickBot="1">
      <c r="B68" s="194" t="s">
        <v>492</v>
      </c>
      <c r="C68" s="560">
        <v>64171</v>
      </c>
      <c r="D68" s="560" t="s">
        <v>493</v>
      </c>
      <c r="E68" s="560" t="s">
        <v>494</v>
      </c>
      <c r="F68" s="560" t="s">
        <v>984</v>
      </c>
      <c r="G68" s="195">
        <v>-27220</v>
      </c>
      <c r="H68" s="196">
        <v>1898301</v>
      </c>
      <c r="I68" s="560"/>
      <c r="J68" s="67">
        <f t="shared" si="1"/>
        <v>27220</v>
      </c>
    </row>
    <row r="69" spans="2:10" ht="15.75" thickBot="1">
      <c r="B69" s="194" t="s">
        <v>492</v>
      </c>
      <c r="C69" s="560">
        <v>64171</v>
      </c>
      <c r="D69" s="1314" t="s">
        <v>493</v>
      </c>
      <c r="E69" s="1314" t="s">
        <v>496</v>
      </c>
      <c r="F69" s="1314" t="s">
        <v>984</v>
      </c>
      <c r="G69" s="195">
        <v>-4137</v>
      </c>
      <c r="H69" s="196">
        <v>1898302</v>
      </c>
      <c r="I69" s="560"/>
      <c r="J69" s="67">
        <f t="shared" si="1"/>
        <v>4137</v>
      </c>
    </row>
    <row r="70" spans="2:10" ht="15.75" thickBot="1">
      <c r="B70" s="194" t="s">
        <v>492</v>
      </c>
      <c r="C70" s="560">
        <v>64171</v>
      </c>
      <c r="D70" s="560" t="s">
        <v>493</v>
      </c>
      <c r="E70" s="560" t="s">
        <v>497</v>
      </c>
      <c r="F70" s="560" t="s">
        <v>984</v>
      </c>
      <c r="G70" s="195">
        <v>-24657</v>
      </c>
      <c r="H70" s="196">
        <v>1898303</v>
      </c>
      <c r="I70" s="560"/>
      <c r="J70" s="67">
        <f t="shared" si="1"/>
        <v>24657</v>
      </c>
    </row>
    <row r="71" spans="2:10" ht="15.75" thickBot="1">
      <c r="B71" s="194" t="s">
        <v>492</v>
      </c>
      <c r="C71" s="560">
        <v>64171</v>
      </c>
      <c r="D71" s="1314" t="s">
        <v>493</v>
      </c>
      <c r="E71" s="1314" t="s">
        <v>498</v>
      </c>
      <c r="F71" s="1314" t="s">
        <v>984</v>
      </c>
      <c r="G71" s="1315">
        <v>-728</v>
      </c>
      <c r="H71" s="196">
        <v>1898304</v>
      </c>
      <c r="I71" s="560"/>
      <c r="J71" s="67">
        <f t="shared" si="1"/>
        <v>728</v>
      </c>
    </row>
    <row r="72" spans="2:10" ht="15.75" thickBot="1">
      <c r="B72" s="194" t="s">
        <v>492</v>
      </c>
      <c r="C72" s="560">
        <v>64171</v>
      </c>
      <c r="D72" s="560" t="s">
        <v>493</v>
      </c>
      <c r="E72" s="560" t="s">
        <v>499</v>
      </c>
      <c r="F72" s="560" t="s">
        <v>984</v>
      </c>
      <c r="G72" s="195">
        <v>-9726</v>
      </c>
      <c r="H72" s="196">
        <v>1898305</v>
      </c>
      <c r="I72" s="560"/>
      <c r="J72" s="67">
        <f t="shared" si="1"/>
        <v>9726</v>
      </c>
    </row>
    <row r="73" spans="2:10" ht="15.75" thickBot="1">
      <c r="B73" s="194" t="s">
        <v>492</v>
      </c>
      <c r="C73" s="560">
        <v>64171</v>
      </c>
      <c r="D73" s="1314" t="s">
        <v>493</v>
      </c>
      <c r="E73" s="1314" t="s">
        <v>504</v>
      </c>
      <c r="F73" s="1314" t="s">
        <v>984</v>
      </c>
      <c r="G73" s="195">
        <v>-117469</v>
      </c>
      <c r="H73" s="196">
        <v>1898310</v>
      </c>
      <c r="I73" s="560"/>
      <c r="J73" s="67">
        <f t="shared" si="1"/>
        <v>117469</v>
      </c>
    </row>
    <row r="74" spans="2:10" ht="15.75" thickBot="1">
      <c r="B74" s="194" t="s">
        <v>492</v>
      </c>
      <c r="C74" s="560">
        <v>64171</v>
      </c>
      <c r="D74" s="560" t="s">
        <v>493</v>
      </c>
      <c r="E74" s="560" t="s">
        <v>494</v>
      </c>
      <c r="F74" s="560" t="s">
        <v>985</v>
      </c>
      <c r="G74" s="195">
        <v>-26964</v>
      </c>
      <c r="H74" s="196">
        <v>1898301</v>
      </c>
      <c r="I74" s="560"/>
      <c r="J74" s="67">
        <f t="shared" si="1"/>
        <v>26964</v>
      </c>
    </row>
    <row r="75" spans="2:10" ht="15.75" thickBot="1">
      <c r="B75" s="194" t="s">
        <v>492</v>
      </c>
      <c r="C75" s="560">
        <v>64171</v>
      </c>
      <c r="D75" s="1314" t="s">
        <v>493</v>
      </c>
      <c r="E75" s="1314" t="s">
        <v>496</v>
      </c>
      <c r="F75" s="1314" t="s">
        <v>985</v>
      </c>
      <c r="G75" s="195">
        <v>-59994</v>
      </c>
      <c r="H75" s="196">
        <v>1898302</v>
      </c>
      <c r="I75" s="560"/>
      <c r="J75" s="67">
        <f t="shared" si="1"/>
        <v>59994</v>
      </c>
    </row>
    <row r="76" spans="2:10" ht="15.75" thickBot="1">
      <c r="B76" s="194" t="s">
        <v>492</v>
      </c>
      <c r="C76" s="560">
        <v>64171</v>
      </c>
      <c r="D76" s="560" t="s">
        <v>493</v>
      </c>
      <c r="E76" s="560" t="s">
        <v>497</v>
      </c>
      <c r="F76" s="560" t="s">
        <v>985</v>
      </c>
      <c r="G76" s="195">
        <v>-14105</v>
      </c>
      <c r="H76" s="196">
        <v>1898303</v>
      </c>
      <c r="I76" s="560"/>
      <c r="J76" s="67">
        <f t="shared" si="1"/>
        <v>14105</v>
      </c>
    </row>
    <row r="77" spans="2:10" ht="15.75" thickBot="1">
      <c r="B77" s="194" t="s">
        <v>492</v>
      </c>
      <c r="C77" s="560">
        <v>64171</v>
      </c>
      <c r="D77" s="1314" t="s">
        <v>493</v>
      </c>
      <c r="E77" s="1314" t="s">
        <v>498</v>
      </c>
      <c r="F77" s="1314" t="s">
        <v>985</v>
      </c>
      <c r="G77" s="195">
        <v>-3749</v>
      </c>
      <c r="H77" s="196">
        <v>1898304</v>
      </c>
      <c r="I77" s="560"/>
      <c r="J77" s="67">
        <f t="shared" si="1"/>
        <v>3749</v>
      </c>
    </row>
    <row r="78" spans="2:10" ht="15.75" thickBot="1">
      <c r="B78" s="194" t="s">
        <v>492</v>
      </c>
      <c r="C78" s="560">
        <v>64171</v>
      </c>
      <c r="D78" s="560" t="s">
        <v>493</v>
      </c>
      <c r="E78" s="560" t="s">
        <v>499</v>
      </c>
      <c r="F78" s="560" t="s">
        <v>985</v>
      </c>
      <c r="G78" s="195">
        <v>-1435</v>
      </c>
      <c r="H78" s="196">
        <v>1898305</v>
      </c>
      <c r="I78" s="560"/>
      <c r="J78" s="67">
        <f t="shared" si="1"/>
        <v>1435</v>
      </c>
    </row>
    <row r="79" spans="2:10" ht="15.75" thickBot="1">
      <c r="B79" s="194" t="s">
        <v>492</v>
      </c>
      <c r="C79" s="560">
        <v>64171</v>
      </c>
      <c r="D79" s="1314" t="s">
        <v>493</v>
      </c>
      <c r="E79" s="1314" t="s">
        <v>500</v>
      </c>
      <c r="F79" s="1314" t="s">
        <v>985</v>
      </c>
      <c r="G79" s="195">
        <v>-8003</v>
      </c>
      <c r="H79" s="196">
        <v>1898306</v>
      </c>
      <c r="I79" s="560"/>
      <c r="J79" s="67">
        <f t="shared" si="1"/>
        <v>8003</v>
      </c>
    </row>
    <row r="80" spans="2:10" ht="15.75" thickBot="1">
      <c r="B80" s="194" t="s">
        <v>492</v>
      </c>
      <c r="C80" s="560">
        <v>64171</v>
      </c>
      <c r="D80" s="560" t="s">
        <v>493</v>
      </c>
      <c r="E80" s="560" t="s">
        <v>501</v>
      </c>
      <c r="F80" s="560" t="s">
        <v>985</v>
      </c>
      <c r="G80" s="195">
        <v>-3273</v>
      </c>
      <c r="H80" s="196">
        <v>1898307</v>
      </c>
      <c r="I80" s="560"/>
      <c r="J80" s="67">
        <f t="shared" si="1"/>
        <v>3273</v>
      </c>
    </row>
    <row r="81" spans="2:10" ht="15.75" thickBot="1">
      <c r="B81" s="194" t="s">
        <v>492</v>
      </c>
      <c r="C81" s="560">
        <v>64171</v>
      </c>
      <c r="D81" s="1314" t="s">
        <v>493</v>
      </c>
      <c r="E81" s="1314" t="s">
        <v>502</v>
      </c>
      <c r="F81" s="1314" t="s">
        <v>985</v>
      </c>
      <c r="G81" s="195">
        <v>-4167</v>
      </c>
      <c r="H81" s="196">
        <v>1898308</v>
      </c>
      <c r="I81" s="560"/>
      <c r="J81" s="67">
        <f t="shared" si="1"/>
        <v>4167</v>
      </c>
    </row>
    <row r="82" spans="2:10" ht="15.75" thickBot="1">
      <c r="B82" s="194" t="s">
        <v>492</v>
      </c>
      <c r="C82" s="560">
        <v>64171</v>
      </c>
      <c r="D82" s="560" t="s">
        <v>493</v>
      </c>
      <c r="E82" s="560" t="s">
        <v>503</v>
      </c>
      <c r="F82" s="560" t="s">
        <v>985</v>
      </c>
      <c r="G82" s="195">
        <v>-7569</v>
      </c>
      <c r="H82" s="196">
        <v>1898309</v>
      </c>
      <c r="I82" s="560"/>
      <c r="J82" s="67">
        <f t="shared" si="1"/>
        <v>7569</v>
      </c>
    </row>
    <row r="83" spans="2:10" ht="15.75" thickBot="1">
      <c r="B83" s="194" t="s">
        <v>492</v>
      </c>
      <c r="C83" s="560">
        <v>64171</v>
      </c>
      <c r="D83" s="1314" t="s">
        <v>493</v>
      </c>
      <c r="E83" s="1314" t="s">
        <v>504</v>
      </c>
      <c r="F83" s="1314" t="s">
        <v>985</v>
      </c>
      <c r="G83" s="195">
        <v>-32909</v>
      </c>
      <c r="H83" s="196">
        <v>1898310</v>
      </c>
      <c r="I83" s="560"/>
      <c r="J83" s="67">
        <f t="shared" si="1"/>
        <v>32909</v>
      </c>
    </row>
    <row r="84" spans="2:10" ht="15.75" thickBot="1">
      <c r="B84" s="194" t="s">
        <v>492</v>
      </c>
      <c r="C84" s="560">
        <v>64171</v>
      </c>
      <c r="D84" s="560" t="s">
        <v>493</v>
      </c>
      <c r="E84" s="560" t="s">
        <v>494</v>
      </c>
      <c r="F84" s="560" t="s">
        <v>986</v>
      </c>
      <c r="G84" s="195">
        <v>-3227</v>
      </c>
      <c r="H84" s="196">
        <v>1898301</v>
      </c>
      <c r="I84" s="560"/>
      <c r="J84" s="67">
        <f t="shared" si="1"/>
        <v>3227</v>
      </c>
    </row>
    <row r="85" spans="2:10" ht="15.75" thickBot="1">
      <c r="B85" s="194" t="s">
        <v>492</v>
      </c>
      <c r="C85" s="560">
        <v>64171</v>
      </c>
      <c r="D85" s="1314" t="s">
        <v>493</v>
      </c>
      <c r="E85" s="1314" t="s">
        <v>504</v>
      </c>
      <c r="F85" s="1314" t="s">
        <v>986</v>
      </c>
      <c r="G85" s="195">
        <v>-20163</v>
      </c>
      <c r="H85" s="196">
        <v>1898310</v>
      </c>
      <c r="I85" s="560"/>
      <c r="J85" s="67">
        <f t="shared" si="1"/>
        <v>20163</v>
      </c>
    </row>
    <row r="86" spans="2:10" ht="15.75" thickBot="1">
      <c r="B86" s="194" t="s">
        <v>492</v>
      </c>
      <c r="C86" s="560">
        <v>64171</v>
      </c>
      <c r="D86" s="560" t="s">
        <v>493</v>
      </c>
      <c r="E86" s="560" t="s">
        <v>494</v>
      </c>
      <c r="F86" s="560" t="s">
        <v>987</v>
      </c>
      <c r="G86" s="195">
        <v>-138213</v>
      </c>
      <c r="H86" s="196">
        <v>1898301</v>
      </c>
      <c r="I86" s="560"/>
      <c r="J86" s="67">
        <f t="shared" si="1"/>
        <v>138213</v>
      </c>
    </row>
    <row r="87" spans="2:10" ht="15.75" thickBot="1">
      <c r="B87" s="194" t="s">
        <v>492</v>
      </c>
      <c r="C87" s="560">
        <v>64171</v>
      </c>
      <c r="D87" s="1314" t="s">
        <v>493</v>
      </c>
      <c r="E87" s="1314" t="s">
        <v>504</v>
      </c>
      <c r="F87" s="1314" t="s">
        <v>987</v>
      </c>
      <c r="G87" s="195">
        <v>-863722</v>
      </c>
      <c r="H87" s="196">
        <v>1898310</v>
      </c>
      <c r="I87" s="560"/>
      <c r="J87" s="67">
        <f t="shared" si="1"/>
        <v>863722</v>
      </c>
    </row>
    <row r="88" spans="2:10" ht="15.75" thickBot="1">
      <c r="B88" s="194" t="s">
        <v>492</v>
      </c>
      <c r="C88" s="560">
        <v>64171</v>
      </c>
      <c r="D88" s="560" t="s">
        <v>493</v>
      </c>
      <c r="E88" s="560" t="s">
        <v>494</v>
      </c>
      <c r="F88" s="560" t="s">
        <v>988</v>
      </c>
      <c r="G88" s="195">
        <v>-31347</v>
      </c>
      <c r="H88" s="196">
        <v>1898301</v>
      </c>
      <c r="I88" s="560"/>
      <c r="J88" s="67">
        <f t="shared" si="1"/>
        <v>31347</v>
      </c>
    </row>
    <row r="89" spans="2:10" ht="15.75" thickBot="1">
      <c r="B89" s="194" t="s">
        <v>492</v>
      </c>
      <c r="C89" s="560">
        <v>64171</v>
      </c>
      <c r="D89" s="1314" t="s">
        <v>493</v>
      </c>
      <c r="E89" s="1314" t="s">
        <v>496</v>
      </c>
      <c r="F89" s="1314" t="s">
        <v>988</v>
      </c>
      <c r="G89" s="195">
        <v>-21070</v>
      </c>
      <c r="H89" s="196">
        <v>1898302</v>
      </c>
      <c r="I89" s="560"/>
      <c r="J89" s="67">
        <f t="shared" si="1"/>
        <v>21070</v>
      </c>
    </row>
    <row r="90" spans="2:10" ht="15.75" thickBot="1">
      <c r="B90" s="194" t="s">
        <v>492</v>
      </c>
      <c r="C90" s="560">
        <v>64171</v>
      </c>
      <c r="D90" s="560" t="s">
        <v>493</v>
      </c>
      <c r="E90" s="560" t="s">
        <v>497</v>
      </c>
      <c r="F90" s="560" t="s">
        <v>988</v>
      </c>
      <c r="G90" s="195">
        <v>-12899</v>
      </c>
      <c r="H90" s="196">
        <v>1898303</v>
      </c>
      <c r="I90" s="560"/>
      <c r="J90" s="67">
        <f t="shared" si="1"/>
        <v>12899</v>
      </c>
    </row>
    <row r="91" spans="2:10" ht="15.75" thickBot="1">
      <c r="B91" s="194" t="s">
        <v>492</v>
      </c>
      <c r="C91" s="560">
        <v>64171</v>
      </c>
      <c r="D91" s="1314" t="s">
        <v>493</v>
      </c>
      <c r="E91" s="1314" t="s">
        <v>504</v>
      </c>
      <c r="F91" s="1314" t="s">
        <v>988</v>
      </c>
      <c r="G91" s="195">
        <v>-155192</v>
      </c>
      <c r="H91" s="196">
        <v>1898310</v>
      </c>
      <c r="I91" s="560"/>
      <c r="J91" s="67">
        <f t="shared" si="1"/>
        <v>155192</v>
      </c>
    </row>
    <row r="92" spans="2:10" ht="15.75" thickBot="1">
      <c r="B92" s="194" t="s">
        <v>492</v>
      </c>
      <c r="C92" s="560">
        <v>64171</v>
      </c>
      <c r="D92" s="560" t="s">
        <v>493</v>
      </c>
      <c r="E92" s="560" t="s">
        <v>494</v>
      </c>
      <c r="F92" s="560" t="s">
        <v>509</v>
      </c>
      <c r="G92" s="195">
        <v>-221931</v>
      </c>
      <c r="H92" s="196">
        <v>1898301</v>
      </c>
      <c r="I92" s="560"/>
      <c r="J92" s="67">
        <f t="shared" si="1"/>
        <v>221931</v>
      </c>
    </row>
    <row r="93" spans="2:10" ht="15.75" thickBot="1">
      <c r="B93" s="194" t="s">
        <v>492</v>
      </c>
      <c r="C93" s="560">
        <v>64171</v>
      </c>
      <c r="D93" s="1314" t="s">
        <v>493</v>
      </c>
      <c r="E93" s="1314" t="s">
        <v>496</v>
      </c>
      <c r="F93" s="1314" t="s">
        <v>509</v>
      </c>
      <c r="G93" s="195">
        <v>-191132</v>
      </c>
      <c r="H93" s="196">
        <v>1898302</v>
      </c>
      <c r="I93" s="560"/>
      <c r="J93" s="67">
        <f t="shared" si="1"/>
        <v>191132</v>
      </c>
    </row>
    <row r="94" spans="2:10" ht="15.75" thickBot="1">
      <c r="B94" s="194" t="s">
        <v>492</v>
      </c>
      <c r="C94" s="560">
        <v>64171</v>
      </c>
      <c r="D94" s="560" t="s">
        <v>493</v>
      </c>
      <c r="E94" s="560" t="s">
        <v>497</v>
      </c>
      <c r="F94" s="560" t="s">
        <v>509</v>
      </c>
      <c r="G94" s="195">
        <v>-28377</v>
      </c>
      <c r="H94" s="196">
        <v>1898303</v>
      </c>
      <c r="I94" s="560"/>
      <c r="J94" s="67">
        <f t="shared" si="1"/>
        <v>28377</v>
      </c>
    </row>
    <row r="95" spans="2:10" ht="15.75" thickBot="1">
      <c r="B95" s="194" t="s">
        <v>492</v>
      </c>
      <c r="C95" s="560">
        <v>64171</v>
      </c>
      <c r="D95" s="1314" t="s">
        <v>493</v>
      </c>
      <c r="E95" s="1314" t="s">
        <v>499</v>
      </c>
      <c r="F95" s="1314" t="s">
        <v>509</v>
      </c>
      <c r="G95" s="195">
        <v>-191607</v>
      </c>
      <c r="H95" s="196">
        <v>1898305</v>
      </c>
      <c r="I95" s="560"/>
      <c r="J95" s="67">
        <f t="shared" si="1"/>
        <v>191607</v>
      </c>
    </row>
    <row r="96" spans="2:10" ht="15.75" thickBot="1">
      <c r="B96" s="194" t="s">
        <v>492</v>
      </c>
      <c r="C96" s="560">
        <v>64171</v>
      </c>
      <c r="D96" s="560" t="s">
        <v>493</v>
      </c>
      <c r="E96" s="560" t="s">
        <v>500</v>
      </c>
      <c r="F96" s="560" t="s">
        <v>509</v>
      </c>
      <c r="G96" s="195">
        <v>-15207</v>
      </c>
      <c r="H96" s="196">
        <v>1898306</v>
      </c>
      <c r="I96" s="560"/>
      <c r="J96" s="67">
        <f t="shared" si="1"/>
        <v>15207</v>
      </c>
    </row>
    <row r="97" spans="2:10" ht="15.75" thickBot="1">
      <c r="B97" s="194" t="s">
        <v>492</v>
      </c>
      <c r="C97" s="560">
        <v>64171</v>
      </c>
      <c r="D97" s="1314" t="s">
        <v>493</v>
      </c>
      <c r="E97" s="1314" t="s">
        <v>501</v>
      </c>
      <c r="F97" s="1314" t="s">
        <v>509</v>
      </c>
      <c r="G97" s="195">
        <v>-4341</v>
      </c>
      <c r="H97" s="196">
        <v>1898307</v>
      </c>
      <c r="I97" s="560"/>
      <c r="J97" s="67">
        <f t="shared" si="1"/>
        <v>4341</v>
      </c>
    </row>
    <row r="98" spans="2:10" ht="15.75" thickBot="1">
      <c r="B98" s="194" t="s">
        <v>492</v>
      </c>
      <c r="C98" s="560">
        <v>64171</v>
      </c>
      <c r="D98" s="560" t="s">
        <v>493</v>
      </c>
      <c r="E98" s="560" t="s">
        <v>502</v>
      </c>
      <c r="F98" s="560" t="s">
        <v>509</v>
      </c>
      <c r="G98" s="195">
        <v>-200502</v>
      </c>
      <c r="H98" s="196">
        <v>1898308</v>
      </c>
      <c r="I98" s="560"/>
      <c r="J98" s="67">
        <f t="shared" si="1"/>
        <v>200502</v>
      </c>
    </row>
    <row r="99" spans="2:10" ht="15.75" thickBot="1">
      <c r="B99" s="194" t="s">
        <v>492</v>
      </c>
      <c r="C99" s="560">
        <v>64171</v>
      </c>
      <c r="D99" s="1314" t="s">
        <v>493</v>
      </c>
      <c r="E99" s="1314" t="s">
        <v>503</v>
      </c>
      <c r="F99" s="1314" t="s">
        <v>509</v>
      </c>
      <c r="G99" s="195">
        <v>-15320</v>
      </c>
      <c r="H99" s="196">
        <v>1898309</v>
      </c>
      <c r="I99" s="560"/>
      <c r="J99" s="67">
        <f t="shared" si="1"/>
        <v>15320</v>
      </c>
    </row>
    <row r="100" spans="2:10" ht="15.75" thickBot="1">
      <c r="B100" s="194" t="s">
        <v>492</v>
      </c>
      <c r="C100" s="560">
        <v>64171</v>
      </c>
      <c r="D100" s="560" t="s">
        <v>493</v>
      </c>
      <c r="E100" s="560" t="s">
        <v>504</v>
      </c>
      <c r="F100" s="560" t="s">
        <v>509</v>
      </c>
      <c r="G100" s="195">
        <v>-434083</v>
      </c>
      <c r="H100" s="196">
        <v>1898310</v>
      </c>
      <c r="I100" s="560"/>
      <c r="J100" s="67">
        <f t="shared" si="1"/>
        <v>434083</v>
      </c>
    </row>
    <row r="101" spans="2:10" ht="15.75" thickBot="1">
      <c r="B101" s="194" t="s">
        <v>492</v>
      </c>
      <c r="C101" s="560">
        <v>64171</v>
      </c>
      <c r="D101" s="1314" t="s">
        <v>493</v>
      </c>
      <c r="E101" s="1314" t="s">
        <v>494</v>
      </c>
      <c r="F101" s="1314" t="s">
        <v>1360</v>
      </c>
      <c r="G101" s="195">
        <v>-693286</v>
      </c>
      <c r="H101" s="196">
        <v>1898301</v>
      </c>
      <c r="I101" s="560"/>
      <c r="J101" s="67">
        <f t="shared" si="1"/>
        <v>693286</v>
      </c>
    </row>
    <row r="102" spans="2:10" ht="15.75" thickBot="1">
      <c r="B102" s="194" t="s">
        <v>492</v>
      </c>
      <c r="C102" s="560">
        <v>64171</v>
      </c>
      <c r="D102" s="560" t="s">
        <v>493</v>
      </c>
      <c r="E102" s="560" t="s">
        <v>496</v>
      </c>
      <c r="F102" s="560" t="s">
        <v>1360</v>
      </c>
      <c r="G102" s="195">
        <v>-67020</v>
      </c>
      <c r="H102" s="196">
        <v>1898302</v>
      </c>
      <c r="I102" s="560"/>
      <c r="J102" s="67">
        <f t="shared" si="1"/>
        <v>67020</v>
      </c>
    </row>
    <row r="103" spans="2:10" ht="15.75" thickBot="1">
      <c r="B103" s="194" t="s">
        <v>492</v>
      </c>
      <c r="C103" s="560">
        <v>64171</v>
      </c>
      <c r="D103" s="1314" t="s">
        <v>493</v>
      </c>
      <c r="E103" s="1314" t="s">
        <v>497</v>
      </c>
      <c r="F103" s="1314" t="s">
        <v>1360</v>
      </c>
      <c r="G103" s="195">
        <v>-187715</v>
      </c>
      <c r="H103" s="196">
        <v>1898303</v>
      </c>
      <c r="I103" s="560"/>
      <c r="J103" s="67">
        <f t="shared" si="1"/>
        <v>187715</v>
      </c>
    </row>
    <row r="104" spans="2:10" ht="15.75" thickBot="1">
      <c r="B104" s="194" t="s">
        <v>492</v>
      </c>
      <c r="C104" s="560">
        <v>64171</v>
      </c>
      <c r="D104" s="560" t="s">
        <v>493</v>
      </c>
      <c r="E104" s="560" t="s">
        <v>498</v>
      </c>
      <c r="F104" s="560" t="s">
        <v>1360</v>
      </c>
      <c r="G104" s="195">
        <v>-222647</v>
      </c>
      <c r="H104" s="196">
        <v>1898304</v>
      </c>
      <c r="I104" s="560"/>
      <c r="J104" s="67">
        <f t="shared" si="1"/>
        <v>222647</v>
      </c>
    </row>
    <row r="105" spans="2:10" ht="15.75" thickBot="1">
      <c r="B105" s="194" t="s">
        <v>492</v>
      </c>
      <c r="C105" s="560">
        <v>64171</v>
      </c>
      <c r="D105" s="1314" t="s">
        <v>493</v>
      </c>
      <c r="E105" s="1314" t="s">
        <v>499</v>
      </c>
      <c r="F105" s="1314" t="s">
        <v>1360</v>
      </c>
      <c r="G105" s="195">
        <v>-12392</v>
      </c>
      <c r="H105" s="196">
        <v>1898305</v>
      </c>
      <c r="I105" s="560"/>
      <c r="J105" s="67">
        <f t="shared" si="1"/>
        <v>12392</v>
      </c>
    </row>
    <row r="106" spans="2:10" ht="15.75" thickBot="1">
      <c r="B106" s="194" t="s">
        <v>492</v>
      </c>
      <c r="C106" s="560">
        <v>64171</v>
      </c>
      <c r="D106" s="560" t="s">
        <v>493</v>
      </c>
      <c r="E106" s="560" t="s">
        <v>500</v>
      </c>
      <c r="F106" s="560" t="s">
        <v>1360</v>
      </c>
      <c r="G106" s="195">
        <v>-177992</v>
      </c>
      <c r="H106" s="196">
        <v>1898306</v>
      </c>
      <c r="I106" s="560"/>
      <c r="J106" s="67">
        <f t="shared" si="1"/>
        <v>177992</v>
      </c>
    </row>
    <row r="107" spans="2:10" ht="15.75" thickBot="1">
      <c r="B107" s="194" t="s">
        <v>492</v>
      </c>
      <c r="C107" s="560">
        <v>64171</v>
      </c>
      <c r="D107" s="1314" t="s">
        <v>493</v>
      </c>
      <c r="E107" s="1314" t="s">
        <v>501</v>
      </c>
      <c r="F107" s="1314" t="s">
        <v>1360</v>
      </c>
      <c r="G107" s="195">
        <v>-341824</v>
      </c>
      <c r="H107" s="196">
        <v>1898307</v>
      </c>
      <c r="I107" s="560"/>
      <c r="J107" s="67">
        <f t="shared" si="1"/>
        <v>341824</v>
      </c>
    </row>
    <row r="108" spans="2:10" ht="15.75" thickBot="1">
      <c r="B108" s="194" t="s">
        <v>492</v>
      </c>
      <c r="C108" s="560">
        <v>64171</v>
      </c>
      <c r="D108" s="560" t="s">
        <v>493</v>
      </c>
      <c r="E108" s="560" t="s">
        <v>502</v>
      </c>
      <c r="F108" s="560" t="s">
        <v>1360</v>
      </c>
      <c r="G108" s="195">
        <v>-477313</v>
      </c>
      <c r="H108" s="196">
        <v>1898308</v>
      </c>
      <c r="I108" s="560"/>
      <c r="J108" s="67">
        <f t="shared" si="1"/>
        <v>477313</v>
      </c>
    </row>
    <row r="109" spans="2:10" ht="15.75" thickBot="1">
      <c r="B109" s="194" t="s">
        <v>492</v>
      </c>
      <c r="C109" s="560">
        <v>64171</v>
      </c>
      <c r="D109" s="1314" t="s">
        <v>493</v>
      </c>
      <c r="E109" s="1314" t="s">
        <v>503</v>
      </c>
      <c r="F109" s="1314" t="s">
        <v>1360</v>
      </c>
      <c r="G109" s="195">
        <v>-213691</v>
      </c>
      <c r="H109" s="196">
        <v>1898309</v>
      </c>
      <c r="I109" s="560"/>
      <c r="J109" s="67">
        <f t="shared" si="1"/>
        <v>213691</v>
      </c>
    </row>
    <row r="110" spans="2:10" ht="15.75" thickBot="1">
      <c r="B110" s="194" t="s">
        <v>492</v>
      </c>
      <c r="C110" s="560">
        <v>64171</v>
      </c>
      <c r="D110" s="560" t="s">
        <v>493</v>
      </c>
      <c r="E110" s="560" t="s">
        <v>504</v>
      </c>
      <c r="F110" s="560" t="s">
        <v>1360</v>
      </c>
      <c r="G110" s="195">
        <v>-1328218</v>
      </c>
      <c r="H110" s="196">
        <v>1898310</v>
      </c>
      <c r="I110" s="560"/>
      <c r="J110" s="67">
        <f t="shared" si="1"/>
        <v>1328218</v>
      </c>
    </row>
    <row r="111" spans="2:10" ht="15.75" thickBot="1">
      <c r="B111" s="194" t="s">
        <v>492</v>
      </c>
      <c r="C111" s="560">
        <v>64171</v>
      </c>
      <c r="D111" s="1314" t="s">
        <v>493</v>
      </c>
      <c r="E111" s="1314" t="s">
        <v>494</v>
      </c>
      <c r="F111" s="1314" t="s">
        <v>510</v>
      </c>
      <c r="G111" s="195">
        <v>-362479</v>
      </c>
      <c r="H111" s="196">
        <v>1898301</v>
      </c>
      <c r="I111" s="560"/>
      <c r="J111" s="67">
        <f t="shared" si="1"/>
        <v>362479</v>
      </c>
    </row>
    <row r="112" spans="2:10" ht="15.75" thickBot="1">
      <c r="B112" s="194" t="s">
        <v>492</v>
      </c>
      <c r="C112" s="560">
        <v>64171</v>
      </c>
      <c r="D112" s="560" t="s">
        <v>493</v>
      </c>
      <c r="E112" s="560" t="s">
        <v>496</v>
      </c>
      <c r="F112" s="560" t="s">
        <v>510</v>
      </c>
      <c r="G112" s="195">
        <v>-126675</v>
      </c>
      <c r="H112" s="196">
        <v>1898302</v>
      </c>
      <c r="I112" s="560"/>
      <c r="J112" s="67">
        <f t="shared" si="1"/>
        <v>126675</v>
      </c>
    </row>
    <row r="113" spans="2:10" ht="15.75" thickBot="1">
      <c r="B113" s="194" t="s">
        <v>492</v>
      </c>
      <c r="C113" s="560">
        <v>64171</v>
      </c>
      <c r="D113" s="1314" t="s">
        <v>493</v>
      </c>
      <c r="E113" s="1314" t="s">
        <v>497</v>
      </c>
      <c r="F113" s="1314" t="s">
        <v>510</v>
      </c>
      <c r="G113" s="195">
        <v>-614729</v>
      </c>
      <c r="H113" s="196">
        <v>1898303</v>
      </c>
      <c r="I113" s="560"/>
      <c r="J113" s="67">
        <f t="shared" si="1"/>
        <v>614729</v>
      </c>
    </row>
    <row r="114" spans="2:10" ht="15.75" thickBot="1">
      <c r="B114" s="194" t="s">
        <v>492</v>
      </c>
      <c r="C114" s="560">
        <v>64171</v>
      </c>
      <c r="D114" s="560" t="s">
        <v>493</v>
      </c>
      <c r="E114" s="560" t="s">
        <v>498</v>
      </c>
      <c r="F114" s="560" t="s">
        <v>510</v>
      </c>
      <c r="G114" s="195">
        <v>-4222</v>
      </c>
      <c r="H114" s="196">
        <v>1898304</v>
      </c>
      <c r="I114" s="560"/>
      <c r="J114" s="67">
        <f t="shared" si="1"/>
        <v>4222</v>
      </c>
    </row>
    <row r="115" spans="2:10" ht="15.75" thickBot="1">
      <c r="B115" s="194" t="s">
        <v>492</v>
      </c>
      <c r="C115" s="560">
        <v>64171</v>
      </c>
      <c r="D115" s="1314" t="s">
        <v>493</v>
      </c>
      <c r="E115" s="1314" t="s">
        <v>499</v>
      </c>
      <c r="F115" s="1314" t="s">
        <v>510</v>
      </c>
      <c r="G115" s="195">
        <v>-23201</v>
      </c>
      <c r="H115" s="196">
        <v>1898305</v>
      </c>
      <c r="I115" s="560"/>
      <c r="J115" s="67">
        <f t="shared" si="1"/>
        <v>23201</v>
      </c>
    </row>
    <row r="116" spans="2:10" ht="15.75" thickBot="1">
      <c r="B116" s="194" t="s">
        <v>492</v>
      </c>
      <c r="C116" s="560">
        <v>64171</v>
      </c>
      <c r="D116" s="560" t="s">
        <v>493</v>
      </c>
      <c r="E116" s="560" t="s">
        <v>500</v>
      </c>
      <c r="F116" s="560" t="s">
        <v>510</v>
      </c>
      <c r="G116" s="195">
        <v>-234983</v>
      </c>
      <c r="H116" s="196">
        <v>1898306</v>
      </c>
      <c r="I116" s="560"/>
      <c r="J116" s="67">
        <f t="shared" si="1"/>
        <v>234983</v>
      </c>
    </row>
    <row r="117" spans="2:10" ht="15.75" thickBot="1">
      <c r="B117" s="194" t="s">
        <v>492</v>
      </c>
      <c r="C117" s="560">
        <v>64171</v>
      </c>
      <c r="D117" s="1314" t="s">
        <v>493</v>
      </c>
      <c r="E117" s="1314" t="s">
        <v>501</v>
      </c>
      <c r="F117" s="1314" t="s">
        <v>510</v>
      </c>
      <c r="G117" s="195">
        <v>-52632</v>
      </c>
      <c r="H117" s="196">
        <v>1898307</v>
      </c>
      <c r="I117" s="560"/>
      <c r="J117" s="67">
        <f t="shared" si="1"/>
        <v>52632</v>
      </c>
    </row>
    <row r="118" spans="2:10" ht="15.75" thickBot="1">
      <c r="B118" s="194" t="s">
        <v>492</v>
      </c>
      <c r="C118" s="560">
        <v>64171</v>
      </c>
      <c r="D118" s="560" t="s">
        <v>493</v>
      </c>
      <c r="E118" s="560" t="s">
        <v>502</v>
      </c>
      <c r="F118" s="560" t="s">
        <v>510</v>
      </c>
      <c r="G118" s="195">
        <v>-35047</v>
      </c>
      <c r="H118" s="196">
        <v>1898308</v>
      </c>
      <c r="I118" s="560"/>
      <c r="J118" s="67">
        <f t="shared" si="1"/>
        <v>35047</v>
      </c>
    </row>
    <row r="119" spans="2:10" ht="15.75" thickBot="1">
      <c r="B119" s="194" t="s">
        <v>492</v>
      </c>
      <c r="C119" s="560">
        <v>64171</v>
      </c>
      <c r="D119" s="1314" t="s">
        <v>493</v>
      </c>
      <c r="E119" s="1314" t="s">
        <v>503</v>
      </c>
      <c r="F119" s="1314" t="s">
        <v>510</v>
      </c>
      <c r="G119" s="195">
        <v>-314117</v>
      </c>
      <c r="H119" s="196">
        <v>1898309</v>
      </c>
      <c r="I119" s="560"/>
      <c r="J119" s="67">
        <f t="shared" si="1"/>
        <v>314117</v>
      </c>
    </row>
    <row r="120" spans="2:10" ht="15.75" thickBot="1">
      <c r="B120" s="194" t="s">
        <v>492</v>
      </c>
      <c r="C120" s="560">
        <v>64171</v>
      </c>
      <c r="D120" s="560" t="s">
        <v>493</v>
      </c>
      <c r="E120" s="560" t="s">
        <v>504</v>
      </c>
      <c r="F120" s="560" t="s">
        <v>510</v>
      </c>
      <c r="G120" s="195">
        <v>-290957</v>
      </c>
      <c r="H120" s="196">
        <v>1898310</v>
      </c>
      <c r="I120" s="560"/>
      <c r="J120" s="67">
        <f t="shared" si="1"/>
        <v>290957</v>
      </c>
    </row>
    <row r="121" spans="2:10" ht="15.75" thickBot="1">
      <c r="B121" s="194" t="s">
        <v>492</v>
      </c>
      <c r="C121" s="560">
        <v>64171</v>
      </c>
      <c r="D121" s="1314" t="s">
        <v>493</v>
      </c>
      <c r="E121" s="1314" t="s">
        <v>494</v>
      </c>
      <c r="F121" s="1314" t="s">
        <v>991</v>
      </c>
      <c r="G121" s="195">
        <v>-626647</v>
      </c>
      <c r="H121" s="196">
        <v>1898301</v>
      </c>
      <c r="I121" s="560"/>
      <c r="J121" s="67">
        <f t="shared" si="1"/>
        <v>626647</v>
      </c>
    </row>
    <row r="122" spans="2:10" ht="15.75" thickBot="1">
      <c r="B122" s="194" t="s">
        <v>492</v>
      </c>
      <c r="C122" s="560">
        <v>64171</v>
      </c>
      <c r="D122" s="560" t="s">
        <v>493</v>
      </c>
      <c r="E122" s="560" t="s">
        <v>496</v>
      </c>
      <c r="F122" s="560" t="s">
        <v>991</v>
      </c>
      <c r="G122" s="195">
        <v>-216443</v>
      </c>
      <c r="H122" s="196">
        <v>1898302</v>
      </c>
      <c r="I122" s="560"/>
      <c r="J122" s="67">
        <f t="shared" si="1"/>
        <v>216443</v>
      </c>
    </row>
    <row r="123" spans="2:10" ht="15.75" thickBot="1">
      <c r="B123" s="194" t="s">
        <v>492</v>
      </c>
      <c r="C123" s="560">
        <v>64171</v>
      </c>
      <c r="D123" s="1314" t="s">
        <v>493</v>
      </c>
      <c r="E123" s="1314" t="s">
        <v>497</v>
      </c>
      <c r="F123" s="1314" t="s">
        <v>991</v>
      </c>
      <c r="G123" s="195">
        <v>-561210</v>
      </c>
      <c r="H123" s="196">
        <v>1898303</v>
      </c>
      <c r="I123" s="560"/>
      <c r="J123" s="67">
        <f t="shared" si="1"/>
        <v>561210</v>
      </c>
    </row>
    <row r="124" spans="2:10" ht="15.75" thickBot="1">
      <c r="B124" s="194" t="s">
        <v>492</v>
      </c>
      <c r="C124" s="560">
        <v>64171</v>
      </c>
      <c r="D124" s="560" t="s">
        <v>493</v>
      </c>
      <c r="E124" s="560" t="s">
        <v>498</v>
      </c>
      <c r="F124" s="560" t="s">
        <v>991</v>
      </c>
      <c r="G124" s="195">
        <v>-123877</v>
      </c>
      <c r="H124" s="196">
        <v>1898304</v>
      </c>
      <c r="I124" s="560"/>
      <c r="J124" s="67">
        <f t="shared" si="1"/>
        <v>123877</v>
      </c>
    </row>
    <row r="125" spans="2:10" ht="15.75" thickBot="1">
      <c r="B125" s="194" t="s">
        <v>492</v>
      </c>
      <c r="C125" s="560">
        <v>64171</v>
      </c>
      <c r="D125" s="1314" t="s">
        <v>493</v>
      </c>
      <c r="E125" s="1314" t="s">
        <v>499</v>
      </c>
      <c r="F125" s="1314" t="s">
        <v>991</v>
      </c>
      <c r="G125" s="195">
        <v>-258940</v>
      </c>
      <c r="H125" s="196">
        <v>1898305</v>
      </c>
      <c r="I125" s="560"/>
      <c r="J125" s="67">
        <f t="shared" si="1"/>
        <v>258940</v>
      </c>
    </row>
    <row r="126" spans="2:10" ht="15.75" thickBot="1">
      <c r="B126" s="194" t="s">
        <v>492</v>
      </c>
      <c r="C126" s="560">
        <v>64171</v>
      </c>
      <c r="D126" s="560" t="s">
        <v>493</v>
      </c>
      <c r="E126" s="560" t="s">
        <v>500</v>
      </c>
      <c r="F126" s="560" t="s">
        <v>991</v>
      </c>
      <c r="G126" s="195">
        <v>-250097</v>
      </c>
      <c r="H126" s="196">
        <v>1898306</v>
      </c>
      <c r="I126" s="560"/>
      <c r="J126" s="67">
        <f t="shared" si="1"/>
        <v>250097</v>
      </c>
    </row>
    <row r="127" spans="2:10" ht="15.75" thickBot="1">
      <c r="B127" s="194" t="s">
        <v>492</v>
      </c>
      <c r="C127" s="560">
        <v>64171</v>
      </c>
      <c r="D127" s="1314" t="s">
        <v>493</v>
      </c>
      <c r="E127" s="1314" t="s">
        <v>501</v>
      </c>
      <c r="F127" s="1314" t="s">
        <v>991</v>
      </c>
      <c r="G127" s="195">
        <v>-98277</v>
      </c>
      <c r="H127" s="196">
        <v>1898307</v>
      </c>
      <c r="I127" s="560"/>
      <c r="J127" s="67">
        <f t="shared" si="1"/>
        <v>98277</v>
      </c>
    </row>
    <row r="128" spans="2:10" ht="15.75" thickBot="1">
      <c r="B128" s="194" t="s">
        <v>492</v>
      </c>
      <c r="C128" s="560">
        <v>64171</v>
      </c>
      <c r="D128" s="560" t="s">
        <v>493</v>
      </c>
      <c r="E128" s="560" t="s">
        <v>502</v>
      </c>
      <c r="F128" s="560" t="s">
        <v>991</v>
      </c>
      <c r="G128" s="195">
        <v>-249482</v>
      </c>
      <c r="H128" s="196">
        <v>1898308</v>
      </c>
      <c r="I128" s="560"/>
      <c r="J128" s="67">
        <f t="shared" si="1"/>
        <v>249482</v>
      </c>
    </row>
    <row r="129" spans="2:10" ht="15.75" thickBot="1">
      <c r="B129" s="194" t="s">
        <v>492</v>
      </c>
      <c r="C129" s="560">
        <v>64171</v>
      </c>
      <c r="D129" s="1314" t="s">
        <v>493</v>
      </c>
      <c r="E129" s="1314" t="s">
        <v>503</v>
      </c>
      <c r="F129" s="1314" t="s">
        <v>991</v>
      </c>
      <c r="G129" s="195">
        <v>-231438</v>
      </c>
      <c r="H129" s="196">
        <v>1898309</v>
      </c>
      <c r="I129" s="560"/>
      <c r="J129" s="67">
        <f t="shared" si="1"/>
        <v>231438</v>
      </c>
    </row>
    <row r="130" spans="2:10" ht="15.75" thickBot="1">
      <c r="B130" s="194" t="s">
        <v>492</v>
      </c>
      <c r="C130" s="560">
        <v>64171</v>
      </c>
      <c r="D130" s="560" t="s">
        <v>493</v>
      </c>
      <c r="E130" s="560" t="s">
        <v>504</v>
      </c>
      <c r="F130" s="560" t="s">
        <v>991</v>
      </c>
      <c r="G130" s="195">
        <v>-937433</v>
      </c>
      <c r="H130" s="196">
        <v>1898310</v>
      </c>
      <c r="I130" s="560"/>
      <c r="J130" s="67">
        <f t="shared" si="1"/>
        <v>937433</v>
      </c>
    </row>
    <row r="131" spans="2:10" ht="15.75" thickBot="1">
      <c r="B131" s="194" t="s">
        <v>492</v>
      </c>
      <c r="C131" s="560">
        <v>64171</v>
      </c>
      <c r="D131" s="1314" t="s">
        <v>493</v>
      </c>
      <c r="E131" s="1314" t="s">
        <v>494</v>
      </c>
      <c r="F131" s="1314" t="s">
        <v>506</v>
      </c>
      <c r="G131" s="195">
        <v>-299491</v>
      </c>
      <c r="H131" s="196">
        <v>1898301</v>
      </c>
      <c r="I131" s="560"/>
      <c r="J131" s="67">
        <f t="shared" ref="J131:J162" si="2">-G131</f>
        <v>299491</v>
      </c>
    </row>
    <row r="132" spans="2:10" ht="15.75" thickBot="1">
      <c r="B132" s="194" t="s">
        <v>492</v>
      </c>
      <c r="C132" s="560">
        <v>64171</v>
      </c>
      <c r="D132" s="560" t="s">
        <v>493</v>
      </c>
      <c r="E132" s="560" t="s">
        <v>496</v>
      </c>
      <c r="F132" s="560" t="s">
        <v>506</v>
      </c>
      <c r="G132" s="195">
        <v>-119748</v>
      </c>
      <c r="H132" s="196">
        <v>1898302</v>
      </c>
      <c r="I132" s="560"/>
      <c r="J132" s="67">
        <f t="shared" si="2"/>
        <v>119748</v>
      </c>
    </row>
    <row r="133" spans="2:10" ht="15.75" thickBot="1">
      <c r="B133" s="194" t="s">
        <v>492</v>
      </c>
      <c r="C133" s="560">
        <v>64171</v>
      </c>
      <c r="D133" s="1314" t="s">
        <v>493</v>
      </c>
      <c r="E133" s="1314" t="s">
        <v>497</v>
      </c>
      <c r="F133" s="1314" t="s">
        <v>506</v>
      </c>
      <c r="G133" s="195">
        <v>-113256</v>
      </c>
      <c r="H133" s="196">
        <v>1898303</v>
      </c>
      <c r="I133" s="560"/>
      <c r="J133" s="67">
        <f t="shared" si="2"/>
        <v>113256</v>
      </c>
    </row>
    <row r="134" spans="2:10" ht="15.75" thickBot="1">
      <c r="B134" s="194" t="s">
        <v>492</v>
      </c>
      <c r="C134" s="560">
        <v>64171</v>
      </c>
      <c r="D134" s="560" t="s">
        <v>493</v>
      </c>
      <c r="E134" s="560" t="s">
        <v>499</v>
      </c>
      <c r="F134" s="560" t="s">
        <v>506</v>
      </c>
      <c r="G134" s="195">
        <v>-16130</v>
      </c>
      <c r="H134" s="196">
        <v>1898305</v>
      </c>
      <c r="I134" s="560"/>
      <c r="J134" s="67">
        <f t="shared" si="2"/>
        <v>16130</v>
      </c>
    </row>
    <row r="135" spans="2:10" ht="15.75" thickBot="1">
      <c r="B135" s="194" t="s">
        <v>492</v>
      </c>
      <c r="C135" s="560">
        <v>64171</v>
      </c>
      <c r="D135" s="1314" t="s">
        <v>493</v>
      </c>
      <c r="E135" s="1314" t="s">
        <v>500</v>
      </c>
      <c r="F135" s="1314" t="s">
        <v>506</v>
      </c>
      <c r="G135" s="195">
        <v>-35556</v>
      </c>
      <c r="H135" s="196">
        <v>1898306</v>
      </c>
      <c r="I135" s="560"/>
      <c r="J135" s="67">
        <f t="shared" si="2"/>
        <v>35556</v>
      </c>
    </row>
    <row r="136" spans="2:10" ht="15.75" thickBot="1">
      <c r="B136" s="194" t="s">
        <v>492</v>
      </c>
      <c r="C136" s="560">
        <v>64171</v>
      </c>
      <c r="D136" s="560" t="s">
        <v>493</v>
      </c>
      <c r="E136" s="560" t="s">
        <v>502</v>
      </c>
      <c r="F136" s="560" t="s">
        <v>506</v>
      </c>
      <c r="G136" s="195">
        <v>-21266</v>
      </c>
      <c r="H136" s="196">
        <v>1898308</v>
      </c>
      <c r="I136" s="560"/>
      <c r="J136" s="67">
        <f t="shared" si="2"/>
        <v>21266</v>
      </c>
    </row>
    <row r="137" spans="2:10" ht="15.75" thickBot="1">
      <c r="B137" s="194" t="s">
        <v>492</v>
      </c>
      <c r="C137" s="560">
        <v>64171</v>
      </c>
      <c r="D137" s="1314" t="s">
        <v>493</v>
      </c>
      <c r="E137" s="1314" t="s">
        <v>503</v>
      </c>
      <c r="F137" s="1314" t="s">
        <v>506</v>
      </c>
      <c r="G137" s="195">
        <v>-10153</v>
      </c>
      <c r="H137" s="196">
        <v>1898309</v>
      </c>
      <c r="I137" s="560"/>
      <c r="J137" s="67">
        <f t="shared" si="2"/>
        <v>10153</v>
      </c>
    </row>
    <row r="138" spans="2:10" ht="15.75" thickBot="1">
      <c r="B138" s="194" t="s">
        <v>492</v>
      </c>
      <c r="C138" s="560">
        <v>64171</v>
      </c>
      <c r="D138" s="560" t="s">
        <v>493</v>
      </c>
      <c r="E138" s="560" t="s">
        <v>504</v>
      </c>
      <c r="F138" s="560" t="s">
        <v>506</v>
      </c>
      <c r="G138" s="195">
        <v>-1459254</v>
      </c>
      <c r="H138" s="196">
        <v>1898310</v>
      </c>
      <c r="I138" s="560"/>
      <c r="J138" s="67">
        <f t="shared" si="2"/>
        <v>1459254</v>
      </c>
    </row>
    <row r="139" spans="2:10" ht="15.75" thickBot="1">
      <c r="B139" s="194" t="s">
        <v>492</v>
      </c>
      <c r="C139" s="560">
        <v>64171</v>
      </c>
      <c r="D139" s="1314" t="s">
        <v>493</v>
      </c>
      <c r="E139" s="1314" t="s">
        <v>494</v>
      </c>
      <c r="F139" s="1314" t="s">
        <v>507</v>
      </c>
      <c r="G139" s="195">
        <v>-32952</v>
      </c>
      <c r="H139" s="196">
        <v>1898301</v>
      </c>
      <c r="I139" s="560"/>
      <c r="J139" s="67">
        <f t="shared" si="2"/>
        <v>32952</v>
      </c>
    </row>
    <row r="140" spans="2:10" ht="15.75" thickBot="1">
      <c r="B140" s="194" t="s">
        <v>492</v>
      </c>
      <c r="C140" s="560">
        <v>64171</v>
      </c>
      <c r="D140" s="560" t="s">
        <v>493</v>
      </c>
      <c r="E140" s="560" t="s">
        <v>496</v>
      </c>
      <c r="F140" s="560" t="s">
        <v>507</v>
      </c>
      <c r="G140" s="195">
        <v>-5461</v>
      </c>
      <c r="H140" s="196">
        <v>1898302</v>
      </c>
      <c r="I140" s="560"/>
      <c r="J140" s="67">
        <f t="shared" si="2"/>
        <v>5461</v>
      </c>
    </row>
    <row r="141" spans="2:10" ht="15.75" thickBot="1">
      <c r="B141" s="194" t="s">
        <v>492</v>
      </c>
      <c r="C141" s="560">
        <v>64171</v>
      </c>
      <c r="D141" s="1314" t="s">
        <v>493</v>
      </c>
      <c r="E141" s="1314" t="s">
        <v>497</v>
      </c>
      <c r="F141" s="1314" t="s">
        <v>507</v>
      </c>
      <c r="G141" s="195">
        <v>-5941</v>
      </c>
      <c r="H141" s="196">
        <v>1898303</v>
      </c>
      <c r="I141" s="560"/>
      <c r="J141" s="67">
        <f t="shared" si="2"/>
        <v>5941</v>
      </c>
    </row>
    <row r="142" spans="2:10" ht="15.75" thickBot="1">
      <c r="B142" s="194" t="s">
        <v>492</v>
      </c>
      <c r="C142" s="560">
        <v>64171</v>
      </c>
      <c r="D142" s="560" t="s">
        <v>493</v>
      </c>
      <c r="E142" s="560" t="s">
        <v>498</v>
      </c>
      <c r="F142" s="560" t="s">
        <v>507</v>
      </c>
      <c r="G142" s="195">
        <v>-1995</v>
      </c>
      <c r="H142" s="196">
        <v>1898304</v>
      </c>
      <c r="I142" s="560"/>
      <c r="J142" s="67">
        <f t="shared" si="2"/>
        <v>1995</v>
      </c>
    </row>
    <row r="143" spans="2:10" ht="15.75" thickBot="1">
      <c r="B143" s="194" t="s">
        <v>492</v>
      </c>
      <c r="C143" s="560">
        <v>64171</v>
      </c>
      <c r="D143" s="1314" t="s">
        <v>493</v>
      </c>
      <c r="E143" s="1314" t="s">
        <v>499</v>
      </c>
      <c r="F143" s="1314" t="s">
        <v>507</v>
      </c>
      <c r="G143" s="195">
        <v>-13454</v>
      </c>
      <c r="H143" s="196">
        <v>1898305</v>
      </c>
      <c r="I143" s="560"/>
      <c r="J143" s="67">
        <f t="shared" si="2"/>
        <v>13454</v>
      </c>
    </row>
    <row r="144" spans="2:10" ht="15.75" thickBot="1">
      <c r="B144" s="194" t="s">
        <v>492</v>
      </c>
      <c r="C144" s="560">
        <v>64171</v>
      </c>
      <c r="D144" s="560" t="s">
        <v>493</v>
      </c>
      <c r="E144" s="560" t="s">
        <v>500</v>
      </c>
      <c r="F144" s="560" t="s">
        <v>507</v>
      </c>
      <c r="G144" s="195">
        <v>-61499</v>
      </c>
      <c r="H144" s="196">
        <v>1898306</v>
      </c>
      <c r="I144" s="560"/>
      <c r="J144" s="67">
        <f t="shared" si="2"/>
        <v>61499</v>
      </c>
    </row>
    <row r="145" spans="2:10" ht="15.75" thickBot="1">
      <c r="B145" s="194" t="s">
        <v>492</v>
      </c>
      <c r="C145" s="560">
        <v>64171</v>
      </c>
      <c r="D145" s="1314" t="s">
        <v>493</v>
      </c>
      <c r="E145" s="1314" t="s">
        <v>501</v>
      </c>
      <c r="F145" s="1314" t="s">
        <v>507</v>
      </c>
      <c r="G145" s="195">
        <v>-1541</v>
      </c>
      <c r="H145" s="196">
        <v>1898307</v>
      </c>
      <c r="I145" s="560"/>
      <c r="J145" s="67">
        <f t="shared" si="2"/>
        <v>1541</v>
      </c>
    </row>
    <row r="146" spans="2:10" ht="15.75" thickBot="1">
      <c r="B146" s="194" t="s">
        <v>492</v>
      </c>
      <c r="C146" s="560">
        <v>64171</v>
      </c>
      <c r="D146" s="560" t="s">
        <v>493</v>
      </c>
      <c r="E146" s="560" t="s">
        <v>502</v>
      </c>
      <c r="F146" s="560" t="s">
        <v>507</v>
      </c>
      <c r="G146" s="195">
        <v>-7297</v>
      </c>
      <c r="H146" s="196">
        <v>1898308</v>
      </c>
      <c r="I146" s="560"/>
      <c r="J146" s="67">
        <f t="shared" si="2"/>
        <v>7297</v>
      </c>
    </row>
    <row r="147" spans="2:10" ht="15.75" thickBot="1">
      <c r="B147" s="194" t="s">
        <v>492</v>
      </c>
      <c r="C147" s="560">
        <v>64171</v>
      </c>
      <c r="D147" s="1314" t="s">
        <v>493</v>
      </c>
      <c r="E147" s="1314" t="s">
        <v>503</v>
      </c>
      <c r="F147" s="1314" t="s">
        <v>507</v>
      </c>
      <c r="G147" s="195">
        <v>-4758</v>
      </c>
      <c r="H147" s="196">
        <v>1898309</v>
      </c>
      <c r="I147" s="560"/>
      <c r="J147" s="67">
        <f t="shared" si="2"/>
        <v>4758</v>
      </c>
    </row>
    <row r="148" spans="2:10" ht="15.75" thickBot="1">
      <c r="B148" s="194" t="s">
        <v>492</v>
      </c>
      <c r="C148" s="560">
        <v>64171</v>
      </c>
      <c r="D148" s="560" t="s">
        <v>493</v>
      </c>
      <c r="E148" s="560" t="s">
        <v>504</v>
      </c>
      <c r="F148" s="560" t="s">
        <v>507</v>
      </c>
      <c r="G148" s="195">
        <v>-46020</v>
      </c>
      <c r="H148" s="196">
        <v>1898310</v>
      </c>
      <c r="I148" s="560"/>
      <c r="J148" s="67">
        <f t="shared" si="2"/>
        <v>46020</v>
      </c>
    </row>
    <row r="149" spans="2:10" ht="15.75" thickBot="1">
      <c r="B149" s="194" t="s">
        <v>492</v>
      </c>
      <c r="C149" s="560">
        <v>64171</v>
      </c>
      <c r="D149" s="1314" t="s">
        <v>493</v>
      </c>
      <c r="E149" s="1314" t="s">
        <v>494</v>
      </c>
      <c r="F149" s="1314" t="s">
        <v>992</v>
      </c>
      <c r="G149" s="195">
        <v>-498988</v>
      </c>
      <c r="H149" s="196">
        <v>1898301</v>
      </c>
      <c r="I149" s="560"/>
      <c r="J149" s="67">
        <f t="shared" si="2"/>
        <v>498988</v>
      </c>
    </row>
    <row r="150" spans="2:10" ht="15.75" thickBot="1">
      <c r="B150" s="194" t="s">
        <v>492</v>
      </c>
      <c r="C150" s="560">
        <v>64171</v>
      </c>
      <c r="D150" s="560" t="s">
        <v>493</v>
      </c>
      <c r="E150" s="560" t="s">
        <v>496</v>
      </c>
      <c r="F150" s="560" t="s">
        <v>992</v>
      </c>
      <c r="G150" s="195">
        <v>-122979</v>
      </c>
      <c r="H150" s="196">
        <v>1898302</v>
      </c>
      <c r="I150" s="560"/>
      <c r="J150" s="67">
        <f t="shared" si="2"/>
        <v>122979</v>
      </c>
    </row>
    <row r="151" spans="2:10" ht="15.75" thickBot="1">
      <c r="B151" s="194" t="s">
        <v>492</v>
      </c>
      <c r="C151" s="560">
        <v>64171</v>
      </c>
      <c r="D151" s="1314" t="s">
        <v>493</v>
      </c>
      <c r="E151" s="1314" t="s">
        <v>497</v>
      </c>
      <c r="F151" s="1314" t="s">
        <v>992</v>
      </c>
      <c r="G151" s="195">
        <v>148093</v>
      </c>
      <c r="H151" s="196">
        <v>1898303</v>
      </c>
      <c r="I151" s="560"/>
      <c r="J151" s="67">
        <f t="shared" si="2"/>
        <v>-148093</v>
      </c>
    </row>
    <row r="152" spans="2:10" ht="15.75" thickBot="1">
      <c r="B152" s="194" t="s">
        <v>492</v>
      </c>
      <c r="C152" s="560">
        <v>64171</v>
      </c>
      <c r="D152" s="560" t="s">
        <v>493</v>
      </c>
      <c r="E152" s="560" t="s">
        <v>498</v>
      </c>
      <c r="F152" s="560" t="s">
        <v>992</v>
      </c>
      <c r="G152" s="195">
        <v>-4608</v>
      </c>
      <c r="H152" s="196">
        <v>1898304</v>
      </c>
      <c r="I152" s="560"/>
      <c r="J152" s="67">
        <f t="shared" si="2"/>
        <v>4608</v>
      </c>
    </row>
    <row r="153" spans="2:10" ht="15.75" thickBot="1">
      <c r="B153" s="194" t="s">
        <v>492</v>
      </c>
      <c r="C153" s="560">
        <v>64171</v>
      </c>
      <c r="D153" s="1314" t="s">
        <v>493</v>
      </c>
      <c r="E153" s="1314" t="s">
        <v>499</v>
      </c>
      <c r="F153" s="1314" t="s">
        <v>992</v>
      </c>
      <c r="G153" s="195">
        <v>-360964</v>
      </c>
      <c r="H153" s="196">
        <v>1898305</v>
      </c>
      <c r="I153" s="560"/>
      <c r="J153" s="67">
        <f t="shared" si="2"/>
        <v>360964</v>
      </c>
    </row>
    <row r="154" spans="2:10" ht="15.75" thickBot="1">
      <c r="B154" s="194" t="s">
        <v>492</v>
      </c>
      <c r="C154" s="560">
        <v>64171</v>
      </c>
      <c r="D154" s="560" t="s">
        <v>493</v>
      </c>
      <c r="E154" s="560" t="s">
        <v>500</v>
      </c>
      <c r="F154" s="560" t="s">
        <v>992</v>
      </c>
      <c r="G154" s="195">
        <v>-11980</v>
      </c>
      <c r="H154" s="196">
        <v>1898306</v>
      </c>
      <c r="I154" s="560"/>
      <c r="J154" s="67">
        <f t="shared" si="2"/>
        <v>11980</v>
      </c>
    </row>
    <row r="155" spans="2:10" ht="15.75" thickBot="1">
      <c r="B155" s="194" t="s">
        <v>492</v>
      </c>
      <c r="C155" s="560">
        <v>64171</v>
      </c>
      <c r="D155" s="1314" t="s">
        <v>493</v>
      </c>
      <c r="E155" s="1314" t="s">
        <v>501</v>
      </c>
      <c r="F155" s="1314" t="s">
        <v>992</v>
      </c>
      <c r="G155" s="195">
        <v>-2066</v>
      </c>
      <c r="H155" s="196">
        <v>1898307</v>
      </c>
      <c r="I155" s="560"/>
      <c r="J155" s="67">
        <f t="shared" si="2"/>
        <v>2066</v>
      </c>
    </row>
    <row r="156" spans="2:10" ht="15.75" thickBot="1">
      <c r="B156" s="194" t="s">
        <v>492</v>
      </c>
      <c r="C156" s="560">
        <v>64171</v>
      </c>
      <c r="D156" s="560" t="s">
        <v>493</v>
      </c>
      <c r="E156" s="560" t="s">
        <v>502</v>
      </c>
      <c r="F156" s="560" t="s">
        <v>992</v>
      </c>
      <c r="G156" s="195">
        <v>-117383</v>
      </c>
      <c r="H156" s="196">
        <v>1898308</v>
      </c>
      <c r="I156" s="560"/>
      <c r="J156" s="67">
        <f t="shared" si="2"/>
        <v>117383</v>
      </c>
    </row>
    <row r="157" spans="2:10" ht="15.75" thickBot="1">
      <c r="B157" s="194" t="s">
        <v>492</v>
      </c>
      <c r="C157" s="560">
        <v>64171</v>
      </c>
      <c r="D157" s="1314" t="s">
        <v>493</v>
      </c>
      <c r="E157" s="1314" t="s">
        <v>503</v>
      </c>
      <c r="F157" s="1314" t="s">
        <v>992</v>
      </c>
      <c r="G157" s="195">
        <v>-3170</v>
      </c>
      <c r="H157" s="196">
        <v>1898309</v>
      </c>
      <c r="I157" s="560"/>
      <c r="J157" s="67">
        <f t="shared" si="2"/>
        <v>3170</v>
      </c>
    </row>
    <row r="158" spans="2:10" ht="15.75" thickBot="1">
      <c r="B158" s="194" t="s">
        <v>492</v>
      </c>
      <c r="C158" s="560">
        <v>64171</v>
      </c>
      <c r="D158" s="560" t="s">
        <v>493</v>
      </c>
      <c r="E158" s="560" t="s">
        <v>504</v>
      </c>
      <c r="F158" s="560" t="s">
        <v>992</v>
      </c>
      <c r="G158" s="195">
        <v>-2339778</v>
      </c>
      <c r="H158" s="196">
        <v>1898310</v>
      </c>
      <c r="I158" s="560"/>
      <c r="J158" s="67">
        <f t="shared" si="2"/>
        <v>2339778</v>
      </c>
    </row>
    <row r="159" spans="2:10" ht="15.75" thickBot="1">
      <c r="B159" s="194" t="s">
        <v>492</v>
      </c>
      <c r="C159" s="560">
        <v>64171</v>
      </c>
      <c r="D159" s="1314" t="s">
        <v>493</v>
      </c>
      <c r="E159" s="1314" t="s">
        <v>494</v>
      </c>
      <c r="F159" s="1314" t="s">
        <v>2221</v>
      </c>
      <c r="G159" s="195">
        <v>-4865</v>
      </c>
      <c r="H159" s="196">
        <v>1898301</v>
      </c>
      <c r="I159" s="560"/>
      <c r="J159" s="67">
        <f t="shared" si="2"/>
        <v>4865</v>
      </c>
    </row>
    <row r="160" spans="2:10" ht="15.75" thickBot="1">
      <c r="B160" s="194" t="s">
        <v>492</v>
      </c>
      <c r="C160" s="560">
        <v>64171</v>
      </c>
      <c r="D160" s="560" t="s">
        <v>493</v>
      </c>
      <c r="E160" s="560" t="s">
        <v>497</v>
      </c>
      <c r="F160" s="560" t="s">
        <v>2221</v>
      </c>
      <c r="G160" s="195">
        <v>-16123</v>
      </c>
      <c r="H160" s="196">
        <v>1898303</v>
      </c>
      <c r="I160" s="560"/>
      <c r="J160" s="67">
        <f t="shared" si="2"/>
        <v>16123</v>
      </c>
    </row>
    <row r="161" spans="2:10" ht="15.75" thickBot="1">
      <c r="B161" s="194" t="s">
        <v>492</v>
      </c>
      <c r="C161" s="560">
        <v>64171</v>
      </c>
      <c r="D161" s="1314" t="s">
        <v>493</v>
      </c>
      <c r="E161" s="1314" t="s">
        <v>504</v>
      </c>
      <c r="F161" s="1314" t="s">
        <v>2221</v>
      </c>
      <c r="G161" s="195">
        <v>-10392</v>
      </c>
      <c r="H161" s="196">
        <v>1898310</v>
      </c>
      <c r="I161" s="560"/>
      <c r="J161" s="67">
        <f t="shared" si="2"/>
        <v>10392</v>
      </c>
    </row>
    <row r="162" spans="2:10" ht="15.75" thickBot="1">
      <c r="B162" s="194" t="s">
        <v>224</v>
      </c>
      <c r="C162" s="560">
        <v>3358</v>
      </c>
      <c r="D162" s="560">
        <v>8</v>
      </c>
      <c r="E162" s="560" t="s">
        <v>494</v>
      </c>
      <c r="F162" s="1316"/>
      <c r="G162" s="195">
        <v>-405945464</v>
      </c>
      <c r="H162" s="198">
        <v>1898301</v>
      </c>
      <c r="I162" s="185"/>
      <c r="J162" s="67">
        <f t="shared" si="2"/>
        <v>405945464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103</vt:i4>
      </vt:variant>
      <vt:variant>
        <vt:lpstr>Named Ranges</vt:lpstr>
      </vt:variant>
      <vt:variant>
        <vt:i4>11</vt:i4>
      </vt:variant>
    </vt:vector>
  </HeadingPairs>
  <TitlesOfParts>
    <vt:vector size="114" baseType="lpstr">
      <vt:lpstr>DSOAT-T1.2025</vt:lpstr>
      <vt:lpstr>Thuế TNCN T12</vt:lpstr>
      <vt:lpstr>bảng lương T12.2023</vt:lpstr>
      <vt:lpstr>BẢNG LƯƠNG</vt:lpstr>
      <vt:lpstr>338888-CTV</vt:lpstr>
      <vt:lpstr>338888_T12</vt:lpstr>
      <vt:lpstr>Sheet23</vt:lpstr>
      <vt:lpstr>Bảng lương t12</vt:lpstr>
      <vt:lpstr>Thuế TNCN _T1</vt:lpstr>
      <vt:lpstr>Bảng lương t1.2025</vt:lpstr>
      <vt:lpstr>338888_CTV T1.2025</vt:lpstr>
      <vt:lpstr>338888_TV_T11</vt:lpstr>
      <vt:lpstr>338888_CTV_T11</vt:lpstr>
      <vt:lpstr>338888_TV_T10</vt:lpstr>
      <vt:lpstr>338888_CTV_T10</vt:lpstr>
      <vt:lpstr>338888_CTV_T9</vt:lpstr>
      <vt:lpstr>Bảng lương T5.2024</vt:lpstr>
      <vt:lpstr>338888_TV</vt:lpstr>
      <vt:lpstr>338888_CTV</vt:lpstr>
      <vt:lpstr>BHXH, BHYT, PHÍ</vt:lpstr>
      <vt:lpstr>tỷ lệ dt</vt:lpstr>
      <vt:lpstr>HT</vt:lpstr>
      <vt:lpstr>THUẾ T4</vt:lpstr>
      <vt:lpstr>ĐNTT T4</vt:lpstr>
      <vt:lpstr>Bảng lương T4.2024</vt:lpstr>
      <vt:lpstr>338888-TV</vt:lpstr>
      <vt:lpstr>338888-CTV-T4</vt:lpstr>
      <vt:lpstr>Sheet1</vt:lpstr>
      <vt:lpstr>792</vt:lpstr>
      <vt:lpstr>795</vt:lpstr>
      <vt:lpstr>841</vt:lpstr>
      <vt:lpstr>840</vt:lpstr>
      <vt:lpstr>839</vt:lpstr>
      <vt:lpstr>817</vt:lpstr>
      <vt:lpstr>894</vt:lpstr>
      <vt:lpstr>893</vt:lpstr>
      <vt:lpstr>929</vt:lpstr>
      <vt:lpstr>928</vt:lpstr>
      <vt:lpstr>972</vt:lpstr>
      <vt:lpstr>975</vt:lpstr>
      <vt:lpstr>976</vt:lpstr>
      <vt:lpstr>994</vt:lpstr>
      <vt:lpstr>THUẾ T5</vt:lpstr>
      <vt:lpstr>ĐNTT T5</vt:lpstr>
      <vt:lpstr>1091</vt:lpstr>
      <vt:lpstr>1144</vt:lpstr>
      <vt:lpstr>tỷ lệ</vt:lpstr>
      <vt:lpstr>lương p1p3</vt:lpstr>
      <vt:lpstr>lương đơn giá</vt:lpstr>
      <vt:lpstr>Sheet2</vt:lpstr>
      <vt:lpstr>1223</vt:lpstr>
      <vt:lpstr>1214</vt:lpstr>
      <vt:lpstr>1295</vt:lpstr>
      <vt:lpstr>1355</vt:lpstr>
      <vt:lpstr>1381</vt:lpstr>
      <vt:lpstr>1383</vt:lpstr>
      <vt:lpstr>1407</vt:lpstr>
      <vt:lpstr>Sheet3</vt:lpstr>
      <vt:lpstr>1474</vt:lpstr>
      <vt:lpstr>1520</vt:lpstr>
      <vt:lpstr>1527</vt:lpstr>
      <vt:lpstr>1549</vt:lpstr>
      <vt:lpstr>1737</vt:lpstr>
      <vt:lpstr>1735</vt:lpstr>
      <vt:lpstr>1752</vt:lpstr>
      <vt:lpstr>1762</vt:lpstr>
      <vt:lpstr>1764</vt:lpstr>
      <vt:lpstr>1763</vt:lpstr>
      <vt:lpstr>1794</vt:lpstr>
      <vt:lpstr>Sheet4</vt:lpstr>
      <vt:lpstr>2107</vt:lpstr>
      <vt:lpstr>2121</vt:lpstr>
      <vt:lpstr>2149</vt:lpstr>
      <vt:lpstr>2198</vt:lpstr>
      <vt:lpstr>2218</vt:lpstr>
      <vt:lpstr>2245</vt:lpstr>
      <vt:lpstr>2304</vt:lpstr>
      <vt:lpstr>2309</vt:lpstr>
      <vt:lpstr>2328</vt:lpstr>
      <vt:lpstr>2406</vt:lpstr>
      <vt:lpstr>2460</vt:lpstr>
      <vt:lpstr>2521</vt:lpstr>
      <vt:lpstr>2566</vt:lpstr>
      <vt:lpstr>2567</vt:lpstr>
      <vt:lpstr>2761</vt:lpstr>
      <vt:lpstr>2659</vt:lpstr>
      <vt:lpstr>2721</vt:lpstr>
      <vt:lpstr>2722</vt:lpstr>
      <vt:lpstr>2790</vt:lpstr>
      <vt:lpstr>2791</vt:lpstr>
      <vt:lpstr>2815</vt:lpstr>
      <vt:lpstr>2814</vt:lpstr>
      <vt:lpstr>2830</vt:lpstr>
      <vt:lpstr>2831</vt:lpstr>
      <vt:lpstr>2832</vt:lpstr>
      <vt:lpstr>338888_COKY_1.2025</vt:lpstr>
      <vt:lpstr>P1P3</vt:lpstr>
      <vt:lpstr>DON GIA</vt:lpstr>
      <vt:lpstr>HT </vt:lpstr>
      <vt:lpstr>Sheet8</vt:lpstr>
      <vt:lpstr>64</vt:lpstr>
      <vt:lpstr>210</vt:lpstr>
      <vt:lpstr>Sheet7</vt:lpstr>
      <vt:lpstr>'338888_CTV'!Print_Area</vt:lpstr>
      <vt:lpstr>'338888_CTV T1.2025'!Print_Area</vt:lpstr>
      <vt:lpstr>'338888_CTV_T11'!Print_Area</vt:lpstr>
      <vt:lpstr>'338888_CTV_T9'!Print_Area</vt:lpstr>
      <vt:lpstr>'338888_TV_T10'!Print_Area</vt:lpstr>
      <vt:lpstr>'338888-CTV-T4'!Print_Area</vt:lpstr>
      <vt:lpstr>'Bảng lương T5.2024'!Print_Area</vt:lpstr>
      <vt:lpstr>Sheet23!Print_Area</vt:lpstr>
      <vt:lpstr>'Thuế TNCN _T1'!Print_Area</vt:lpstr>
      <vt:lpstr>'DSOAT-T1.2025'!Print_Titles</vt:lpstr>
      <vt:lpstr>'Thuế TNCN _T1'!Print_Titles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vietkey</cp:lastModifiedBy>
  <cp:lastPrinted>2025-02-10T08:41:56Z</cp:lastPrinted>
  <dcterms:created xsi:type="dcterms:W3CDTF">2021-03-27T07:03:10Z</dcterms:created>
  <dcterms:modified xsi:type="dcterms:W3CDTF">2025-08-03T12:53:49Z</dcterms:modified>
</cp:coreProperties>
</file>